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showInkAnnotation="0" autoCompressPictures="0" defaultThemeVersion="166925"/>
  <xr:revisionPtr revIDLastSave="0" documentId="8_{C2D32E33-7CA6-4483-A55F-74D9B46D92F7}" xr6:coauthVersionLast="47" xr6:coauthVersionMax="47" xr10:uidLastSave="{00000000-0000-0000-0000-000000000000}"/>
  <bookViews>
    <workbookView xWindow="-120" yWindow="-120" windowWidth="38640" windowHeight="21120" tabRatio="500" xr2:uid="{00000000-000D-0000-FFFF-FFFF00000000}"/>
  </bookViews>
  <sheets>
    <sheet name="P1" sheetId="4" r:id="rId1"/>
    <sheet name="P2" sheetId="5" r:id="rId2"/>
    <sheet name="P2a" sheetId="6" r:id="rId3"/>
    <sheet name="P3" sheetId="7" r:id="rId4"/>
    <sheet name="P4" sheetId="8" r:id="rId5"/>
    <sheet name="P5" sheetId="9" r:id="rId6"/>
    <sheet name="P6" sheetId="10" r:id="rId7"/>
  </sheets>
  <definedNames>
    <definedName name="_reportyear">#REF!</definedName>
    <definedName name="_reportyearplus1">#REF!</definedName>
    <definedName name="_xlnm.Print_Area" localSheetId="0">'P1'!$A$1:$K$103</definedName>
    <definedName name="_xlnm.Print_Area" localSheetId="1">'P2'!$C$7:$C$7</definedName>
    <definedName name="_xlnm.Print_Area" localSheetId="2">P2a!$B$8:$D$458</definedName>
    <definedName name="_xlnm.Print_Area" localSheetId="4">'P4'!$A$1:$X$54</definedName>
    <definedName name="_xlnm.Print_Area" localSheetId="6">'P6'!$A$1:$X$102</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4" i="10" l="1"/>
  <c r="F84" i="10"/>
  <c r="T83" i="10"/>
  <c r="T82" i="10"/>
  <c r="T81" i="10"/>
  <c r="T80" i="10"/>
  <c r="T79" i="10"/>
  <c r="T78" i="10"/>
  <c r="T77" i="10"/>
  <c r="T76" i="10"/>
  <c r="T75" i="10"/>
  <c r="I61" i="10"/>
  <c r="F61" i="10"/>
  <c r="T60" i="10"/>
  <c r="T59" i="10"/>
  <c r="T58" i="10"/>
  <c r="T57" i="10"/>
  <c r="T56" i="10"/>
  <c r="T55" i="10"/>
  <c r="T54" i="10"/>
  <c r="T53" i="10"/>
  <c r="T52" i="10"/>
  <c r="I44" i="10"/>
  <c r="F44" i="10"/>
  <c r="I43" i="10"/>
  <c r="F43" i="10"/>
  <c r="I42" i="10"/>
  <c r="F42" i="10"/>
  <c r="I41" i="10"/>
  <c r="I45" i="10" s="1"/>
  <c r="F41" i="10"/>
  <c r="F45" i="10" s="1"/>
  <c r="I27" i="10"/>
  <c r="F27" i="10"/>
  <c r="I21" i="10"/>
  <c r="F21" i="10"/>
  <c r="AF70" i="9"/>
  <c r="AG70" i="9" s="1"/>
  <c r="I70" i="9"/>
  <c r="J70" i="9" s="1"/>
  <c r="AF69" i="9"/>
  <c r="AG69" i="9" s="1"/>
  <c r="I69" i="9"/>
  <c r="J69" i="9" s="1"/>
  <c r="AF68" i="9"/>
  <c r="AG68" i="9" s="1"/>
  <c r="I68" i="9"/>
  <c r="J68" i="9" s="1"/>
  <c r="AF67" i="9"/>
  <c r="AG67" i="9" s="1"/>
  <c r="I67" i="9"/>
  <c r="J67" i="9" s="1"/>
  <c r="AF66" i="9"/>
  <c r="AG66" i="9" s="1"/>
  <c r="I66" i="9"/>
  <c r="J66" i="9" s="1"/>
  <c r="AF65" i="9"/>
  <c r="AG65" i="9" s="1"/>
  <c r="I65" i="9"/>
  <c r="J65" i="9" s="1"/>
  <c r="AF64" i="9"/>
  <c r="AG64" i="9" s="1"/>
  <c r="I64" i="9"/>
  <c r="J64" i="9" s="1"/>
  <c r="AF63" i="9"/>
  <c r="AG63" i="9" s="1"/>
  <c r="I63" i="9"/>
  <c r="J63" i="9" s="1"/>
  <c r="AF62" i="9"/>
  <c r="AG62" i="9" s="1"/>
  <c r="I62" i="9"/>
  <c r="J62" i="9" s="1"/>
  <c r="AF61" i="9"/>
  <c r="AG61" i="9" s="1"/>
  <c r="I61" i="9"/>
  <c r="J61" i="9" s="1"/>
  <c r="AF60" i="9"/>
  <c r="AG60" i="9" s="1"/>
  <c r="I60" i="9"/>
  <c r="J60" i="9" s="1"/>
  <c r="AF59" i="9"/>
  <c r="AG59" i="9" s="1"/>
  <c r="I59" i="9"/>
  <c r="J59" i="9" s="1"/>
  <c r="AF58" i="9"/>
  <c r="AG58" i="9" s="1"/>
  <c r="I58" i="9"/>
  <c r="J58" i="9" s="1"/>
  <c r="AF57" i="9"/>
  <c r="AG57" i="9" s="1"/>
  <c r="I57" i="9"/>
  <c r="J57" i="9" s="1"/>
  <c r="AL35" i="9"/>
  <c r="AK35" i="9"/>
  <c r="AJ35" i="9"/>
  <c r="AI35" i="9"/>
  <c r="AH35" i="9"/>
  <c r="AG35" i="9"/>
  <c r="AF35" i="9"/>
  <c r="AE35" i="9"/>
  <c r="AD35" i="9"/>
  <c r="O35" i="9"/>
  <c r="N35" i="9"/>
  <c r="M35" i="9"/>
  <c r="L35" i="9"/>
  <c r="K35" i="9"/>
  <c r="J35" i="9"/>
  <c r="I35" i="9"/>
  <c r="H35" i="9"/>
  <c r="G35" i="9"/>
  <c r="AM29" i="9"/>
  <c r="P29" i="9"/>
  <c r="AM28" i="9"/>
  <c r="P28" i="9"/>
  <c r="AM27" i="9"/>
  <c r="P27" i="9"/>
  <c r="AM26" i="9"/>
  <c r="P26" i="9"/>
  <c r="AM25" i="9"/>
  <c r="P25" i="9"/>
  <c r="AM24" i="9"/>
  <c r="P24" i="9"/>
  <c r="AL22" i="9"/>
  <c r="AK22" i="9"/>
  <c r="AJ22" i="9"/>
  <c r="AI22" i="9"/>
  <c r="AH22" i="9"/>
  <c r="AG22" i="9"/>
  <c r="AF22" i="9"/>
  <c r="AE22" i="9"/>
  <c r="AD22" i="9"/>
  <c r="O22" i="9"/>
  <c r="N22" i="9"/>
  <c r="M22" i="9"/>
  <c r="L22" i="9"/>
  <c r="K22" i="9"/>
  <c r="J22" i="9"/>
  <c r="I22" i="9"/>
  <c r="H22" i="9"/>
  <c r="G22" i="9"/>
  <c r="AM20" i="9"/>
  <c r="P20" i="9"/>
  <c r="AM19" i="9"/>
  <c r="P19" i="9"/>
  <c r="AM18" i="9"/>
  <c r="P18" i="9"/>
  <c r="AM17" i="9"/>
  <c r="P17" i="9"/>
  <c r="AM16" i="9"/>
  <c r="P16" i="9"/>
  <c r="AM15" i="9"/>
  <c r="P15" i="9"/>
  <c r="AM14" i="9"/>
  <c r="P14" i="9"/>
  <c r="I42" i="8"/>
  <c r="F42" i="8"/>
  <c r="I41" i="8"/>
  <c r="F41" i="8"/>
  <c r="I40" i="8"/>
  <c r="F40" i="8"/>
  <c r="I39" i="8"/>
  <c r="I43" i="8" s="1"/>
  <c r="F39" i="8"/>
  <c r="F43" i="8" s="1"/>
  <c r="I25" i="8"/>
  <c r="F25" i="8"/>
  <c r="I19" i="8"/>
  <c r="F19" i="8"/>
  <c r="AF70" i="7"/>
  <c r="AG70" i="7" s="1"/>
  <c r="I70" i="7"/>
  <c r="J70" i="7" s="1"/>
  <c r="AF69" i="7"/>
  <c r="AG69" i="7" s="1"/>
  <c r="I69" i="7"/>
  <c r="J69" i="7" s="1"/>
  <c r="AF68" i="7"/>
  <c r="AG68" i="7" s="1"/>
  <c r="I68" i="7"/>
  <c r="J68" i="7" s="1"/>
  <c r="AF67" i="7"/>
  <c r="AG67" i="7" s="1"/>
  <c r="I67" i="7"/>
  <c r="J67" i="7" s="1"/>
  <c r="AF66" i="7"/>
  <c r="AG66" i="7" s="1"/>
  <c r="I66" i="7"/>
  <c r="J66" i="7" s="1"/>
  <c r="AF65" i="7"/>
  <c r="AG65" i="7" s="1"/>
  <c r="I65" i="7"/>
  <c r="J65" i="7" s="1"/>
  <c r="AF64" i="7"/>
  <c r="AG64" i="7" s="1"/>
  <c r="I64" i="7"/>
  <c r="J64" i="7" s="1"/>
  <c r="AF63" i="7"/>
  <c r="AG63" i="7" s="1"/>
  <c r="I63" i="7"/>
  <c r="J63" i="7" s="1"/>
  <c r="AF62" i="7"/>
  <c r="AG62" i="7" s="1"/>
  <c r="I62" i="7"/>
  <c r="J62" i="7" s="1"/>
  <c r="AF61" i="7"/>
  <c r="AG61" i="7" s="1"/>
  <c r="I61" i="7"/>
  <c r="J61" i="7" s="1"/>
  <c r="AF60" i="7"/>
  <c r="AG60" i="7" s="1"/>
  <c r="I60" i="7"/>
  <c r="J60" i="7" s="1"/>
  <c r="AF59" i="7"/>
  <c r="AG59" i="7" s="1"/>
  <c r="I59" i="7"/>
  <c r="J59" i="7" s="1"/>
  <c r="AF58" i="7"/>
  <c r="AG58" i="7" s="1"/>
  <c r="I58" i="7"/>
  <c r="J58" i="7" s="1"/>
  <c r="AF57" i="7"/>
  <c r="AG57" i="7" s="1"/>
  <c r="I57" i="7"/>
  <c r="J57" i="7" s="1"/>
  <c r="AL35" i="7"/>
  <c r="AK35" i="7"/>
  <c r="AJ35" i="7"/>
  <c r="AI35" i="7"/>
  <c r="AH35" i="7"/>
  <c r="AG35" i="7"/>
  <c r="AF35" i="7"/>
  <c r="AE35" i="7"/>
  <c r="AD35" i="7"/>
  <c r="O35" i="7"/>
  <c r="N35" i="7"/>
  <c r="M35" i="7"/>
  <c r="L35" i="7"/>
  <c r="K35" i="7"/>
  <c r="J35" i="7"/>
  <c r="I35" i="7"/>
  <c r="H35" i="7"/>
  <c r="G35" i="7"/>
  <c r="AM29" i="7"/>
  <c r="P29" i="7"/>
  <c r="AM28" i="7"/>
  <c r="P28" i="7"/>
  <c r="AM27" i="7"/>
  <c r="P27" i="7"/>
  <c r="AM26" i="7"/>
  <c r="P26" i="7"/>
  <c r="AM25" i="7"/>
  <c r="P25" i="7"/>
  <c r="AM24" i="7"/>
  <c r="P24" i="7"/>
  <c r="AL22" i="7"/>
  <c r="AK22" i="7"/>
  <c r="AJ22" i="7"/>
  <c r="AI22" i="7"/>
  <c r="AH22" i="7"/>
  <c r="AG22" i="7"/>
  <c r="AF22" i="7"/>
  <c r="AE22" i="7"/>
  <c r="AD22" i="7"/>
  <c r="O22" i="7"/>
  <c r="N22" i="7"/>
  <c r="M22" i="7"/>
  <c r="L22" i="7"/>
  <c r="K22" i="7"/>
  <c r="J22" i="7"/>
  <c r="I22" i="7"/>
  <c r="H22" i="7"/>
  <c r="G22" i="7"/>
  <c r="AM20" i="7"/>
  <c r="P20" i="7"/>
  <c r="AM19" i="7"/>
  <c r="P19" i="7"/>
  <c r="AM18" i="7"/>
  <c r="P18" i="7"/>
  <c r="AM17" i="7"/>
  <c r="P17" i="7"/>
  <c r="AM16" i="7"/>
  <c r="P16" i="7"/>
  <c r="AM15" i="7"/>
  <c r="P15" i="7"/>
  <c r="AM14" i="7"/>
  <c r="P14" i="7"/>
  <c r="N451" i="6"/>
  <c r="M451" i="6"/>
  <c r="L451" i="6"/>
  <c r="K451" i="6"/>
  <c r="J451" i="6"/>
  <c r="I451" i="6"/>
  <c r="H451" i="6"/>
  <c r="G451" i="6"/>
  <c r="F451" i="6"/>
  <c r="E451" i="6"/>
  <c r="D451" i="6"/>
  <c r="N450" i="6"/>
  <c r="N452" i="6" s="1"/>
  <c r="M450" i="6"/>
  <c r="M452" i="6" s="1"/>
  <c r="L450" i="6"/>
  <c r="L452" i="6" s="1"/>
  <c r="K450" i="6"/>
  <c r="K452" i="6" s="1"/>
  <c r="J450" i="6"/>
  <c r="J452" i="6" s="1"/>
  <c r="I450" i="6"/>
  <c r="I452" i="6" s="1"/>
  <c r="H450" i="6"/>
  <c r="H452" i="6" s="1"/>
  <c r="G450" i="6"/>
  <c r="G452" i="6" s="1"/>
  <c r="F450" i="6"/>
  <c r="F452" i="6" s="1"/>
  <c r="E450" i="6"/>
  <c r="E452" i="6" s="1"/>
  <c r="D450" i="6"/>
  <c r="D452" i="6" s="1"/>
  <c r="F441" i="6"/>
  <c r="E441" i="6"/>
  <c r="D441" i="6"/>
  <c r="N431" i="6"/>
  <c r="M431" i="6"/>
  <c r="L431" i="6"/>
  <c r="K431" i="6"/>
  <c r="J431" i="6"/>
  <c r="I431" i="6"/>
  <c r="H431" i="6"/>
  <c r="G431" i="6"/>
  <c r="F431" i="6"/>
  <c r="E431" i="6"/>
  <c r="D431" i="6"/>
  <c r="N430" i="6"/>
  <c r="M430" i="6"/>
  <c r="L430" i="6"/>
  <c r="K430" i="6"/>
  <c r="J430" i="6"/>
  <c r="I430" i="6"/>
  <c r="H430" i="6"/>
  <c r="G430" i="6"/>
  <c r="F430" i="6"/>
  <c r="E430" i="6"/>
  <c r="D430" i="6"/>
  <c r="N429" i="6"/>
  <c r="N432" i="6" s="1"/>
  <c r="M429" i="6"/>
  <c r="M432" i="6" s="1"/>
  <c r="L429" i="6"/>
  <c r="L432" i="6" s="1"/>
  <c r="K429" i="6"/>
  <c r="K432" i="6" s="1"/>
  <c r="J429" i="6"/>
  <c r="J432" i="6" s="1"/>
  <c r="I429" i="6"/>
  <c r="I432" i="6" s="1"/>
  <c r="H429" i="6"/>
  <c r="H432" i="6" s="1"/>
  <c r="G429" i="6"/>
  <c r="G432" i="6" s="1"/>
  <c r="F429" i="6"/>
  <c r="F432" i="6" s="1"/>
  <c r="E429" i="6"/>
  <c r="E432" i="6" s="1"/>
  <c r="D429" i="6"/>
  <c r="D432" i="6" s="1"/>
  <c r="F403" i="6"/>
  <c r="E403" i="6"/>
  <c r="D403" i="6"/>
  <c r="E397" i="6"/>
  <c r="N391" i="6"/>
  <c r="M391" i="6"/>
  <c r="L391" i="6"/>
  <c r="K391" i="6"/>
  <c r="J391" i="6"/>
  <c r="I391" i="6"/>
  <c r="H391" i="6"/>
  <c r="G391" i="6"/>
  <c r="F391" i="6"/>
  <c r="E391" i="6"/>
  <c r="D391" i="6"/>
  <c r="N390" i="6"/>
  <c r="M390" i="6"/>
  <c r="L390" i="6"/>
  <c r="K390" i="6"/>
  <c r="J390" i="6"/>
  <c r="I390" i="6"/>
  <c r="H390" i="6"/>
  <c r="G390" i="6"/>
  <c r="F390" i="6"/>
  <c r="E390" i="6"/>
  <c r="D390" i="6"/>
  <c r="N389" i="6"/>
  <c r="M389" i="6"/>
  <c r="L389" i="6"/>
  <c r="K389" i="6"/>
  <c r="J389" i="6"/>
  <c r="I389" i="6"/>
  <c r="H389" i="6"/>
  <c r="G389" i="6"/>
  <c r="F389" i="6"/>
  <c r="E389" i="6"/>
  <c r="D389" i="6"/>
  <c r="N388" i="6"/>
  <c r="M388" i="6"/>
  <c r="L388" i="6"/>
  <c r="K388" i="6"/>
  <c r="J388" i="6"/>
  <c r="I388" i="6"/>
  <c r="H388" i="6"/>
  <c r="G388" i="6"/>
  <c r="F388" i="6"/>
  <c r="E388" i="6"/>
  <c r="D388" i="6"/>
  <c r="N387" i="6"/>
  <c r="M387" i="6"/>
  <c r="L387" i="6"/>
  <c r="K387" i="6"/>
  <c r="J387" i="6"/>
  <c r="I387" i="6"/>
  <c r="H387" i="6"/>
  <c r="G387" i="6"/>
  <c r="F387" i="6"/>
  <c r="E387" i="6"/>
  <c r="D387" i="6"/>
  <c r="N386" i="6"/>
  <c r="M386" i="6"/>
  <c r="L386" i="6"/>
  <c r="K386" i="6"/>
  <c r="J386" i="6"/>
  <c r="I386" i="6"/>
  <c r="H386" i="6"/>
  <c r="G386" i="6"/>
  <c r="F386" i="6"/>
  <c r="E386" i="6"/>
  <c r="D386" i="6"/>
  <c r="N385" i="6"/>
  <c r="N392" i="6" s="1"/>
  <c r="M385" i="6"/>
  <c r="M392" i="6" s="1"/>
  <c r="L385" i="6"/>
  <c r="L392" i="6" s="1"/>
  <c r="K385" i="6"/>
  <c r="K392" i="6" s="1"/>
  <c r="J385" i="6"/>
  <c r="J392" i="6" s="1"/>
  <c r="I385" i="6"/>
  <c r="I392" i="6" s="1"/>
  <c r="H385" i="6"/>
  <c r="H392" i="6" s="1"/>
  <c r="G385" i="6"/>
  <c r="G392" i="6" s="1"/>
  <c r="F385" i="6"/>
  <c r="F392" i="6" s="1"/>
  <c r="E385" i="6"/>
  <c r="E392" i="6" s="1"/>
  <c r="D385" i="6"/>
  <c r="D392" i="6" s="1"/>
  <c r="F366" i="6"/>
  <c r="E366" i="6"/>
  <c r="D366" i="6"/>
  <c r="E360" i="6"/>
  <c r="N354" i="6"/>
  <c r="M354" i="6"/>
  <c r="L354" i="6"/>
  <c r="K354" i="6"/>
  <c r="J354" i="6"/>
  <c r="I354" i="6"/>
  <c r="H354" i="6"/>
  <c r="G354" i="6"/>
  <c r="F354" i="6"/>
  <c r="E354" i="6"/>
  <c r="D354" i="6"/>
  <c r="N353" i="6"/>
  <c r="M353" i="6"/>
  <c r="L353" i="6"/>
  <c r="K353" i="6"/>
  <c r="J353" i="6"/>
  <c r="I353" i="6"/>
  <c r="H353" i="6"/>
  <c r="G353" i="6"/>
  <c r="F353" i="6"/>
  <c r="E353" i="6"/>
  <c r="D353" i="6"/>
  <c r="N352" i="6"/>
  <c r="M352" i="6"/>
  <c r="L352" i="6"/>
  <c r="K352" i="6"/>
  <c r="J352" i="6"/>
  <c r="I352" i="6"/>
  <c r="H352" i="6"/>
  <c r="G352" i="6"/>
  <c r="F352" i="6"/>
  <c r="E352" i="6"/>
  <c r="D352" i="6"/>
  <c r="N351" i="6"/>
  <c r="N355" i="6" s="1"/>
  <c r="M351" i="6"/>
  <c r="M355" i="6" s="1"/>
  <c r="L351" i="6"/>
  <c r="L355" i="6" s="1"/>
  <c r="K351" i="6"/>
  <c r="K355" i="6" s="1"/>
  <c r="J351" i="6"/>
  <c r="J355" i="6" s="1"/>
  <c r="I351" i="6"/>
  <c r="I355" i="6" s="1"/>
  <c r="H351" i="6"/>
  <c r="H355" i="6" s="1"/>
  <c r="G351" i="6"/>
  <c r="G355" i="6" s="1"/>
  <c r="F351" i="6"/>
  <c r="F355" i="6" s="1"/>
  <c r="E351" i="6"/>
  <c r="E355" i="6" s="1"/>
  <c r="D351" i="6"/>
  <c r="D355" i="6" s="1"/>
  <c r="N327" i="6"/>
  <c r="M327" i="6"/>
  <c r="L327" i="6"/>
  <c r="K327" i="6"/>
  <c r="J327" i="6"/>
  <c r="I327" i="6"/>
  <c r="H327" i="6"/>
  <c r="G327" i="6"/>
  <c r="F327" i="6"/>
  <c r="E327" i="6"/>
  <c r="D327" i="6"/>
  <c r="F319" i="6"/>
  <c r="E319" i="6"/>
  <c r="D319" i="6"/>
  <c r="E313" i="6"/>
  <c r="N307" i="6"/>
  <c r="M307" i="6"/>
  <c r="L307" i="6"/>
  <c r="K307" i="6"/>
  <c r="J307" i="6"/>
  <c r="I307" i="6"/>
  <c r="H307" i="6"/>
  <c r="G307" i="6"/>
  <c r="F307" i="6"/>
  <c r="E307" i="6"/>
  <c r="D307" i="6"/>
  <c r="N306" i="6"/>
  <c r="M306" i="6"/>
  <c r="L306" i="6"/>
  <c r="K306" i="6"/>
  <c r="J306" i="6"/>
  <c r="I306" i="6"/>
  <c r="H306" i="6"/>
  <c r="G306" i="6"/>
  <c r="F306" i="6"/>
  <c r="E306" i="6"/>
  <c r="D306" i="6"/>
  <c r="N305" i="6"/>
  <c r="M305" i="6"/>
  <c r="L305" i="6"/>
  <c r="K305" i="6"/>
  <c r="J305" i="6"/>
  <c r="I305" i="6"/>
  <c r="H305" i="6"/>
  <c r="G305" i="6"/>
  <c r="F305" i="6"/>
  <c r="E305" i="6"/>
  <c r="D305" i="6"/>
  <c r="N304" i="6"/>
  <c r="N308" i="6" s="1"/>
  <c r="M304" i="6"/>
  <c r="M308" i="6" s="1"/>
  <c r="L304" i="6"/>
  <c r="L308" i="6" s="1"/>
  <c r="K304" i="6"/>
  <c r="K308" i="6" s="1"/>
  <c r="J304" i="6"/>
  <c r="J308" i="6" s="1"/>
  <c r="I304" i="6"/>
  <c r="I308" i="6" s="1"/>
  <c r="H304" i="6"/>
  <c r="H308" i="6" s="1"/>
  <c r="G304" i="6"/>
  <c r="G308" i="6" s="1"/>
  <c r="F304" i="6"/>
  <c r="F308" i="6" s="1"/>
  <c r="E304" i="6"/>
  <c r="E308" i="6" s="1"/>
  <c r="D304" i="6"/>
  <c r="D308" i="6" s="1"/>
  <c r="N261" i="6"/>
  <c r="M261" i="6"/>
  <c r="L261" i="6"/>
  <c r="K261" i="6"/>
  <c r="J261" i="6"/>
  <c r="I261" i="6"/>
  <c r="H261" i="6"/>
  <c r="G261" i="6"/>
  <c r="F261" i="6"/>
  <c r="E261" i="6"/>
  <c r="D261" i="6"/>
  <c r="N243" i="6"/>
  <c r="M243" i="6"/>
  <c r="L243" i="6"/>
  <c r="K243" i="6"/>
  <c r="J243" i="6"/>
  <c r="I243" i="6"/>
  <c r="H243" i="6"/>
  <c r="G243" i="6"/>
  <c r="F243" i="6"/>
  <c r="E243" i="6"/>
  <c r="D243" i="6"/>
  <c r="F227" i="6"/>
  <c r="E227" i="6"/>
  <c r="D227" i="6"/>
  <c r="E221" i="6"/>
  <c r="N215" i="6"/>
  <c r="M215" i="6"/>
  <c r="L215" i="6"/>
  <c r="K215" i="6"/>
  <c r="J215" i="6"/>
  <c r="I215" i="6"/>
  <c r="H215" i="6"/>
  <c r="G215" i="6"/>
  <c r="F215" i="6"/>
  <c r="E215" i="6"/>
  <c r="D215" i="6"/>
  <c r="N214" i="6"/>
  <c r="M214" i="6"/>
  <c r="L214" i="6"/>
  <c r="K214" i="6"/>
  <c r="J214" i="6"/>
  <c r="I214" i="6"/>
  <c r="H214" i="6"/>
  <c r="G214" i="6"/>
  <c r="F214" i="6"/>
  <c r="E214" i="6"/>
  <c r="D214" i="6"/>
  <c r="N213" i="6"/>
  <c r="M213" i="6"/>
  <c r="L213" i="6"/>
  <c r="K213" i="6"/>
  <c r="J213" i="6"/>
  <c r="I213" i="6"/>
  <c r="H213" i="6"/>
  <c r="G213" i="6"/>
  <c r="F213" i="6"/>
  <c r="E213" i="6"/>
  <c r="D213" i="6"/>
  <c r="N212" i="6"/>
  <c r="N216" i="6" s="1"/>
  <c r="M212" i="6"/>
  <c r="M216" i="6" s="1"/>
  <c r="L212" i="6"/>
  <c r="L216" i="6" s="1"/>
  <c r="K212" i="6"/>
  <c r="K216" i="6" s="1"/>
  <c r="J212" i="6"/>
  <c r="J216" i="6" s="1"/>
  <c r="I212" i="6"/>
  <c r="I216" i="6" s="1"/>
  <c r="H212" i="6"/>
  <c r="H216" i="6" s="1"/>
  <c r="G212" i="6"/>
  <c r="G216" i="6" s="1"/>
  <c r="F212" i="6"/>
  <c r="F216" i="6" s="1"/>
  <c r="E212" i="6"/>
  <c r="E216" i="6" s="1"/>
  <c r="D212" i="6"/>
  <c r="D216" i="6" s="1"/>
  <c r="N176" i="6"/>
  <c r="M176" i="6"/>
  <c r="L176" i="6"/>
  <c r="K176" i="6"/>
  <c r="J176" i="6"/>
  <c r="I176" i="6"/>
  <c r="H176" i="6"/>
  <c r="G176" i="6"/>
  <c r="F176" i="6"/>
  <c r="E176" i="6"/>
  <c r="D176" i="6"/>
  <c r="N162" i="6"/>
  <c r="M162" i="6"/>
  <c r="L162" i="6"/>
  <c r="K162" i="6"/>
  <c r="J162" i="6"/>
  <c r="I162" i="6"/>
  <c r="H162" i="6"/>
  <c r="G162" i="6"/>
  <c r="F162" i="6"/>
  <c r="E162" i="6"/>
  <c r="D162" i="6"/>
  <c r="N157" i="6"/>
  <c r="M157" i="6"/>
  <c r="L157" i="6"/>
  <c r="K157" i="6"/>
  <c r="J157" i="6"/>
  <c r="I157" i="6"/>
  <c r="H157" i="6"/>
  <c r="G157" i="6"/>
  <c r="F157" i="6"/>
  <c r="E157" i="6"/>
  <c r="D157" i="6"/>
  <c r="F146" i="6"/>
  <c r="E146" i="6"/>
  <c r="D146" i="6"/>
  <c r="E140" i="6"/>
  <c r="N134" i="6"/>
  <c r="M134" i="6"/>
  <c r="L134" i="6"/>
  <c r="K134" i="6"/>
  <c r="J134" i="6"/>
  <c r="I134" i="6"/>
  <c r="H134" i="6"/>
  <c r="G134" i="6"/>
  <c r="F134" i="6"/>
  <c r="E134" i="6"/>
  <c r="D134" i="6"/>
  <c r="N133" i="6"/>
  <c r="M133" i="6"/>
  <c r="L133" i="6"/>
  <c r="K133" i="6"/>
  <c r="J133" i="6"/>
  <c r="I133" i="6"/>
  <c r="H133" i="6"/>
  <c r="G133" i="6"/>
  <c r="F133" i="6"/>
  <c r="E133" i="6"/>
  <c r="D133" i="6"/>
  <c r="N132" i="6"/>
  <c r="M132" i="6"/>
  <c r="L132" i="6"/>
  <c r="K132" i="6"/>
  <c r="J132" i="6"/>
  <c r="I132" i="6"/>
  <c r="H132" i="6"/>
  <c r="G132" i="6"/>
  <c r="F132" i="6"/>
  <c r="E132" i="6"/>
  <c r="D132" i="6"/>
  <c r="N131" i="6"/>
  <c r="N135" i="6" s="1"/>
  <c r="M131" i="6"/>
  <c r="M135" i="6" s="1"/>
  <c r="L131" i="6"/>
  <c r="L135" i="6" s="1"/>
  <c r="K131" i="6"/>
  <c r="K135" i="6" s="1"/>
  <c r="J131" i="6"/>
  <c r="J135" i="6" s="1"/>
  <c r="I131" i="6"/>
  <c r="I135" i="6" s="1"/>
  <c r="H131" i="6"/>
  <c r="H135" i="6" s="1"/>
  <c r="G131" i="6"/>
  <c r="G135" i="6" s="1"/>
  <c r="F131" i="6"/>
  <c r="F135" i="6" s="1"/>
  <c r="E131" i="6"/>
  <c r="E135" i="6" s="1"/>
  <c r="D131" i="6"/>
  <c r="D135" i="6" s="1"/>
  <c r="N80" i="6"/>
  <c r="M80" i="6"/>
  <c r="L80" i="6"/>
  <c r="K80" i="6"/>
  <c r="J80" i="6"/>
  <c r="I80" i="6"/>
  <c r="H80" i="6"/>
  <c r="G80" i="6"/>
  <c r="F80" i="6"/>
  <c r="E80" i="6"/>
  <c r="D80" i="6"/>
  <c r="N72" i="6"/>
  <c r="M72" i="6"/>
  <c r="L72" i="6"/>
  <c r="K72" i="6"/>
  <c r="J72" i="6"/>
  <c r="I72" i="6"/>
  <c r="H72" i="6"/>
  <c r="G72" i="6"/>
  <c r="F72" i="6"/>
  <c r="E72" i="6"/>
  <c r="D72" i="6"/>
  <c r="N64" i="6"/>
  <c r="M64" i="6"/>
  <c r="L64" i="6"/>
  <c r="K64" i="6"/>
  <c r="J64" i="6"/>
  <c r="I64" i="6"/>
  <c r="H64" i="6"/>
  <c r="G64" i="6"/>
  <c r="F64" i="6"/>
  <c r="E64" i="6"/>
  <c r="D64" i="6"/>
  <c r="N56" i="6"/>
  <c r="M56" i="6"/>
  <c r="L56" i="6"/>
  <c r="K56" i="6"/>
  <c r="J56" i="6"/>
  <c r="I56" i="6"/>
  <c r="H56" i="6"/>
  <c r="G56" i="6"/>
  <c r="F56" i="6"/>
  <c r="E56" i="6"/>
  <c r="D56" i="6"/>
  <c r="N38" i="6"/>
  <c r="M38" i="6"/>
  <c r="L38" i="6"/>
  <c r="K38" i="6"/>
  <c r="J38" i="6"/>
  <c r="I38" i="6"/>
  <c r="H38" i="6"/>
  <c r="G38" i="6"/>
  <c r="F38" i="6"/>
  <c r="E38" i="6"/>
  <c r="D38" i="6"/>
  <c r="F22" i="6"/>
  <c r="E22" i="6"/>
  <c r="D22" i="6"/>
  <c r="N17" i="6"/>
  <c r="M17" i="6"/>
  <c r="L17" i="6"/>
  <c r="K17" i="6"/>
  <c r="J17" i="6"/>
  <c r="I17" i="6"/>
  <c r="H17" i="6"/>
  <c r="G17" i="6"/>
  <c r="F17" i="6"/>
  <c r="E17" i="6"/>
  <c r="D17" i="6"/>
  <c r="N15" i="6"/>
  <c r="M15" i="6"/>
  <c r="L15" i="6"/>
  <c r="K15" i="6"/>
  <c r="J15" i="6"/>
  <c r="I15" i="6"/>
  <c r="H15" i="6"/>
  <c r="G15" i="6"/>
  <c r="F15" i="6"/>
  <c r="E15" i="6"/>
  <c r="D15" i="6"/>
  <c r="N14" i="6"/>
  <c r="M14" i="6"/>
  <c r="L14" i="6"/>
  <c r="K14" i="6"/>
  <c r="J14" i="6"/>
  <c r="I14" i="6"/>
  <c r="H14" i="6"/>
  <c r="G14" i="6"/>
  <c r="F14" i="6"/>
  <c r="E14" i="6"/>
  <c r="D14" i="6"/>
  <c r="N13" i="6"/>
  <c r="M13" i="6"/>
  <c r="L13" i="6"/>
  <c r="K13" i="6"/>
  <c r="J13" i="6"/>
  <c r="I13" i="6"/>
  <c r="H13" i="6"/>
  <c r="G13" i="6"/>
  <c r="F13" i="6"/>
  <c r="E13" i="6"/>
  <c r="D13" i="6"/>
  <c r="N12" i="6"/>
  <c r="M12" i="6"/>
  <c r="L12" i="6"/>
  <c r="K12" i="6"/>
  <c r="J12" i="6"/>
  <c r="I12" i="6"/>
  <c r="H12" i="6"/>
  <c r="G12" i="6"/>
  <c r="F12" i="6"/>
  <c r="E12" i="6"/>
  <c r="D12" i="6"/>
  <c r="N11" i="6"/>
  <c r="N18" i="6" s="1"/>
  <c r="M11" i="6"/>
  <c r="M18" i="6" s="1"/>
  <c r="L11" i="6"/>
  <c r="L18" i="6" s="1"/>
  <c r="K11" i="6"/>
  <c r="K18" i="6" s="1"/>
  <c r="J11" i="6"/>
  <c r="J18" i="6" s="1"/>
  <c r="I11" i="6"/>
  <c r="I18" i="6" s="1"/>
  <c r="H11" i="6"/>
  <c r="H18" i="6" s="1"/>
  <c r="G11" i="6"/>
  <c r="G18" i="6" s="1"/>
  <c r="F11" i="6"/>
  <c r="F18" i="6" s="1"/>
  <c r="E11" i="6"/>
  <c r="E18" i="6" s="1"/>
  <c r="D11" i="6"/>
  <c r="D18" i="6" s="1"/>
  <c r="N405" i="5"/>
  <c r="M405" i="5"/>
  <c r="L405" i="5"/>
  <c r="N403" i="5"/>
  <c r="M403" i="5"/>
  <c r="L403" i="5"/>
  <c r="N401" i="5"/>
  <c r="M401" i="5"/>
  <c r="L401" i="5"/>
  <c r="W397" i="5"/>
  <c r="V397" i="5"/>
  <c r="U397" i="5"/>
  <c r="T397" i="5"/>
  <c r="R397" i="5"/>
  <c r="Q397" i="5"/>
  <c r="P397" i="5"/>
  <c r="O397" i="5"/>
  <c r="K397" i="5"/>
  <c r="J397" i="5"/>
  <c r="I397" i="5"/>
  <c r="H397" i="5"/>
  <c r="G397" i="5"/>
  <c r="F397" i="5"/>
  <c r="E397" i="5"/>
  <c r="D397" i="5"/>
  <c r="W396" i="5"/>
  <c r="W398" i="5" s="1"/>
  <c r="W406" i="5" s="1"/>
  <c r="V396" i="5"/>
  <c r="V398" i="5" s="1"/>
  <c r="V406" i="5" s="1"/>
  <c r="U396" i="5"/>
  <c r="U398" i="5" s="1"/>
  <c r="T396" i="5"/>
  <c r="T398" i="5" s="1"/>
  <c r="R396" i="5"/>
  <c r="R398" i="5" s="1"/>
  <c r="Q396" i="5"/>
  <c r="Q398" i="5" s="1"/>
  <c r="O396" i="5"/>
  <c r="O398" i="5" s="1"/>
  <c r="K396" i="5"/>
  <c r="K398" i="5" s="1"/>
  <c r="J396" i="5"/>
  <c r="J398" i="5" s="1"/>
  <c r="I396" i="5"/>
  <c r="I398" i="5" s="1"/>
  <c r="H396" i="5"/>
  <c r="H398" i="5" s="1"/>
  <c r="G396" i="5"/>
  <c r="G398" i="5" s="1"/>
  <c r="F396" i="5"/>
  <c r="F398" i="5" s="1"/>
  <c r="E396" i="5"/>
  <c r="E398" i="5" s="1"/>
  <c r="D396" i="5"/>
  <c r="D398" i="5" s="1"/>
  <c r="N393" i="5"/>
  <c r="M393" i="5"/>
  <c r="L393" i="5"/>
  <c r="N392" i="5"/>
  <c r="M392" i="5"/>
  <c r="L392" i="5"/>
  <c r="S389" i="5"/>
  <c r="S397" i="5" s="1"/>
  <c r="N389" i="5"/>
  <c r="N397" i="5" s="1"/>
  <c r="M389" i="5"/>
  <c r="M397" i="5" s="1"/>
  <c r="L389" i="5"/>
  <c r="L397" i="5" s="1"/>
  <c r="S388" i="5"/>
  <c r="S396" i="5" s="1"/>
  <c r="S398" i="5" s="1"/>
  <c r="P388" i="5"/>
  <c r="P396" i="5" s="1"/>
  <c r="P398" i="5" s="1"/>
  <c r="N388" i="5"/>
  <c r="N396" i="5" s="1"/>
  <c r="N398" i="5" s="1"/>
  <c r="M388" i="5"/>
  <c r="M396" i="5" s="1"/>
  <c r="M398" i="5" s="1"/>
  <c r="L388" i="5"/>
  <c r="L396" i="5" s="1"/>
  <c r="L398" i="5" s="1"/>
  <c r="O387" i="5"/>
  <c r="N387" i="5"/>
  <c r="M387" i="5"/>
  <c r="L387" i="5"/>
  <c r="K387" i="5"/>
  <c r="J387" i="5"/>
  <c r="I387" i="5"/>
  <c r="H387" i="5"/>
  <c r="G387" i="5"/>
  <c r="F387" i="5"/>
  <c r="E387" i="5"/>
  <c r="D387" i="5"/>
  <c r="M379" i="5"/>
  <c r="S377" i="5"/>
  <c r="R377" i="5"/>
  <c r="Y373" i="5"/>
  <c r="W373" i="5"/>
  <c r="V373" i="5"/>
  <c r="U373" i="5"/>
  <c r="T373" i="5"/>
  <c r="S373" i="5"/>
  <c r="R373" i="5"/>
  <c r="Q373" i="5"/>
  <c r="P373" i="5"/>
  <c r="O373" i="5"/>
  <c r="N373" i="5"/>
  <c r="M373" i="5"/>
  <c r="L373" i="5"/>
  <c r="J373" i="5"/>
  <c r="I373" i="5"/>
  <c r="H373" i="5"/>
  <c r="G373" i="5"/>
  <c r="F373" i="5"/>
  <c r="E373" i="5"/>
  <c r="D373" i="5"/>
  <c r="W372" i="5"/>
  <c r="V372" i="5"/>
  <c r="U372" i="5"/>
  <c r="T372" i="5"/>
  <c r="Q372" i="5"/>
  <c r="P372" i="5"/>
  <c r="M372" i="5"/>
  <c r="G372" i="5"/>
  <c r="F372" i="5"/>
  <c r="E372" i="5"/>
  <c r="D372" i="5"/>
  <c r="W371" i="5"/>
  <c r="W374" i="5" s="1"/>
  <c r="V371" i="5"/>
  <c r="V374" i="5" s="1"/>
  <c r="U371" i="5"/>
  <c r="U374" i="5" s="1"/>
  <c r="T371" i="5"/>
  <c r="T374" i="5" s="1"/>
  <c r="R371" i="5"/>
  <c r="Q371" i="5"/>
  <c r="Q374" i="5" s="1"/>
  <c r="P371" i="5"/>
  <c r="P374" i="5" s="1"/>
  <c r="M371" i="5"/>
  <c r="M374" i="5" s="1"/>
  <c r="G371" i="5"/>
  <c r="G374" i="5" s="1"/>
  <c r="F371" i="5"/>
  <c r="F374" i="5" s="1"/>
  <c r="E371" i="5"/>
  <c r="E374" i="5" s="1"/>
  <c r="D371" i="5"/>
  <c r="D374" i="5" s="1"/>
  <c r="K368" i="5"/>
  <c r="K373" i="5" s="1"/>
  <c r="O365" i="5"/>
  <c r="O364" i="5"/>
  <c r="O363" i="5"/>
  <c r="O362" i="5"/>
  <c r="O359" i="5"/>
  <c r="K359" i="5"/>
  <c r="I359" i="5"/>
  <c r="O358" i="5"/>
  <c r="K358" i="5"/>
  <c r="I358" i="5"/>
  <c r="O357" i="5"/>
  <c r="K357" i="5"/>
  <c r="O356" i="5"/>
  <c r="K356" i="5"/>
  <c r="H356" i="5"/>
  <c r="S353" i="5"/>
  <c r="O353" i="5"/>
  <c r="N353" i="5"/>
  <c r="L353" i="5"/>
  <c r="K353" i="5"/>
  <c r="J353" i="5"/>
  <c r="I353" i="5"/>
  <c r="H353" i="5"/>
  <c r="S352" i="5"/>
  <c r="O352" i="5"/>
  <c r="N352" i="5"/>
  <c r="L352" i="5"/>
  <c r="K352" i="5"/>
  <c r="J352" i="5"/>
  <c r="I352" i="5"/>
  <c r="H352" i="5"/>
  <c r="S351" i="5"/>
  <c r="S372" i="5" s="1"/>
  <c r="R351" i="5"/>
  <c r="R372" i="5" s="1"/>
  <c r="O351" i="5"/>
  <c r="O372" i="5" s="1"/>
  <c r="N351" i="5"/>
  <c r="N372" i="5" s="1"/>
  <c r="L351" i="5"/>
  <c r="L372" i="5" s="1"/>
  <c r="K351" i="5"/>
  <c r="K372" i="5" s="1"/>
  <c r="J351" i="5"/>
  <c r="J372" i="5" s="1"/>
  <c r="I351" i="5"/>
  <c r="I372" i="5" s="1"/>
  <c r="H351" i="5"/>
  <c r="H372" i="5" s="1"/>
  <c r="S348" i="5"/>
  <c r="O348" i="5"/>
  <c r="N348" i="5"/>
  <c r="L348" i="5"/>
  <c r="K348" i="5"/>
  <c r="J348" i="5"/>
  <c r="I348" i="5"/>
  <c r="H348" i="5"/>
  <c r="S347" i="5"/>
  <c r="O347" i="5"/>
  <c r="N347" i="5"/>
  <c r="L347" i="5"/>
  <c r="K347" i="5"/>
  <c r="J347" i="5"/>
  <c r="I347" i="5"/>
  <c r="H347" i="5"/>
  <c r="S346" i="5"/>
  <c r="S371" i="5" s="1"/>
  <c r="S374" i="5" s="1"/>
  <c r="O346" i="5"/>
  <c r="O371" i="5" s="1"/>
  <c r="O374" i="5" s="1"/>
  <c r="N346" i="5"/>
  <c r="N371" i="5" s="1"/>
  <c r="N374" i="5" s="1"/>
  <c r="L346" i="5"/>
  <c r="L371" i="5" s="1"/>
  <c r="L374" i="5" s="1"/>
  <c r="K346" i="5"/>
  <c r="K371" i="5" s="1"/>
  <c r="K374" i="5" s="1"/>
  <c r="J346" i="5"/>
  <c r="J371" i="5" s="1"/>
  <c r="J374" i="5" s="1"/>
  <c r="I346" i="5"/>
  <c r="I371" i="5" s="1"/>
  <c r="I374" i="5" s="1"/>
  <c r="H346" i="5"/>
  <c r="H371" i="5" s="1"/>
  <c r="H374" i="5" s="1"/>
  <c r="O345" i="5"/>
  <c r="N345" i="5"/>
  <c r="M345" i="5"/>
  <c r="L345" i="5"/>
  <c r="K345" i="5"/>
  <c r="J345" i="5"/>
  <c r="I345" i="5"/>
  <c r="H345" i="5"/>
  <c r="G345" i="5"/>
  <c r="F345" i="5"/>
  <c r="E345" i="5"/>
  <c r="D345" i="5"/>
  <c r="N339" i="5"/>
  <c r="M339" i="5"/>
  <c r="L339" i="5"/>
  <c r="O337" i="5"/>
  <c r="N337" i="5"/>
  <c r="M337" i="5"/>
  <c r="L337" i="5"/>
  <c r="N335" i="5"/>
  <c r="M335" i="5"/>
  <c r="L335" i="5"/>
  <c r="W331" i="5"/>
  <c r="V331" i="5"/>
  <c r="U331" i="5"/>
  <c r="T331" i="5"/>
  <c r="S331" i="5"/>
  <c r="R331" i="5"/>
  <c r="Q331" i="5"/>
  <c r="P331" i="5"/>
  <c r="O331" i="5"/>
  <c r="N331" i="5"/>
  <c r="M331" i="5"/>
  <c r="L331" i="5"/>
  <c r="K331" i="5"/>
  <c r="J331" i="5"/>
  <c r="I331" i="5"/>
  <c r="H331" i="5"/>
  <c r="G331" i="5"/>
  <c r="F331" i="5"/>
  <c r="E331" i="5"/>
  <c r="D331" i="5"/>
  <c r="W330" i="5"/>
  <c r="V330" i="5"/>
  <c r="U330" i="5"/>
  <c r="T330" i="5"/>
  <c r="S330" i="5"/>
  <c r="R330" i="5"/>
  <c r="Q330" i="5"/>
  <c r="P330" i="5"/>
  <c r="O330" i="5"/>
  <c r="N330" i="5"/>
  <c r="M330" i="5"/>
  <c r="L330" i="5"/>
  <c r="K330" i="5"/>
  <c r="J330" i="5"/>
  <c r="I330" i="5"/>
  <c r="H330" i="5"/>
  <c r="G330" i="5"/>
  <c r="F330" i="5"/>
  <c r="E330" i="5"/>
  <c r="D330" i="5"/>
  <c r="W329" i="5"/>
  <c r="W332" i="5" s="1"/>
  <c r="W340" i="5" s="1"/>
  <c r="V329" i="5"/>
  <c r="V332" i="5" s="1"/>
  <c r="V340" i="5" s="1"/>
  <c r="U329" i="5"/>
  <c r="U332" i="5" s="1"/>
  <c r="T329" i="5"/>
  <c r="T332" i="5" s="1"/>
  <c r="S329" i="5"/>
  <c r="S332" i="5" s="1"/>
  <c r="R329" i="5"/>
  <c r="R332" i="5" s="1"/>
  <c r="Q329" i="5"/>
  <c r="Q332" i="5" s="1"/>
  <c r="P329" i="5"/>
  <c r="P332" i="5" s="1"/>
  <c r="O329" i="5"/>
  <c r="O332" i="5" s="1"/>
  <c r="N329" i="5"/>
  <c r="N332" i="5" s="1"/>
  <c r="M329" i="5"/>
  <c r="M332" i="5" s="1"/>
  <c r="L329" i="5"/>
  <c r="L332" i="5" s="1"/>
  <c r="K329" i="5"/>
  <c r="K332" i="5" s="1"/>
  <c r="J329" i="5"/>
  <c r="J332" i="5" s="1"/>
  <c r="I329" i="5"/>
  <c r="I332" i="5" s="1"/>
  <c r="H329" i="5"/>
  <c r="H332" i="5" s="1"/>
  <c r="G329" i="5"/>
  <c r="G332" i="5" s="1"/>
  <c r="F329" i="5"/>
  <c r="F332" i="5" s="1"/>
  <c r="E329" i="5"/>
  <c r="E332" i="5" s="1"/>
  <c r="D329" i="5"/>
  <c r="D332" i="5" s="1"/>
  <c r="M316" i="5"/>
  <c r="N315" i="5"/>
  <c r="M312" i="5"/>
  <c r="N311" i="5"/>
  <c r="N309" i="5"/>
  <c r="M309" i="5"/>
  <c r="L309" i="5"/>
  <c r="N308" i="5"/>
  <c r="M308" i="5"/>
  <c r="L308" i="5"/>
  <c r="N307" i="5"/>
  <c r="M307" i="5"/>
  <c r="L307" i="5"/>
  <c r="O306" i="5"/>
  <c r="N306" i="5"/>
  <c r="M306" i="5"/>
  <c r="L306" i="5"/>
  <c r="K306" i="5"/>
  <c r="J306" i="5"/>
  <c r="I306" i="5"/>
  <c r="H306" i="5"/>
  <c r="G306" i="5"/>
  <c r="F306" i="5"/>
  <c r="E306" i="5"/>
  <c r="D306" i="5"/>
  <c r="N300" i="5"/>
  <c r="M300" i="5"/>
  <c r="L300" i="5"/>
  <c r="N298" i="5"/>
  <c r="M298" i="5"/>
  <c r="L298" i="5"/>
  <c r="N296" i="5"/>
  <c r="M296" i="5"/>
  <c r="L296" i="5"/>
  <c r="Y292" i="5"/>
  <c r="W292" i="5"/>
  <c r="V292" i="5"/>
  <c r="U292" i="5"/>
  <c r="T292" i="5"/>
  <c r="S292" i="5"/>
  <c r="R292" i="5"/>
  <c r="Q292" i="5"/>
  <c r="P292" i="5"/>
  <c r="O292" i="5"/>
  <c r="K292" i="5"/>
  <c r="J292" i="5"/>
  <c r="I292" i="5"/>
  <c r="H292" i="5"/>
  <c r="G292" i="5"/>
  <c r="F292" i="5"/>
  <c r="E292" i="5"/>
  <c r="D292" i="5"/>
  <c r="W291" i="5"/>
  <c r="V291" i="5"/>
  <c r="U291" i="5"/>
  <c r="T291" i="5"/>
  <c r="S291" i="5"/>
  <c r="R291" i="5"/>
  <c r="Q291" i="5"/>
  <c r="P291" i="5"/>
  <c r="O291" i="5"/>
  <c r="K291" i="5"/>
  <c r="J291" i="5"/>
  <c r="I291" i="5"/>
  <c r="H291" i="5"/>
  <c r="G291" i="5"/>
  <c r="F291" i="5"/>
  <c r="E291" i="5"/>
  <c r="D291" i="5"/>
  <c r="W290" i="5"/>
  <c r="V290" i="5"/>
  <c r="U290" i="5"/>
  <c r="T290" i="5"/>
  <c r="S290" i="5"/>
  <c r="R290" i="5"/>
  <c r="Q290" i="5"/>
  <c r="P290" i="5"/>
  <c r="O290" i="5"/>
  <c r="K290" i="5"/>
  <c r="J290" i="5"/>
  <c r="I290" i="5"/>
  <c r="H290" i="5"/>
  <c r="G290" i="5"/>
  <c r="F290" i="5"/>
  <c r="E290" i="5"/>
  <c r="D290" i="5"/>
  <c r="W289" i="5"/>
  <c r="W293" i="5" s="1"/>
  <c r="W301" i="5" s="1"/>
  <c r="V289" i="5"/>
  <c r="V293" i="5" s="1"/>
  <c r="V301" i="5" s="1"/>
  <c r="U289" i="5"/>
  <c r="U293" i="5" s="1"/>
  <c r="T289" i="5"/>
  <c r="T293" i="5" s="1"/>
  <c r="S289" i="5"/>
  <c r="S293" i="5" s="1"/>
  <c r="R289" i="5"/>
  <c r="R293" i="5" s="1"/>
  <c r="Q289" i="5"/>
  <c r="Q293" i="5" s="1"/>
  <c r="P289" i="5"/>
  <c r="P293" i="5" s="1"/>
  <c r="K289" i="5"/>
  <c r="K293" i="5" s="1"/>
  <c r="J289" i="5"/>
  <c r="J293" i="5" s="1"/>
  <c r="I289" i="5"/>
  <c r="I293" i="5" s="1"/>
  <c r="H289" i="5"/>
  <c r="H293" i="5" s="1"/>
  <c r="G289" i="5"/>
  <c r="G293" i="5" s="1"/>
  <c r="F289" i="5"/>
  <c r="F293" i="5" s="1"/>
  <c r="E289" i="5"/>
  <c r="E293" i="5" s="1"/>
  <c r="D289" i="5"/>
  <c r="D293" i="5" s="1"/>
  <c r="N286" i="5"/>
  <c r="N292" i="5" s="1"/>
  <c r="M286" i="5"/>
  <c r="M292" i="5" s="1"/>
  <c r="L286" i="5"/>
  <c r="L292" i="5" s="1"/>
  <c r="N285" i="5"/>
  <c r="M285" i="5"/>
  <c r="L285" i="5"/>
  <c r="N282" i="5"/>
  <c r="M282" i="5"/>
  <c r="L282" i="5"/>
  <c r="N281" i="5"/>
  <c r="M281" i="5"/>
  <c r="L281" i="5"/>
  <c r="N278" i="5"/>
  <c r="M278" i="5"/>
  <c r="L278" i="5"/>
  <c r="N277" i="5"/>
  <c r="M277" i="5"/>
  <c r="L277" i="5"/>
  <c r="N276" i="5"/>
  <c r="M276" i="5"/>
  <c r="L276" i="5"/>
  <c r="N275" i="5"/>
  <c r="M275" i="5"/>
  <c r="L275" i="5"/>
  <c r="N274" i="5"/>
  <c r="M274" i="5"/>
  <c r="L274" i="5"/>
  <c r="N273" i="5"/>
  <c r="M273" i="5"/>
  <c r="L273" i="5"/>
  <c r="N272" i="5"/>
  <c r="M272" i="5"/>
  <c r="L272" i="5"/>
  <c r="N269" i="5"/>
  <c r="N291" i="5" s="1"/>
  <c r="M269" i="5"/>
  <c r="M291" i="5" s="1"/>
  <c r="L269" i="5"/>
  <c r="L291" i="5" s="1"/>
  <c r="N268" i="5"/>
  <c r="N290" i="5" s="1"/>
  <c r="M268" i="5"/>
  <c r="M290" i="5" s="1"/>
  <c r="L268" i="5"/>
  <c r="L290" i="5" s="1"/>
  <c r="S265" i="5"/>
  <c r="R265" i="5"/>
  <c r="Q265" i="5"/>
  <c r="P265" i="5"/>
  <c r="M265" i="5"/>
  <c r="L265" i="5"/>
  <c r="K265" i="5"/>
  <c r="J265" i="5"/>
  <c r="I265" i="5"/>
  <c r="H265" i="5"/>
  <c r="G265" i="5"/>
  <c r="O263" i="5"/>
  <c r="O265" i="5" s="1"/>
  <c r="N263" i="5"/>
  <c r="O261" i="5"/>
  <c r="N261" i="5"/>
  <c r="M261" i="5"/>
  <c r="N260" i="5"/>
  <c r="W258" i="5"/>
  <c r="V258" i="5"/>
  <c r="U258" i="5"/>
  <c r="T258" i="5"/>
  <c r="S258" i="5"/>
  <c r="R258" i="5"/>
  <c r="Q258" i="5"/>
  <c r="P258" i="5"/>
  <c r="K258" i="5"/>
  <c r="J258" i="5"/>
  <c r="I258" i="5"/>
  <c r="H258" i="5"/>
  <c r="G258" i="5"/>
  <c r="F258" i="5"/>
  <c r="E258" i="5"/>
  <c r="D258" i="5"/>
  <c r="N257" i="5"/>
  <c r="M257" i="5"/>
  <c r="L257" i="5"/>
  <c r="N256" i="5"/>
  <c r="M256" i="5"/>
  <c r="L256" i="5"/>
  <c r="N255" i="5"/>
  <c r="M255" i="5"/>
  <c r="L255" i="5"/>
  <c r="N254" i="5"/>
  <c r="M254" i="5"/>
  <c r="L254" i="5"/>
  <c r="N253" i="5"/>
  <c r="M253" i="5"/>
  <c r="L253" i="5"/>
  <c r="N252" i="5"/>
  <c r="M252" i="5"/>
  <c r="L252" i="5"/>
  <c r="O251" i="5"/>
  <c r="N251" i="5"/>
  <c r="N258" i="5" s="1"/>
  <c r="M251" i="5"/>
  <c r="M258" i="5" s="1"/>
  <c r="L251" i="5"/>
  <c r="L258" i="5" s="1"/>
  <c r="O250" i="5"/>
  <c r="N250" i="5"/>
  <c r="M250" i="5"/>
  <c r="L250" i="5"/>
  <c r="K250" i="5"/>
  <c r="J250" i="5"/>
  <c r="I250" i="5"/>
  <c r="H250" i="5"/>
  <c r="G250" i="5"/>
  <c r="F250" i="5"/>
  <c r="E250" i="5"/>
  <c r="D250" i="5"/>
  <c r="N244" i="5"/>
  <c r="M244" i="5"/>
  <c r="L244" i="5"/>
  <c r="O242" i="5"/>
  <c r="N242" i="5"/>
  <c r="M242" i="5"/>
  <c r="L242" i="5"/>
  <c r="N240" i="5"/>
  <c r="M240" i="5"/>
  <c r="L240" i="5"/>
  <c r="N237" i="5"/>
  <c r="M237" i="5"/>
  <c r="L237" i="5"/>
  <c r="W236" i="5"/>
  <c r="V236" i="5"/>
  <c r="U236" i="5"/>
  <c r="T236" i="5"/>
  <c r="S236" i="5"/>
  <c r="R236" i="5"/>
  <c r="Q236" i="5"/>
  <c r="P236" i="5"/>
  <c r="O236" i="5"/>
  <c r="N236" i="5"/>
  <c r="M236" i="5"/>
  <c r="L236" i="5"/>
  <c r="K236" i="5"/>
  <c r="J236" i="5"/>
  <c r="I236" i="5"/>
  <c r="H236" i="5"/>
  <c r="G236" i="5"/>
  <c r="F236" i="5"/>
  <c r="E236" i="5"/>
  <c r="D236" i="5"/>
  <c r="W235" i="5"/>
  <c r="V235" i="5"/>
  <c r="U235" i="5"/>
  <c r="T235" i="5"/>
  <c r="S235" i="5"/>
  <c r="R235" i="5"/>
  <c r="Q235" i="5"/>
  <c r="P235" i="5"/>
  <c r="O235" i="5"/>
  <c r="N235" i="5"/>
  <c r="M235" i="5"/>
  <c r="L235" i="5"/>
  <c r="K235" i="5"/>
  <c r="J235" i="5"/>
  <c r="I235" i="5"/>
  <c r="H235" i="5"/>
  <c r="G235" i="5"/>
  <c r="F235" i="5"/>
  <c r="E235" i="5"/>
  <c r="D235" i="5"/>
  <c r="W234" i="5"/>
  <c r="V234" i="5"/>
  <c r="U234" i="5"/>
  <c r="T234" i="5"/>
  <c r="S234" i="5"/>
  <c r="R234" i="5"/>
  <c r="Q234" i="5"/>
  <c r="P234" i="5"/>
  <c r="O234" i="5"/>
  <c r="N234" i="5"/>
  <c r="M234" i="5"/>
  <c r="L234" i="5"/>
  <c r="K234" i="5"/>
  <c r="J234" i="5"/>
  <c r="I234" i="5"/>
  <c r="H234" i="5"/>
  <c r="G234" i="5"/>
  <c r="F234" i="5"/>
  <c r="E234" i="5"/>
  <c r="D234" i="5"/>
  <c r="W233" i="5"/>
  <c r="W237" i="5" s="1"/>
  <c r="W245" i="5" s="1"/>
  <c r="V233" i="5"/>
  <c r="V237" i="5" s="1"/>
  <c r="V245" i="5" s="1"/>
  <c r="U233" i="5"/>
  <c r="U237" i="5" s="1"/>
  <c r="T233" i="5"/>
  <c r="T237" i="5" s="1"/>
  <c r="S233" i="5"/>
  <c r="S237" i="5" s="1"/>
  <c r="R233" i="5"/>
  <c r="R237" i="5" s="1"/>
  <c r="Q233" i="5"/>
  <c r="Q237" i="5" s="1"/>
  <c r="P233" i="5"/>
  <c r="P237" i="5" s="1"/>
  <c r="O233" i="5"/>
  <c r="O237" i="5" s="1"/>
  <c r="N233" i="5"/>
  <c r="M233" i="5"/>
  <c r="L233" i="5"/>
  <c r="K233" i="5"/>
  <c r="K237" i="5" s="1"/>
  <c r="J233" i="5"/>
  <c r="J237" i="5" s="1"/>
  <c r="I233" i="5"/>
  <c r="I237" i="5" s="1"/>
  <c r="H233" i="5"/>
  <c r="H237" i="5" s="1"/>
  <c r="G233" i="5"/>
  <c r="G237" i="5" s="1"/>
  <c r="F233" i="5"/>
  <c r="F237" i="5" s="1"/>
  <c r="E233" i="5"/>
  <c r="E237" i="5" s="1"/>
  <c r="D233" i="5"/>
  <c r="D237" i="5" s="1"/>
  <c r="N230" i="5"/>
  <c r="M230" i="5"/>
  <c r="L230" i="5"/>
  <c r="N229" i="5"/>
  <c r="N231" i="5" s="1"/>
  <c r="M229" i="5"/>
  <c r="L229" i="5"/>
  <c r="N226" i="5"/>
  <c r="M226" i="5"/>
  <c r="L226" i="5"/>
  <c r="N225" i="5"/>
  <c r="M225" i="5"/>
  <c r="L225" i="5"/>
  <c r="N222" i="5"/>
  <c r="M222" i="5"/>
  <c r="L222" i="5"/>
  <c r="N221" i="5"/>
  <c r="M221" i="5"/>
  <c r="L221" i="5"/>
  <c r="N220" i="5"/>
  <c r="M220" i="5"/>
  <c r="L220" i="5"/>
  <c r="N219" i="5"/>
  <c r="M219" i="5"/>
  <c r="L219" i="5"/>
  <c r="N218" i="5"/>
  <c r="M218" i="5"/>
  <c r="L218" i="5"/>
  <c r="N215" i="5"/>
  <c r="M215" i="5"/>
  <c r="L215" i="5"/>
  <c r="N214" i="5"/>
  <c r="M214" i="5"/>
  <c r="L214" i="5"/>
  <c r="S211" i="5"/>
  <c r="R211" i="5"/>
  <c r="Q211" i="5"/>
  <c r="P211" i="5"/>
  <c r="O211" i="5"/>
  <c r="M211" i="5"/>
  <c r="L211" i="5"/>
  <c r="K211" i="5"/>
  <c r="J211" i="5"/>
  <c r="I211" i="5"/>
  <c r="H211" i="5"/>
  <c r="G211" i="5"/>
  <c r="F211" i="5"/>
  <c r="E211" i="5"/>
  <c r="O207" i="5"/>
  <c r="N207" i="5"/>
  <c r="M207" i="5"/>
  <c r="N206" i="5"/>
  <c r="N211" i="5" s="1"/>
  <c r="W204" i="5"/>
  <c r="V204" i="5"/>
  <c r="U204" i="5"/>
  <c r="T204" i="5"/>
  <c r="S204" i="5"/>
  <c r="R204" i="5"/>
  <c r="Q204" i="5"/>
  <c r="P204" i="5"/>
  <c r="O204" i="5"/>
  <c r="K204" i="5"/>
  <c r="J204" i="5"/>
  <c r="I204" i="5"/>
  <c r="H204" i="5"/>
  <c r="G204" i="5"/>
  <c r="F204" i="5"/>
  <c r="E204" i="5"/>
  <c r="D204" i="5"/>
  <c r="N203" i="5"/>
  <c r="M203" i="5"/>
  <c r="L203" i="5"/>
  <c r="N202" i="5"/>
  <c r="M202" i="5"/>
  <c r="L202" i="5"/>
  <c r="N201" i="5"/>
  <c r="M201" i="5"/>
  <c r="L201" i="5"/>
  <c r="N200" i="5"/>
  <c r="M200" i="5"/>
  <c r="L200" i="5"/>
  <c r="N199" i="5"/>
  <c r="N204" i="5" s="1"/>
  <c r="M199" i="5"/>
  <c r="M204" i="5" s="1"/>
  <c r="L199" i="5"/>
  <c r="L204" i="5" s="1"/>
  <c r="O198" i="5"/>
  <c r="N198" i="5"/>
  <c r="M198" i="5"/>
  <c r="L198" i="5"/>
  <c r="K198" i="5"/>
  <c r="J198" i="5"/>
  <c r="I198" i="5"/>
  <c r="H198" i="5"/>
  <c r="G198" i="5"/>
  <c r="F198" i="5"/>
  <c r="E198" i="5"/>
  <c r="D198" i="5"/>
  <c r="N192" i="5"/>
  <c r="M192" i="5"/>
  <c r="L192" i="5"/>
  <c r="O190" i="5"/>
  <c r="N190" i="5"/>
  <c r="M190" i="5"/>
  <c r="L190" i="5"/>
  <c r="N188" i="5"/>
  <c r="M188" i="5"/>
  <c r="L188" i="5"/>
  <c r="Y184" i="5"/>
  <c r="W184" i="5"/>
  <c r="V184" i="5"/>
  <c r="U184" i="5"/>
  <c r="T184" i="5"/>
  <c r="S184" i="5"/>
  <c r="R184" i="5"/>
  <c r="Q184" i="5"/>
  <c r="P184" i="5"/>
  <c r="O184" i="5"/>
  <c r="K184" i="5"/>
  <c r="J184" i="5"/>
  <c r="I184" i="5"/>
  <c r="H184" i="5"/>
  <c r="G184" i="5"/>
  <c r="F184" i="5"/>
  <c r="E184" i="5"/>
  <c r="D184" i="5"/>
  <c r="W183" i="5"/>
  <c r="V183" i="5"/>
  <c r="U183" i="5"/>
  <c r="T183" i="5"/>
  <c r="S183" i="5"/>
  <c r="R183" i="5"/>
  <c r="Q183" i="5"/>
  <c r="P183" i="5"/>
  <c r="O183" i="5"/>
  <c r="K183" i="5"/>
  <c r="J183" i="5"/>
  <c r="I183" i="5"/>
  <c r="H183" i="5"/>
  <c r="G183" i="5"/>
  <c r="F183" i="5"/>
  <c r="E183" i="5"/>
  <c r="D183" i="5"/>
  <c r="W182" i="5"/>
  <c r="V182" i="5"/>
  <c r="U182" i="5"/>
  <c r="T182" i="5"/>
  <c r="S182" i="5"/>
  <c r="R182" i="5"/>
  <c r="Q182" i="5"/>
  <c r="P182" i="5"/>
  <c r="O182" i="5"/>
  <c r="K182" i="5"/>
  <c r="J182" i="5"/>
  <c r="I182" i="5"/>
  <c r="H182" i="5"/>
  <c r="G182" i="5"/>
  <c r="F182" i="5"/>
  <c r="E182" i="5"/>
  <c r="D182" i="5"/>
  <c r="W181" i="5"/>
  <c r="W185" i="5" s="1"/>
  <c r="V181" i="5"/>
  <c r="V185" i="5" s="1"/>
  <c r="U181" i="5"/>
  <c r="U185" i="5" s="1"/>
  <c r="T181" i="5"/>
  <c r="T185" i="5" s="1"/>
  <c r="S181" i="5"/>
  <c r="S185" i="5" s="1"/>
  <c r="R181" i="5"/>
  <c r="R185" i="5" s="1"/>
  <c r="Q181" i="5"/>
  <c r="Q185" i="5" s="1"/>
  <c r="P181" i="5"/>
  <c r="P185" i="5" s="1"/>
  <c r="O181" i="5"/>
  <c r="O185" i="5" s="1"/>
  <c r="K181" i="5"/>
  <c r="K185" i="5" s="1"/>
  <c r="J181" i="5"/>
  <c r="J185" i="5" s="1"/>
  <c r="I181" i="5"/>
  <c r="I185" i="5" s="1"/>
  <c r="H181" i="5"/>
  <c r="H185" i="5" s="1"/>
  <c r="G181" i="5"/>
  <c r="G185" i="5" s="1"/>
  <c r="F181" i="5"/>
  <c r="F185" i="5" s="1"/>
  <c r="E181" i="5"/>
  <c r="E185" i="5" s="1"/>
  <c r="D181" i="5"/>
  <c r="D185" i="5" s="1"/>
  <c r="N178" i="5"/>
  <c r="N184" i="5" s="1"/>
  <c r="M178" i="5"/>
  <c r="M184" i="5" s="1"/>
  <c r="L178" i="5"/>
  <c r="L184" i="5" s="1"/>
  <c r="N177" i="5"/>
  <c r="M177" i="5"/>
  <c r="L177" i="5"/>
  <c r="N174" i="5"/>
  <c r="M174" i="5"/>
  <c r="L174" i="5"/>
  <c r="N173" i="5"/>
  <c r="M173" i="5"/>
  <c r="L173" i="5"/>
  <c r="N172" i="5"/>
  <c r="M172" i="5"/>
  <c r="L172" i="5"/>
  <c r="N171" i="5"/>
  <c r="M171" i="5"/>
  <c r="L171" i="5"/>
  <c r="N170" i="5"/>
  <c r="M170" i="5"/>
  <c r="L170" i="5"/>
  <c r="N169" i="5"/>
  <c r="M169" i="5"/>
  <c r="L169" i="5"/>
  <c r="N168" i="5"/>
  <c r="M168" i="5"/>
  <c r="L168" i="5"/>
  <c r="N167" i="5"/>
  <c r="M167" i="5"/>
  <c r="L167" i="5"/>
  <c r="N166" i="5"/>
  <c r="M166" i="5"/>
  <c r="L166" i="5"/>
  <c r="N165" i="5"/>
  <c r="M165" i="5"/>
  <c r="L165" i="5"/>
  <c r="N164" i="5"/>
  <c r="M164" i="5"/>
  <c r="L164" i="5"/>
  <c r="N161" i="5"/>
  <c r="M161" i="5"/>
  <c r="L161" i="5"/>
  <c r="N160" i="5"/>
  <c r="M160" i="5"/>
  <c r="L160" i="5"/>
  <c r="N157" i="5"/>
  <c r="M157" i="5"/>
  <c r="L157" i="5"/>
  <c r="N156" i="5"/>
  <c r="M156" i="5"/>
  <c r="L156" i="5"/>
  <c r="N155" i="5"/>
  <c r="M155" i="5"/>
  <c r="L155" i="5"/>
  <c r="N154" i="5"/>
  <c r="M154" i="5"/>
  <c r="L154" i="5"/>
  <c r="N153" i="5"/>
  <c r="M153" i="5"/>
  <c r="L153" i="5"/>
  <c r="N152" i="5"/>
  <c r="M152" i="5"/>
  <c r="L152" i="5"/>
  <c r="N151" i="5"/>
  <c r="M151" i="5"/>
  <c r="L151" i="5"/>
  <c r="N150" i="5"/>
  <c r="M150" i="5"/>
  <c r="L150" i="5"/>
  <c r="N149" i="5"/>
  <c r="M149" i="5"/>
  <c r="L149" i="5"/>
  <c r="N148" i="5"/>
  <c r="M148" i="5"/>
  <c r="L148" i="5"/>
  <c r="W145" i="5"/>
  <c r="V145" i="5"/>
  <c r="U145" i="5"/>
  <c r="T145" i="5"/>
  <c r="S145" i="5"/>
  <c r="R145" i="5"/>
  <c r="Q145" i="5"/>
  <c r="P145" i="5"/>
  <c r="O145" i="5"/>
  <c r="K145" i="5"/>
  <c r="J145" i="5"/>
  <c r="I145" i="5"/>
  <c r="H145" i="5"/>
  <c r="G145" i="5"/>
  <c r="F145" i="5"/>
  <c r="E145" i="5"/>
  <c r="D145" i="5"/>
  <c r="N144" i="5"/>
  <c r="M144" i="5"/>
  <c r="L144" i="5"/>
  <c r="N143" i="5"/>
  <c r="M143" i="5"/>
  <c r="L143" i="5"/>
  <c r="N142" i="5"/>
  <c r="M142" i="5"/>
  <c r="L142" i="5"/>
  <c r="N141" i="5"/>
  <c r="M141" i="5"/>
  <c r="L141" i="5"/>
  <c r="N140" i="5"/>
  <c r="M140" i="5"/>
  <c r="L140" i="5"/>
  <c r="N139" i="5"/>
  <c r="M139" i="5"/>
  <c r="L139" i="5"/>
  <c r="N138" i="5"/>
  <c r="M138" i="5"/>
  <c r="L138" i="5"/>
  <c r="N137" i="5"/>
  <c r="M137" i="5"/>
  <c r="L137" i="5"/>
  <c r="N136" i="5"/>
  <c r="M136" i="5"/>
  <c r="L136" i="5"/>
  <c r="N135" i="5"/>
  <c r="M135" i="5"/>
  <c r="L135" i="5"/>
  <c r="N134" i="5"/>
  <c r="N145" i="5" s="1"/>
  <c r="M134" i="5"/>
  <c r="M145" i="5" s="1"/>
  <c r="L134" i="5"/>
  <c r="L145" i="5" s="1"/>
  <c r="W131" i="5"/>
  <c r="V131" i="5"/>
  <c r="U131" i="5"/>
  <c r="T131" i="5"/>
  <c r="S131" i="5"/>
  <c r="R131" i="5"/>
  <c r="Q131" i="5"/>
  <c r="P131" i="5"/>
  <c r="O131" i="5"/>
  <c r="K131" i="5"/>
  <c r="J131" i="5"/>
  <c r="I131" i="5"/>
  <c r="H131" i="5"/>
  <c r="G131" i="5"/>
  <c r="F131" i="5"/>
  <c r="E131" i="5"/>
  <c r="D131" i="5"/>
  <c r="N130" i="5"/>
  <c r="M130" i="5"/>
  <c r="L130" i="5"/>
  <c r="N129" i="5"/>
  <c r="N131" i="5" s="1"/>
  <c r="M129" i="5"/>
  <c r="M131" i="5" s="1"/>
  <c r="L129" i="5"/>
  <c r="L131" i="5" s="1"/>
  <c r="S126" i="5"/>
  <c r="R126" i="5"/>
  <c r="Q126" i="5"/>
  <c r="P126" i="5"/>
  <c r="N126" i="5"/>
  <c r="M126" i="5"/>
  <c r="L126" i="5"/>
  <c r="K126" i="5"/>
  <c r="J126" i="5"/>
  <c r="I126" i="5"/>
  <c r="H126" i="5"/>
  <c r="G126" i="5"/>
  <c r="F126" i="5"/>
  <c r="E126" i="5"/>
  <c r="D126" i="5"/>
  <c r="O124" i="5"/>
  <c r="O126" i="5" s="1"/>
  <c r="O122" i="5"/>
  <c r="M122" i="5"/>
  <c r="W119" i="5"/>
  <c r="V119" i="5"/>
  <c r="U119" i="5"/>
  <c r="T119" i="5"/>
  <c r="S119" i="5"/>
  <c r="R119" i="5"/>
  <c r="Q119" i="5"/>
  <c r="P119" i="5"/>
  <c r="O119" i="5"/>
  <c r="K119" i="5"/>
  <c r="J119" i="5"/>
  <c r="I119" i="5"/>
  <c r="H119" i="5"/>
  <c r="G119" i="5"/>
  <c r="F119" i="5"/>
  <c r="E119" i="5"/>
  <c r="D119" i="5"/>
  <c r="N118" i="5"/>
  <c r="M118" i="5"/>
  <c r="L118" i="5"/>
  <c r="N117" i="5"/>
  <c r="M117" i="5"/>
  <c r="L117" i="5"/>
  <c r="N116" i="5"/>
  <c r="M116" i="5"/>
  <c r="L116" i="5"/>
  <c r="N115" i="5"/>
  <c r="M115" i="5"/>
  <c r="L115" i="5"/>
  <c r="N114" i="5"/>
  <c r="M114" i="5"/>
  <c r="L114" i="5"/>
  <c r="N113" i="5"/>
  <c r="M113" i="5"/>
  <c r="L113" i="5"/>
  <c r="N112" i="5"/>
  <c r="M112" i="5"/>
  <c r="L112" i="5"/>
  <c r="N111" i="5"/>
  <c r="M111" i="5"/>
  <c r="L111" i="5"/>
  <c r="N110" i="5"/>
  <c r="M110" i="5"/>
  <c r="L110" i="5"/>
  <c r="N109" i="5"/>
  <c r="N119" i="5" s="1"/>
  <c r="M109" i="5"/>
  <c r="M119" i="5" s="1"/>
  <c r="L109" i="5"/>
  <c r="L119" i="5" s="1"/>
  <c r="O108" i="5"/>
  <c r="N108" i="5"/>
  <c r="M108" i="5"/>
  <c r="L108" i="5"/>
  <c r="K108" i="5"/>
  <c r="J108" i="5"/>
  <c r="I108" i="5"/>
  <c r="H108" i="5"/>
  <c r="G108" i="5"/>
  <c r="F108" i="5"/>
  <c r="E108" i="5"/>
  <c r="D108" i="5"/>
  <c r="N102" i="5"/>
  <c r="M102" i="5"/>
  <c r="L102" i="5"/>
  <c r="O100" i="5"/>
  <c r="N100" i="5"/>
  <c r="M100" i="5"/>
  <c r="L100" i="5"/>
  <c r="N98" i="5"/>
  <c r="M98" i="5"/>
  <c r="L98" i="5"/>
  <c r="N95" i="5"/>
  <c r="M95" i="5"/>
  <c r="L95" i="5"/>
  <c r="W94" i="5"/>
  <c r="V94" i="5"/>
  <c r="U94" i="5"/>
  <c r="T94" i="5"/>
  <c r="S94" i="5"/>
  <c r="R94" i="5"/>
  <c r="Q94" i="5"/>
  <c r="P94" i="5"/>
  <c r="O94" i="5"/>
  <c r="N94" i="5"/>
  <c r="M94" i="5"/>
  <c r="L94" i="5"/>
  <c r="K94" i="5"/>
  <c r="J94" i="5"/>
  <c r="I94" i="5"/>
  <c r="H94" i="5"/>
  <c r="G94" i="5"/>
  <c r="F94" i="5"/>
  <c r="E94" i="5"/>
  <c r="D94" i="5"/>
  <c r="W93" i="5"/>
  <c r="V93" i="5"/>
  <c r="U93" i="5"/>
  <c r="T93" i="5"/>
  <c r="S93" i="5"/>
  <c r="R93" i="5"/>
  <c r="Q93" i="5"/>
  <c r="P93" i="5"/>
  <c r="O93" i="5"/>
  <c r="N93" i="5"/>
  <c r="M93" i="5"/>
  <c r="L93" i="5"/>
  <c r="K93" i="5"/>
  <c r="J93" i="5"/>
  <c r="I93" i="5"/>
  <c r="H93" i="5"/>
  <c r="G93" i="5"/>
  <c r="F93" i="5"/>
  <c r="E93" i="5"/>
  <c r="D93" i="5"/>
  <c r="W92" i="5"/>
  <c r="V92" i="5"/>
  <c r="U92" i="5"/>
  <c r="T92" i="5"/>
  <c r="S92" i="5"/>
  <c r="R92" i="5"/>
  <c r="Q92" i="5"/>
  <c r="P92" i="5"/>
  <c r="O92" i="5"/>
  <c r="N92" i="5"/>
  <c r="M92" i="5"/>
  <c r="L92" i="5"/>
  <c r="K92" i="5"/>
  <c r="J92" i="5"/>
  <c r="I92" i="5"/>
  <c r="H92" i="5"/>
  <c r="G92" i="5"/>
  <c r="F92" i="5"/>
  <c r="E92" i="5"/>
  <c r="D92" i="5"/>
  <c r="W91" i="5"/>
  <c r="W95" i="5" s="1"/>
  <c r="V91" i="5"/>
  <c r="V95" i="5" s="1"/>
  <c r="U91" i="5"/>
  <c r="U95" i="5" s="1"/>
  <c r="T91" i="5"/>
  <c r="T95" i="5" s="1"/>
  <c r="S91" i="5"/>
  <c r="S95" i="5" s="1"/>
  <c r="R91" i="5"/>
  <c r="R95" i="5" s="1"/>
  <c r="Q91" i="5"/>
  <c r="Q95" i="5" s="1"/>
  <c r="P91" i="5"/>
  <c r="P95" i="5" s="1"/>
  <c r="O91" i="5"/>
  <c r="O95" i="5" s="1"/>
  <c r="N91" i="5"/>
  <c r="M91" i="5"/>
  <c r="L91" i="5"/>
  <c r="K91" i="5"/>
  <c r="K95" i="5" s="1"/>
  <c r="J91" i="5"/>
  <c r="J95" i="5" s="1"/>
  <c r="I91" i="5"/>
  <c r="I95" i="5" s="1"/>
  <c r="H91" i="5"/>
  <c r="H95" i="5" s="1"/>
  <c r="G91" i="5"/>
  <c r="G95" i="5" s="1"/>
  <c r="F91" i="5"/>
  <c r="F95" i="5" s="1"/>
  <c r="E91" i="5"/>
  <c r="E95" i="5" s="1"/>
  <c r="D91" i="5"/>
  <c r="D95" i="5" s="1"/>
  <c r="N88" i="5"/>
  <c r="M88" i="5"/>
  <c r="L88" i="5"/>
  <c r="N87" i="5"/>
  <c r="M87" i="5"/>
  <c r="L87" i="5"/>
  <c r="N84" i="5"/>
  <c r="M84" i="5"/>
  <c r="L84" i="5"/>
  <c r="N83" i="5"/>
  <c r="M83" i="5"/>
  <c r="L83" i="5"/>
  <c r="N82" i="5"/>
  <c r="M82" i="5"/>
  <c r="L82" i="5"/>
  <c r="N81" i="5"/>
  <c r="M81" i="5"/>
  <c r="L81" i="5"/>
  <c r="N80" i="5"/>
  <c r="M80" i="5"/>
  <c r="L80" i="5"/>
  <c r="N77" i="5"/>
  <c r="M77" i="5"/>
  <c r="L77" i="5"/>
  <c r="N76" i="5"/>
  <c r="M76" i="5"/>
  <c r="L76" i="5"/>
  <c r="N73" i="5"/>
  <c r="M73" i="5"/>
  <c r="L73" i="5"/>
  <c r="N72" i="5"/>
  <c r="M72" i="5"/>
  <c r="L72" i="5"/>
  <c r="N71" i="5"/>
  <c r="M71" i="5"/>
  <c r="L71" i="5"/>
  <c r="N70" i="5"/>
  <c r="M70" i="5"/>
  <c r="L70" i="5"/>
  <c r="N69" i="5"/>
  <c r="M69" i="5"/>
  <c r="L69" i="5"/>
  <c r="W66" i="5"/>
  <c r="V66" i="5"/>
  <c r="U66" i="5"/>
  <c r="T66" i="5"/>
  <c r="S66" i="5"/>
  <c r="R66" i="5"/>
  <c r="Q66" i="5"/>
  <c r="P66" i="5"/>
  <c r="O66" i="5"/>
  <c r="K66" i="5"/>
  <c r="J66" i="5"/>
  <c r="I66" i="5"/>
  <c r="H66" i="5"/>
  <c r="G66" i="5"/>
  <c r="F66" i="5"/>
  <c r="E66" i="5"/>
  <c r="D66" i="5"/>
  <c r="N65" i="5"/>
  <c r="M65" i="5"/>
  <c r="L65" i="5"/>
  <c r="N64" i="5"/>
  <c r="M64" i="5"/>
  <c r="L64" i="5"/>
  <c r="N63" i="5"/>
  <c r="M63" i="5"/>
  <c r="L63" i="5"/>
  <c r="N62" i="5"/>
  <c r="M62" i="5"/>
  <c r="L62" i="5"/>
  <c r="N61" i="5"/>
  <c r="N66" i="5" s="1"/>
  <c r="M61" i="5"/>
  <c r="M66" i="5" s="1"/>
  <c r="L61" i="5"/>
  <c r="L66" i="5" s="1"/>
  <c r="W58" i="5"/>
  <c r="V58" i="5"/>
  <c r="U58" i="5"/>
  <c r="T58" i="5"/>
  <c r="S58" i="5"/>
  <c r="R58" i="5"/>
  <c r="Q58" i="5"/>
  <c r="P58" i="5"/>
  <c r="O58" i="5"/>
  <c r="K58" i="5"/>
  <c r="J58" i="5"/>
  <c r="I58" i="5"/>
  <c r="H58" i="5"/>
  <c r="G58" i="5"/>
  <c r="F58" i="5"/>
  <c r="E58" i="5"/>
  <c r="D58" i="5"/>
  <c r="N56" i="5"/>
  <c r="M56" i="5"/>
  <c r="L56" i="5"/>
  <c r="O53" i="5"/>
  <c r="M53" i="5"/>
  <c r="L53" i="5"/>
  <c r="K53" i="5"/>
  <c r="J53" i="5"/>
  <c r="I53" i="5"/>
  <c r="H53" i="5"/>
  <c r="G53" i="5"/>
  <c r="F53" i="5"/>
  <c r="E53" i="5"/>
  <c r="D53" i="5"/>
  <c r="O49" i="5"/>
  <c r="N49" i="5"/>
  <c r="M49" i="5"/>
  <c r="N48" i="5"/>
  <c r="N53" i="5" s="1"/>
  <c r="W46" i="5"/>
  <c r="V46" i="5"/>
  <c r="U46" i="5"/>
  <c r="T46" i="5"/>
  <c r="S46" i="5"/>
  <c r="R46" i="5"/>
  <c r="Q46" i="5"/>
  <c r="P46" i="5"/>
  <c r="O46" i="5"/>
  <c r="K46" i="5"/>
  <c r="J46" i="5"/>
  <c r="I46" i="5"/>
  <c r="H46" i="5"/>
  <c r="G46" i="5"/>
  <c r="F46" i="5"/>
  <c r="E46" i="5"/>
  <c r="D46" i="5"/>
  <c r="N45" i="5"/>
  <c r="M45" i="5"/>
  <c r="L45" i="5"/>
  <c r="N44" i="5"/>
  <c r="M44" i="5"/>
  <c r="L44" i="5"/>
  <c r="N43" i="5"/>
  <c r="M43" i="5"/>
  <c r="L43" i="5"/>
  <c r="N42" i="5"/>
  <c r="M42" i="5"/>
  <c r="L42" i="5"/>
  <c r="N41" i="5"/>
  <c r="N46" i="5" s="1"/>
  <c r="M41" i="5"/>
  <c r="M46" i="5" s="1"/>
  <c r="L41" i="5"/>
  <c r="L46" i="5" s="1"/>
  <c r="O40" i="5"/>
  <c r="N40" i="5"/>
  <c r="M40" i="5"/>
  <c r="L40" i="5"/>
  <c r="K40" i="5"/>
  <c r="J40" i="5"/>
  <c r="I40" i="5"/>
  <c r="H40" i="5"/>
  <c r="G40" i="5"/>
  <c r="F40" i="5"/>
  <c r="E40" i="5"/>
  <c r="D40" i="5"/>
  <c r="W35" i="5"/>
  <c r="V35" i="5"/>
  <c r="U35" i="5"/>
  <c r="T35" i="5"/>
  <c r="S35" i="5"/>
  <c r="R35" i="5"/>
  <c r="Q35" i="5"/>
  <c r="P35" i="5"/>
  <c r="O35" i="5"/>
  <c r="N35" i="5"/>
  <c r="M35" i="5"/>
  <c r="L35" i="5"/>
  <c r="K35" i="5"/>
  <c r="J35" i="5"/>
  <c r="I35" i="5"/>
  <c r="H35" i="5"/>
  <c r="G35" i="5"/>
  <c r="F35" i="5"/>
  <c r="E35" i="5"/>
  <c r="D35" i="5"/>
  <c r="W34" i="5"/>
  <c r="V34" i="5"/>
  <c r="U34" i="5"/>
  <c r="T34" i="5"/>
  <c r="S34" i="5"/>
  <c r="R34" i="5"/>
  <c r="Q34" i="5"/>
  <c r="P34" i="5"/>
  <c r="O34" i="5"/>
  <c r="N34" i="5"/>
  <c r="M34" i="5"/>
  <c r="L34" i="5"/>
  <c r="K34" i="5"/>
  <c r="J34" i="5"/>
  <c r="I34" i="5"/>
  <c r="H34" i="5"/>
  <c r="G34" i="5"/>
  <c r="F34" i="5"/>
  <c r="E34" i="5"/>
  <c r="D34" i="5"/>
  <c r="W33" i="5"/>
  <c r="V33" i="5"/>
  <c r="U33" i="5"/>
  <c r="T33" i="5"/>
  <c r="S33" i="5"/>
  <c r="R33" i="5"/>
  <c r="Q33" i="5"/>
  <c r="P33" i="5"/>
  <c r="O33" i="5"/>
  <c r="N33" i="5"/>
  <c r="M33" i="5"/>
  <c r="L33" i="5"/>
  <c r="K33" i="5"/>
  <c r="J33" i="5"/>
  <c r="I33" i="5"/>
  <c r="H33" i="5"/>
  <c r="G33" i="5"/>
  <c r="F33" i="5"/>
  <c r="E33" i="5"/>
  <c r="D33" i="5"/>
  <c r="W32" i="5"/>
  <c r="V32" i="5"/>
  <c r="U32" i="5"/>
  <c r="T32" i="5"/>
  <c r="S32" i="5"/>
  <c r="R32" i="5"/>
  <c r="Q32" i="5"/>
  <c r="P32" i="5"/>
  <c r="O32" i="5"/>
  <c r="N32" i="5"/>
  <c r="M32" i="5"/>
  <c r="L32" i="5"/>
  <c r="K32" i="5"/>
  <c r="J32" i="5"/>
  <c r="I32" i="5"/>
  <c r="H32" i="5"/>
  <c r="G32" i="5"/>
  <c r="F32" i="5"/>
  <c r="E32" i="5"/>
  <c r="D32" i="5"/>
  <c r="W30" i="5"/>
  <c r="V30" i="5"/>
  <c r="U30" i="5"/>
  <c r="T30" i="5"/>
  <c r="S30" i="5"/>
  <c r="R30" i="5"/>
  <c r="Q30" i="5"/>
  <c r="P30" i="5"/>
  <c r="O30" i="5"/>
  <c r="N30" i="5"/>
  <c r="M30" i="5"/>
  <c r="L30" i="5"/>
  <c r="K30" i="5"/>
  <c r="J30" i="5"/>
  <c r="I30" i="5"/>
  <c r="H30" i="5"/>
  <c r="G30" i="5"/>
  <c r="F30" i="5"/>
  <c r="E30" i="5"/>
  <c r="D30" i="5"/>
  <c r="W29" i="5"/>
  <c r="U29" i="5"/>
  <c r="T29" i="5"/>
  <c r="S29" i="5"/>
  <c r="R29" i="5"/>
  <c r="Q29" i="5"/>
  <c r="P29" i="5"/>
  <c r="O29" i="5"/>
  <c r="N29" i="5"/>
  <c r="M29" i="5"/>
  <c r="L29" i="5"/>
  <c r="K29" i="5"/>
  <c r="J29" i="5"/>
  <c r="I29" i="5"/>
  <c r="H29" i="5"/>
  <c r="G29" i="5"/>
  <c r="F29" i="5"/>
  <c r="E29" i="5"/>
  <c r="D29" i="5"/>
  <c r="W28" i="5"/>
  <c r="V28" i="5"/>
  <c r="U28" i="5"/>
  <c r="T28" i="5"/>
  <c r="S28" i="5"/>
  <c r="R28" i="5"/>
  <c r="Q28" i="5"/>
  <c r="P28" i="5"/>
  <c r="O28" i="5"/>
  <c r="N28" i="5"/>
  <c r="M28" i="5"/>
  <c r="L28" i="5"/>
  <c r="K28" i="5"/>
  <c r="J28" i="5"/>
  <c r="I28" i="5"/>
  <c r="H28" i="5"/>
  <c r="G28" i="5"/>
  <c r="F28" i="5"/>
  <c r="E28" i="5"/>
  <c r="D28" i="5"/>
  <c r="W21" i="5"/>
  <c r="V21" i="5"/>
  <c r="U21" i="5"/>
  <c r="T21" i="5"/>
  <c r="S21" i="5"/>
  <c r="R21" i="5"/>
  <c r="Q21" i="5"/>
  <c r="P21" i="5"/>
  <c r="O21" i="5"/>
  <c r="N21" i="5"/>
  <c r="M21" i="5"/>
  <c r="L21" i="5"/>
  <c r="K21" i="5"/>
  <c r="J21" i="5"/>
  <c r="I21" i="5"/>
  <c r="H21" i="5"/>
  <c r="G21" i="5"/>
  <c r="F21" i="5"/>
  <c r="E21" i="5"/>
  <c r="D21" i="5"/>
  <c r="C21" i="5"/>
  <c r="W20" i="5"/>
  <c r="V20" i="5"/>
  <c r="U20" i="5"/>
  <c r="T20" i="5"/>
  <c r="S20" i="5"/>
  <c r="Q20" i="5"/>
  <c r="P20" i="5"/>
  <c r="O20" i="5"/>
  <c r="N20" i="5"/>
  <c r="M20" i="5"/>
  <c r="L20" i="5"/>
  <c r="K20" i="5"/>
  <c r="J20" i="5"/>
  <c r="I20" i="5"/>
  <c r="H20" i="5"/>
  <c r="G20" i="5"/>
  <c r="F20" i="5"/>
  <c r="E20" i="5"/>
  <c r="D20" i="5"/>
  <c r="C20" i="5"/>
  <c r="W19" i="5"/>
  <c r="V19" i="5"/>
  <c r="U19" i="5"/>
  <c r="T19" i="5"/>
  <c r="S19" i="5"/>
  <c r="R19" i="5"/>
  <c r="Q19" i="5"/>
  <c r="P19" i="5"/>
  <c r="O19" i="5"/>
  <c r="N19" i="5"/>
  <c r="M19" i="5"/>
  <c r="L19" i="5"/>
  <c r="K19" i="5"/>
  <c r="J19" i="5"/>
  <c r="I19" i="5"/>
  <c r="H19" i="5"/>
  <c r="G19" i="5"/>
  <c r="F19" i="5"/>
  <c r="E19" i="5"/>
  <c r="D19" i="5"/>
  <c r="C19" i="5"/>
  <c r="W18" i="5"/>
  <c r="V18" i="5"/>
  <c r="U18" i="5"/>
  <c r="T18" i="5"/>
  <c r="S18" i="5"/>
  <c r="R18" i="5"/>
  <c r="Q18" i="5"/>
  <c r="P18" i="5"/>
  <c r="K18" i="5"/>
  <c r="J18" i="5"/>
  <c r="I18" i="5"/>
  <c r="H18" i="5"/>
  <c r="G18" i="5"/>
  <c r="F18" i="5"/>
  <c r="E18" i="5"/>
  <c r="D18" i="5"/>
  <c r="C18" i="5"/>
  <c r="W17" i="5"/>
  <c r="V17" i="5"/>
  <c r="U17" i="5"/>
  <c r="T17" i="5"/>
  <c r="S17" i="5"/>
  <c r="R17" i="5"/>
  <c r="Q17" i="5"/>
  <c r="P17" i="5"/>
  <c r="O17" i="5"/>
  <c r="N17" i="5"/>
  <c r="M17" i="5"/>
  <c r="L17" i="5"/>
  <c r="K17" i="5"/>
  <c r="J17" i="5"/>
  <c r="I17" i="5"/>
  <c r="H17" i="5"/>
  <c r="G17" i="5"/>
  <c r="F17" i="5"/>
  <c r="E17" i="5"/>
  <c r="D17" i="5"/>
  <c r="C17" i="5"/>
  <c r="W16" i="5"/>
  <c r="V16" i="5"/>
  <c r="U16" i="5"/>
  <c r="T16" i="5"/>
  <c r="S16" i="5"/>
  <c r="R16" i="5"/>
  <c r="Q16" i="5"/>
  <c r="P16" i="5"/>
  <c r="O16" i="5"/>
  <c r="K16" i="5"/>
  <c r="J16" i="5"/>
  <c r="I16" i="5"/>
  <c r="H16" i="5"/>
  <c r="G16" i="5"/>
  <c r="F16" i="5"/>
  <c r="E16" i="5"/>
  <c r="D16" i="5"/>
  <c r="C16" i="5"/>
  <c r="W15" i="5"/>
  <c r="W22" i="5" s="1"/>
  <c r="V15" i="5"/>
  <c r="V22" i="5" s="1"/>
  <c r="U15" i="5"/>
  <c r="U22" i="5" s="1"/>
  <c r="T15" i="5"/>
  <c r="T22" i="5" s="1"/>
  <c r="S15" i="5"/>
  <c r="S22" i="5" s="1"/>
  <c r="R15" i="5"/>
  <c r="Q15" i="5"/>
  <c r="Q22" i="5" s="1"/>
  <c r="P15" i="5"/>
  <c r="P22" i="5" s="1"/>
  <c r="O15" i="5"/>
  <c r="N15" i="5"/>
  <c r="M15" i="5"/>
  <c r="L15" i="5"/>
  <c r="K15" i="5"/>
  <c r="K22" i="5" s="1"/>
  <c r="J15" i="5"/>
  <c r="J22" i="5" s="1"/>
  <c r="I15" i="5"/>
  <c r="I22" i="5" s="1"/>
  <c r="H15" i="5"/>
  <c r="H22" i="5" s="1"/>
  <c r="G15" i="5"/>
  <c r="G22" i="5" s="1"/>
  <c r="F15" i="5"/>
  <c r="F22" i="5" s="1"/>
  <c r="E15" i="5"/>
  <c r="E22" i="5" s="1"/>
  <c r="D15" i="5"/>
  <c r="D22" i="5" s="1"/>
  <c r="C15" i="5"/>
  <c r="T90" i="4"/>
  <c r="S90" i="4"/>
  <c r="R90" i="4"/>
  <c r="Q90" i="4"/>
  <c r="P90" i="4"/>
  <c r="M90" i="4"/>
  <c r="L90" i="4"/>
  <c r="R89" i="4"/>
  <c r="Q89" i="4"/>
  <c r="V81" i="4"/>
  <c r="V91" i="4" s="1"/>
  <c r="U81" i="4"/>
  <c r="U91" i="4" s="1"/>
  <c r="T81" i="4"/>
  <c r="T91" i="4" s="1"/>
  <c r="S81" i="4"/>
  <c r="S91" i="4" s="1"/>
  <c r="R81" i="4"/>
  <c r="Q81" i="4"/>
  <c r="P81" i="4"/>
  <c r="P91" i="4" s="1"/>
  <c r="O81" i="4"/>
  <c r="O91" i="4" s="1"/>
  <c r="M81" i="4"/>
  <c r="M91" i="4" s="1"/>
  <c r="L81" i="4"/>
  <c r="L91" i="4" s="1"/>
  <c r="K81" i="4"/>
  <c r="K91" i="4" s="1"/>
  <c r="J81" i="4"/>
  <c r="J91" i="4" s="1"/>
  <c r="I81" i="4"/>
  <c r="I91" i="4" s="1"/>
  <c r="H81" i="4"/>
  <c r="H91" i="4" s="1"/>
  <c r="G81" i="4"/>
  <c r="G91" i="4" s="1"/>
  <c r="F81" i="4"/>
  <c r="F91" i="4" s="1"/>
  <c r="E81" i="4"/>
  <c r="E91" i="4" s="1"/>
  <c r="D81" i="4"/>
  <c r="D91" i="4" s="1"/>
  <c r="C81" i="4"/>
  <c r="C91" i="4" s="1"/>
  <c r="N80" i="4"/>
  <c r="M80" i="4"/>
  <c r="L80" i="4"/>
  <c r="K80" i="4"/>
  <c r="J80" i="4"/>
  <c r="I80" i="4"/>
  <c r="H80" i="4"/>
  <c r="G80" i="4"/>
  <c r="F80" i="4"/>
  <c r="E80" i="4"/>
  <c r="D80" i="4"/>
  <c r="T78" i="4"/>
  <c r="S78" i="4"/>
  <c r="R78" i="4"/>
  <c r="Q78" i="4"/>
  <c r="P78" i="4"/>
  <c r="M78" i="4"/>
  <c r="L78" i="4"/>
  <c r="R75" i="4"/>
  <c r="Q75" i="4"/>
  <c r="N75" i="4"/>
  <c r="V72" i="4"/>
  <c r="V79" i="4" s="1"/>
  <c r="U72" i="4"/>
  <c r="U79" i="4" s="1"/>
  <c r="T72" i="4"/>
  <c r="T79" i="4" s="1"/>
  <c r="S72" i="4"/>
  <c r="S79" i="4" s="1"/>
  <c r="R72" i="4"/>
  <c r="Q72" i="4"/>
  <c r="P72" i="4"/>
  <c r="P79" i="4" s="1"/>
  <c r="O72" i="4"/>
  <c r="O79" i="4" s="1"/>
  <c r="N72" i="4"/>
  <c r="N79" i="4" s="1"/>
  <c r="M72" i="4"/>
  <c r="M79" i="4" s="1"/>
  <c r="L72" i="4"/>
  <c r="L79" i="4" s="1"/>
  <c r="K72" i="4"/>
  <c r="K79" i="4" s="1"/>
  <c r="J72" i="4"/>
  <c r="J79" i="4" s="1"/>
  <c r="I72" i="4"/>
  <c r="I79" i="4" s="1"/>
  <c r="H72" i="4"/>
  <c r="H79" i="4" s="1"/>
  <c r="G72" i="4"/>
  <c r="G79" i="4" s="1"/>
  <c r="F72" i="4"/>
  <c r="F79" i="4" s="1"/>
  <c r="E72" i="4"/>
  <c r="E79" i="4" s="1"/>
  <c r="D72" i="4"/>
  <c r="D79" i="4" s="1"/>
  <c r="C72" i="4"/>
  <c r="C79" i="4" s="1"/>
  <c r="N71" i="4"/>
  <c r="M71" i="4"/>
  <c r="L71" i="4"/>
  <c r="K71" i="4"/>
  <c r="J71" i="4"/>
  <c r="I71" i="4"/>
  <c r="H71" i="4"/>
  <c r="G71" i="4"/>
  <c r="F71" i="4"/>
  <c r="E71" i="4"/>
  <c r="D71" i="4"/>
  <c r="T69" i="4"/>
  <c r="S69" i="4"/>
  <c r="M69" i="4"/>
  <c r="L69" i="4"/>
  <c r="K68" i="4"/>
  <c r="V60" i="4"/>
  <c r="V70" i="4" s="1"/>
  <c r="U60" i="4"/>
  <c r="U70" i="4" s="1"/>
  <c r="T60" i="4"/>
  <c r="T70" i="4" s="1"/>
  <c r="S60" i="4"/>
  <c r="S70" i="4" s="1"/>
  <c r="R60" i="4"/>
  <c r="Q60" i="4"/>
  <c r="P60" i="4"/>
  <c r="O60" i="4"/>
  <c r="N60" i="4"/>
  <c r="N70" i="4" s="1"/>
  <c r="M60" i="4"/>
  <c r="M70" i="4" s="1"/>
  <c r="L60" i="4"/>
  <c r="L70" i="4" s="1"/>
  <c r="K60" i="4"/>
  <c r="K70" i="4" s="1"/>
  <c r="J60" i="4"/>
  <c r="J70" i="4" s="1"/>
  <c r="I60" i="4"/>
  <c r="I70" i="4" s="1"/>
  <c r="H60" i="4"/>
  <c r="H70" i="4" s="1"/>
  <c r="G60" i="4"/>
  <c r="G70" i="4" s="1"/>
  <c r="F60" i="4"/>
  <c r="F70" i="4" s="1"/>
  <c r="E60" i="4"/>
  <c r="E70" i="4" s="1"/>
  <c r="D60" i="4"/>
  <c r="D70" i="4" s="1"/>
  <c r="C60" i="4"/>
  <c r="C70" i="4" s="1"/>
  <c r="N59" i="4"/>
  <c r="M59" i="4"/>
  <c r="L59" i="4"/>
  <c r="K59" i="4"/>
  <c r="J59" i="4"/>
  <c r="I59" i="4"/>
  <c r="H59" i="4"/>
  <c r="G59" i="4"/>
  <c r="F59" i="4"/>
  <c r="E59" i="4"/>
  <c r="D59" i="4"/>
  <c r="T57" i="4"/>
  <c r="S57" i="4"/>
  <c r="M57" i="4"/>
  <c r="L57" i="4"/>
  <c r="N54" i="4"/>
  <c r="V51" i="4"/>
  <c r="V58" i="4" s="1"/>
  <c r="U51" i="4"/>
  <c r="U58" i="4" s="1"/>
  <c r="T51" i="4"/>
  <c r="T58" i="4" s="1"/>
  <c r="S51" i="4"/>
  <c r="S58" i="4" s="1"/>
  <c r="R51" i="4"/>
  <c r="Q51" i="4"/>
  <c r="P51" i="4"/>
  <c r="O51" i="4"/>
  <c r="N51" i="4"/>
  <c r="N58" i="4" s="1"/>
  <c r="M51" i="4"/>
  <c r="M58" i="4" s="1"/>
  <c r="L51" i="4"/>
  <c r="L58" i="4" s="1"/>
  <c r="K51" i="4"/>
  <c r="K58" i="4" s="1"/>
  <c r="J51" i="4"/>
  <c r="J58" i="4" s="1"/>
  <c r="I51" i="4"/>
  <c r="I58" i="4" s="1"/>
  <c r="H51" i="4"/>
  <c r="H58" i="4" s="1"/>
  <c r="G51" i="4"/>
  <c r="G58" i="4" s="1"/>
  <c r="F51" i="4"/>
  <c r="F58" i="4" s="1"/>
  <c r="E51" i="4"/>
  <c r="E58" i="4" s="1"/>
  <c r="D51" i="4"/>
  <c r="D58" i="4" s="1"/>
  <c r="C51" i="4"/>
  <c r="C58" i="4" s="1"/>
  <c r="N50" i="4"/>
  <c r="M50" i="4"/>
  <c r="L50" i="4"/>
  <c r="K50" i="4"/>
  <c r="J50" i="4"/>
  <c r="I50" i="4"/>
  <c r="H50" i="4"/>
  <c r="G50" i="4"/>
  <c r="F50" i="4"/>
  <c r="E50" i="4"/>
  <c r="D50" i="4"/>
  <c r="V38" i="4"/>
  <c r="V39" i="4" s="1"/>
  <c r="V47" i="4" s="1"/>
  <c r="V49" i="4" s="1"/>
  <c r="U38" i="4"/>
  <c r="U39" i="4" s="1"/>
  <c r="U47" i="4" s="1"/>
  <c r="U49" i="4" s="1"/>
  <c r="T38" i="4"/>
  <c r="T39" i="4" s="1"/>
  <c r="T47" i="4" s="1"/>
  <c r="T49" i="4" s="1"/>
  <c r="S38" i="4"/>
  <c r="S39" i="4" s="1"/>
  <c r="S47" i="4" s="1"/>
  <c r="S49" i="4" s="1"/>
  <c r="R38" i="4"/>
  <c r="R39" i="4" s="1"/>
  <c r="R47" i="4" s="1"/>
  <c r="R49" i="4" s="1"/>
  <c r="Q38" i="4"/>
  <c r="Q39" i="4" s="1"/>
  <c r="Q47" i="4" s="1"/>
  <c r="Q49" i="4" s="1"/>
  <c r="P38" i="4"/>
  <c r="P39" i="4" s="1"/>
  <c r="P47" i="4" s="1"/>
  <c r="P49" i="4" s="1"/>
  <c r="O38" i="4"/>
  <c r="O39" i="4" s="1"/>
  <c r="O47" i="4" s="1"/>
  <c r="O49" i="4" s="1"/>
  <c r="N38" i="4"/>
  <c r="N39" i="4" s="1"/>
  <c r="N47" i="4" s="1"/>
  <c r="N49" i="4" s="1"/>
  <c r="M38" i="4"/>
  <c r="M39" i="4" s="1"/>
  <c r="L38" i="4"/>
  <c r="L39" i="4" s="1"/>
  <c r="K38" i="4"/>
  <c r="K39" i="4" s="1"/>
  <c r="K47" i="4" s="1"/>
  <c r="K49" i="4" s="1"/>
  <c r="J38" i="4"/>
  <c r="J39" i="4" s="1"/>
  <c r="J47" i="4" s="1"/>
  <c r="J49" i="4" s="1"/>
  <c r="I38" i="4"/>
  <c r="I39" i="4" s="1"/>
  <c r="I47" i="4" s="1"/>
  <c r="I49" i="4" s="1"/>
  <c r="H38" i="4"/>
  <c r="H39" i="4" s="1"/>
  <c r="H47" i="4" s="1"/>
  <c r="H49" i="4" s="1"/>
  <c r="G38" i="4"/>
  <c r="G39" i="4" s="1"/>
  <c r="G47" i="4" s="1"/>
  <c r="G49" i="4" s="1"/>
  <c r="F38" i="4"/>
  <c r="F39" i="4" s="1"/>
  <c r="F47" i="4" s="1"/>
  <c r="F49" i="4" s="1"/>
  <c r="E38" i="4"/>
  <c r="E39" i="4" s="1"/>
  <c r="E47" i="4" s="1"/>
  <c r="E49" i="4" s="1"/>
  <c r="D38" i="4"/>
  <c r="D39" i="4" s="1"/>
  <c r="D47" i="4" s="1"/>
  <c r="D49" i="4" s="1"/>
  <c r="C38" i="4"/>
  <c r="C39" i="4" s="1"/>
  <c r="C47" i="4" s="1"/>
  <c r="C49" i="4" s="1"/>
  <c r="N37" i="4"/>
  <c r="M37" i="4"/>
  <c r="L37" i="4"/>
  <c r="K37" i="4"/>
  <c r="J37" i="4"/>
  <c r="I37" i="4"/>
  <c r="H37" i="4"/>
  <c r="G37" i="4"/>
  <c r="F37" i="4"/>
  <c r="E37" i="4"/>
  <c r="D37" i="4"/>
  <c r="C37" i="4"/>
  <c r="N33" i="4"/>
  <c r="N32" i="4"/>
  <c r="N31" i="4"/>
  <c r="N30" i="4"/>
  <c r="V23" i="4"/>
  <c r="V24" i="4" s="1"/>
  <c r="V34" i="4" s="1"/>
  <c r="V36" i="4" s="1"/>
  <c r="U23" i="4"/>
  <c r="U24" i="4" s="1"/>
  <c r="U34" i="4" s="1"/>
  <c r="U36" i="4" s="1"/>
  <c r="T23" i="4"/>
  <c r="T24" i="4" s="1"/>
  <c r="T34" i="4" s="1"/>
  <c r="T36" i="4" s="1"/>
  <c r="S23" i="4"/>
  <c r="S24" i="4" s="1"/>
  <c r="S34" i="4" s="1"/>
  <c r="S36" i="4" s="1"/>
  <c r="R23" i="4"/>
  <c r="R24" i="4" s="1"/>
  <c r="R34" i="4" s="1"/>
  <c r="Q23" i="4"/>
  <c r="Q24" i="4" s="1"/>
  <c r="Q34" i="4" s="1"/>
  <c r="P23" i="4"/>
  <c r="P24" i="4" s="1"/>
  <c r="P34" i="4" s="1"/>
  <c r="O23" i="4"/>
  <c r="O24" i="4" s="1"/>
  <c r="O34" i="4" s="1"/>
  <c r="N23" i="4"/>
  <c r="N24" i="4" s="1"/>
  <c r="N34" i="4" s="1"/>
  <c r="N36" i="4" s="1"/>
  <c r="M23" i="4"/>
  <c r="M24" i="4" s="1"/>
  <c r="L23" i="4"/>
  <c r="L24" i="4" s="1"/>
  <c r="K23" i="4"/>
  <c r="K24" i="4" s="1"/>
  <c r="K34" i="4" s="1"/>
  <c r="K36" i="4" s="1"/>
  <c r="J23" i="4"/>
  <c r="J24" i="4" s="1"/>
  <c r="J34" i="4" s="1"/>
  <c r="J36" i="4" s="1"/>
  <c r="I23" i="4"/>
  <c r="I24" i="4" s="1"/>
  <c r="I34" i="4" s="1"/>
  <c r="I36" i="4" s="1"/>
  <c r="H23" i="4"/>
  <c r="H24" i="4" s="1"/>
  <c r="H34" i="4" s="1"/>
  <c r="H36" i="4" s="1"/>
  <c r="G23" i="4"/>
  <c r="G24" i="4" s="1"/>
  <c r="G34" i="4" s="1"/>
  <c r="G36" i="4" s="1"/>
  <c r="F23" i="4"/>
  <c r="F24" i="4" s="1"/>
  <c r="F34" i="4" s="1"/>
  <c r="F36" i="4" s="1"/>
  <c r="E23" i="4"/>
  <c r="E24" i="4" s="1"/>
  <c r="E34" i="4" s="1"/>
  <c r="E36" i="4" s="1"/>
  <c r="D23" i="4"/>
  <c r="D24" i="4" s="1"/>
  <c r="D34" i="4" s="1"/>
  <c r="D36" i="4" s="1"/>
  <c r="C23" i="4"/>
  <c r="C24" i="4" s="1"/>
  <c r="C34" i="4" s="1"/>
  <c r="C36" i="4" s="1"/>
  <c r="N22" i="4"/>
  <c r="M22" i="4"/>
  <c r="L22" i="4"/>
  <c r="K22" i="4"/>
  <c r="J22" i="4"/>
  <c r="I22" i="4"/>
  <c r="H22" i="4"/>
  <c r="G22" i="4"/>
  <c r="F22" i="4"/>
  <c r="E22" i="4"/>
  <c r="D22" i="4"/>
  <c r="C22" i="4"/>
  <c r="N16" i="4"/>
  <c r="V10" i="4"/>
  <c r="V19" i="4" s="1"/>
  <c r="V21" i="4" s="1"/>
  <c r="U10" i="4"/>
  <c r="U19" i="4" s="1"/>
  <c r="U21" i="4" s="1"/>
  <c r="T10" i="4"/>
  <c r="T19" i="4" s="1"/>
  <c r="S10" i="4"/>
  <c r="S19" i="4" s="1"/>
  <c r="R10" i="4"/>
  <c r="R19" i="4" s="1"/>
  <c r="P10" i="4"/>
  <c r="P19" i="4" s="1"/>
  <c r="O10" i="4"/>
  <c r="O19" i="4" s="1"/>
  <c r="J10" i="4"/>
  <c r="I10" i="4"/>
  <c r="I19" i="4" s="1"/>
  <c r="I21" i="4" s="1"/>
  <c r="H10" i="4"/>
  <c r="H19" i="4" s="1"/>
  <c r="H21" i="4" s="1"/>
  <c r="G10" i="4"/>
  <c r="G19" i="4" s="1"/>
  <c r="G21" i="4" s="1"/>
  <c r="F10" i="4"/>
  <c r="F19" i="4" s="1"/>
  <c r="F21" i="4" s="1"/>
  <c r="E10" i="4"/>
  <c r="E19" i="4" s="1"/>
  <c r="E21" i="4" s="1"/>
  <c r="D10" i="4"/>
  <c r="D19" i="4" s="1"/>
  <c r="D21" i="4" s="1"/>
  <c r="C10" i="4"/>
  <c r="C19" i="4" s="1"/>
  <c r="C21" i="4" s="1"/>
  <c r="J14" i="4" l="1"/>
  <c r="J19" i="4" s="1"/>
  <c r="J21" i="4" s="1"/>
  <c r="L34" i="4"/>
  <c r="M25" i="4"/>
  <c r="M34" i="4"/>
  <c r="M36" i="4" s="1"/>
  <c r="L47" i="4"/>
  <c r="L49" i="4" s="1"/>
  <c r="M40" i="4"/>
  <c r="M47" i="4"/>
  <c r="M49" i="4" s="1"/>
  <c r="Q77" i="4"/>
  <c r="Q79" i="4" s="1"/>
  <c r="R77" i="4"/>
  <c r="R79" i="4" s="1"/>
  <c r="Q87" i="4"/>
  <c r="Q91" i="4" s="1"/>
  <c r="R87" i="4"/>
  <c r="R91" i="4" s="1"/>
  <c r="D26" i="5"/>
  <c r="D25" i="5"/>
  <c r="D24" i="5"/>
  <c r="E26" i="5"/>
  <c r="E25" i="5"/>
  <c r="E24" i="5"/>
  <c r="F26" i="5"/>
  <c r="F25" i="5"/>
  <c r="F24" i="5"/>
  <c r="G26" i="5"/>
  <c r="G25" i="5"/>
  <c r="G24" i="5"/>
  <c r="H26" i="5"/>
  <c r="H25" i="5"/>
  <c r="H24" i="5"/>
  <c r="I26" i="5"/>
  <c r="I25" i="5"/>
  <c r="I24" i="5"/>
  <c r="J26" i="5"/>
  <c r="J25" i="5"/>
  <c r="J24" i="5"/>
  <c r="K26" i="5"/>
  <c r="K25" i="5"/>
  <c r="K24" i="5"/>
  <c r="P26" i="5"/>
  <c r="P25" i="5"/>
  <c r="P24" i="5"/>
  <c r="Q26" i="5"/>
  <c r="Q25" i="5"/>
  <c r="Q24" i="5"/>
  <c r="S26" i="5"/>
  <c r="S25" i="5"/>
  <c r="S24" i="5"/>
  <c r="T26" i="5"/>
  <c r="T25" i="5"/>
  <c r="T24" i="5"/>
  <c r="U26" i="5"/>
  <c r="U25" i="5"/>
  <c r="U24" i="5"/>
  <c r="V26" i="5"/>
  <c r="V24" i="5"/>
  <c r="W26" i="5"/>
  <c r="W25" i="5"/>
  <c r="W24" i="5"/>
  <c r="L57" i="5"/>
  <c r="L58" i="5" s="1"/>
  <c r="M57" i="5"/>
  <c r="M58" i="5" s="1"/>
  <c r="N57" i="5"/>
  <c r="N58" i="5" s="1"/>
  <c r="D103" i="5"/>
  <c r="D101" i="5"/>
  <c r="D99" i="5"/>
  <c r="E103" i="5"/>
  <c r="E101" i="5"/>
  <c r="E99" i="5"/>
  <c r="F103" i="5"/>
  <c r="F101" i="5"/>
  <c r="F99" i="5"/>
  <c r="G103" i="5"/>
  <c r="G101" i="5"/>
  <c r="G99" i="5"/>
  <c r="H103" i="5"/>
  <c r="H101" i="5"/>
  <c r="H99" i="5"/>
  <c r="I103" i="5"/>
  <c r="I101" i="5"/>
  <c r="I99" i="5"/>
  <c r="J103" i="5"/>
  <c r="J101" i="5"/>
  <c r="J99" i="5"/>
  <c r="K103" i="5"/>
  <c r="K101" i="5"/>
  <c r="K99" i="5"/>
  <c r="O103" i="5"/>
  <c r="O99" i="5"/>
  <c r="P103" i="5"/>
  <c r="P101" i="5"/>
  <c r="P99" i="5"/>
  <c r="Q103" i="5"/>
  <c r="Q101" i="5"/>
  <c r="Q99" i="5"/>
  <c r="R103" i="5"/>
  <c r="R101" i="5"/>
  <c r="R99" i="5"/>
  <c r="S103" i="5"/>
  <c r="S101" i="5"/>
  <c r="S99" i="5"/>
  <c r="T103" i="5"/>
  <c r="T101" i="5"/>
  <c r="T99" i="5"/>
  <c r="U103" i="5"/>
  <c r="U101" i="5"/>
  <c r="U99" i="5"/>
  <c r="V103" i="5"/>
  <c r="V101" i="5"/>
  <c r="V99" i="5"/>
  <c r="W103" i="5"/>
  <c r="W101" i="5"/>
  <c r="W99" i="5"/>
  <c r="L99" i="5"/>
  <c r="M99" i="5"/>
  <c r="N99" i="5"/>
  <c r="L101" i="5"/>
  <c r="M101" i="5"/>
  <c r="N101" i="5"/>
  <c r="O101" i="5"/>
  <c r="L103" i="5"/>
  <c r="M103" i="5"/>
  <c r="N103" i="5"/>
  <c r="D193" i="5"/>
  <c r="D191" i="5"/>
  <c r="D189" i="5"/>
  <c r="E193" i="5"/>
  <c r="E191" i="5"/>
  <c r="E189" i="5"/>
  <c r="F193" i="5"/>
  <c r="F191" i="5"/>
  <c r="F189" i="5"/>
  <c r="G193" i="5"/>
  <c r="G191" i="5"/>
  <c r="G189" i="5"/>
  <c r="H193" i="5"/>
  <c r="H191" i="5"/>
  <c r="H189" i="5"/>
  <c r="I193" i="5"/>
  <c r="I191" i="5"/>
  <c r="I189" i="5"/>
  <c r="J193" i="5"/>
  <c r="J191" i="5"/>
  <c r="J189" i="5"/>
  <c r="K193" i="5"/>
  <c r="K191" i="5"/>
  <c r="K189" i="5"/>
  <c r="O193" i="5"/>
  <c r="O189" i="5"/>
  <c r="P193" i="5"/>
  <c r="P191" i="5"/>
  <c r="P189" i="5"/>
  <c r="Q193" i="5"/>
  <c r="Q191" i="5"/>
  <c r="Q189" i="5"/>
  <c r="R193" i="5"/>
  <c r="R191" i="5"/>
  <c r="R189" i="5"/>
  <c r="S193" i="5"/>
  <c r="S191" i="5"/>
  <c r="S189" i="5"/>
  <c r="T193" i="5"/>
  <c r="T191" i="5"/>
  <c r="T189" i="5"/>
  <c r="U193" i="5"/>
  <c r="U191" i="5"/>
  <c r="U189" i="5"/>
  <c r="V193" i="5"/>
  <c r="V191" i="5"/>
  <c r="V189" i="5"/>
  <c r="W193" i="5"/>
  <c r="W191" i="5"/>
  <c r="W189" i="5"/>
  <c r="O191" i="5"/>
  <c r="D245" i="5"/>
  <c r="D243" i="5"/>
  <c r="D241" i="5"/>
  <c r="E245" i="5"/>
  <c r="E243" i="5"/>
  <c r="E241" i="5"/>
  <c r="F245" i="5"/>
  <c r="F243" i="5"/>
  <c r="F241" i="5"/>
  <c r="G245" i="5"/>
  <c r="G243" i="5"/>
  <c r="G241" i="5"/>
  <c r="H245" i="5"/>
  <c r="H243" i="5"/>
  <c r="H241" i="5"/>
  <c r="I245" i="5"/>
  <c r="I243" i="5"/>
  <c r="I241" i="5"/>
  <c r="J245" i="5"/>
  <c r="J243" i="5"/>
  <c r="J241" i="5"/>
  <c r="K245" i="5"/>
  <c r="K243" i="5"/>
  <c r="K241" i="5"/>
  <c r="O245" i="5"/>
  <c r="O241" i="5"/>
  <c r="P245" i="5"/>
  <c r="P243" i="5"/>
  <c r="P241" i="5"/>
  <c r="Q245" i="5"/>
  <c r="Q243" i="5"/>
  <c r="Q241" i="5"/>
  <c r="R245" i="5"/>
  <c r="R243" i="5"/>
  <c r="R241" i="5"/>
  <c r="S245" i="5"/>
  <c r="S243" i="5"/>
  <c r="S241" i="5"/>
  <c r="T245" i="5"/>
  <c r="T243" i="5"/>
  <c r="T241" i="5"/>
  <c r="U245" i="5"/>
  <c r="U243" i="5"/>
  <c r="U241" i="5"/>
  <c r="L241" i="5"/>
  <c r="M241" i="5"/>
  <c r="N241" i="5"/>
  <c r="L243" i="5"/>
  <c r="M243" i="5"/>
  <c r="N243" i="5"/>
  <c r="O243" i="5"/>
  <c r="L245" i="5"/>
  <c r="M245" i="5"/>
  <c r="N245" i="5"/>
  <c r="O289" i="5"/>
  <c r="O293" i="5" s="1"/>
  <c r="O258" i="5"/>
  <c r="N81" i="4" s="1"/>
  <c r="N91" i="4" s="1"/>
  <c r="N265" i="5"/>
  <c r="D301" i="5"/>
  <c r="D299" i="5"/>
  <c r="D297" i="5"/>
  <c r="E301" i="5"/>
  <c r="E299" i="5"/>
  <c r="E297" i="5"/>
  <c r="F301" i="5"/>
  <c r="F299" i="5"/>
  <c r="F297" i="5"/>
  <c r="G301" i="5"/>
  <c r="G299" i="5"/>
  <c r="G297" i="5"/>
  <c r="H301" i="5"/>
  <c r="H299" i="5"/>
  <c r="H297" i="5"/>
  <c r="I301" i="5"/>
  <c r="I299" i="5"/>
  <c r="I297" i="5"/>
  <c r="J301" i="5"/>
  <c r="J299" i="5"/>
  <c r="J297" i="5"/>
  <c r="K301" i="5"/>
  <c r="K299" i="5"/>
  <c r="K297" i="5"/>
  <c r="P301" i="5"/>
  <c r="P299" i="5"/>
  <c r="P297" i="5"/>
  <c r="Q301" i="5"/>
  <c r="Q299" i="5"/>
  <c r="Q297" i="5"/>
  <c r="R301" i="5"/>
  <c r="R299" i="5"/>
  <c r="R297" i="5"/>
  <c r="S301" i="5"/>
  <c r="S299" i="5"/>
  <c r="S297" i="5"/>
  <c r="T301" i="5"/>
  <c r="T299" i="5"/>
  <c r="T297" i="5"/>
  <c r="U301" i="5"/>
  <c r="U299" i="5"/>
  <c r="U297" i="5"/>
  <c r="D340" i="5"/>
  <c r="D338" i="5"/>
  <c r="D336" i="5"/>
  <c r="E340" i="5"/>
  <c r="E338" i="5"/>
  <c r="E336" i="5"/>
  <c r="F340" i="5"/>
  <c r="F338" i="5"/>
  <c r="F336" i="5"/>
  <c r="G340" i="5"/>
  <c r="G338" i="5"/>
  <c r="G336" i="5"/>
  <c r="H340" i="5"/>
  <c r="H338" i="5"/>
  <c r="H336" i="5"/>
  <c r="I340" i="5"/>
  <c r="I338" i="5"/>
  <c r="I336" i="5"/>
  <c r="J340" i="5"/>
  <c r="J338" i="5"/>
  <c r="J336" i="5"/>
  <c r="K340" i="5"/>
  <c r="K338" i="5"/>
  <c r="K336" i="5"/>
  <c r="O340" i="5"/>
  <c r="O336" i="5"/>
  <c r="P340" i="5"/>
  <c r="P338" i="5"/>
  <c r="P336" i="5"/>
  <c r="Q340" i="5"/>
  <c r="Q338" i="5"/>
  <c r="Q336" i="5"/>
  <c r="R340" i="5"/>
  <c r="R338" i="5"/>
  <c r="R336" i="5"/>
  <c r="S340" i="5"/>
  <c r="S338" i="5"/>
  <c r="S336" i="5"/>
  <c r="T340" i="5"/>
  <c r="T338" i="5"/>
  <c r="T336" i="5"/>
  <c r="U340" i="5"/>
  <c r="U338" i="5"/>
  <c r="U336" i="5"/>
  <c r="L336" i="5"/>
  <c r="M336" i="5"/>
  <c r="N336" i="5"/>
  <c r="L338" i="5"/>
  <c r="M338" i="5"/>
  <c r="N338" i="5"/>
  <c r="O338" i="5"/>
  <c r="L340" i="5"/>
  <c r="M340" i="5"/>
  <c r="N340" i="5"/>
  <c r="H382" i="5"/>
  <c r="H380" i="5"/>
  <c r="H378" i="5"/>
  <c r="I382" i="5"/>
  <c r="I380" i="5"/>
  <c r="I378" i="5"/>
  <c r="J382" i="5"/>
  <c r="J380" i="5"/>
  <c r="J378" i="5"/>
  <c r="K382" i="5"/>
  <c r="K380" i="5"/>
  <c r="K378" i="5"/>
  <c r="L382" i="5"/>
  <c r="L380" i="5"/>
  <c r="L378" i="5"/>
  <c r="N382" i="5"/>
  <c r="N380" i="5"/>
  <c r="N378" i="5"/>
  <c r="O382" i="5"/>
  <c r="O380" i="5"/>
  <c r="O378" i="5"/>
  <c r="S382" i="5"/>
  <c r="S380" i="5"/>
  <c r="D382" i="5"/>
  <c r="D380" i="5"/>
  <c r="D378" i="5"/>
  <c r="E382" i="5"/>
  <c r="E380" i="5"/>
  <c r="E378" i="5"/>
  <c r="F382" i="5"/>
  <c r="F380" i="5"/>
  <c r="F378" i="5"/>
  <c r="G382" i="5"/>
  <c r="G380" i="5"/>
  <c r="G378" i="5"/>
  <c r="M382" i="5"/>
  <c r="M378" i="5"/>
  <c r="P382" i="5"/>
  <c r="P380" i="5"/>
  <c r="P378" i="5"/>
  <c r="Q382" i="5"/>
  <c r="Q380" i="5"/>
  <c r="Q378" i="5"/>
  <c r="R374" i="5"/>
  <c r="T382" i="5"/>
  <c r="T380" i="5"/>
  <c r="T378" i="5"/>
  <c r="U382" i="5"/>
  <c r="U380" i="5"/>
  <c r="U378" i="5"/>
  <c r="V382" i="5"/>
  <c r="V380" i="5"/>
  <c r="V378" i="5"/>
  <c r="V29" i="5" s="1"/>
  <c r="V25" i="5" s="1"/>
  <c r="W382" i="5"/>
  <c r="W380" i="5"/>
  <c r="W378" i="5"/>
  <c r="R378" i="5"/>
  <c r="S378" i="5"/>
  <c r="M380" i="5"/>
  <c r="P406" i="5"/>
  <c r="P404" i="5"/>
  <c r="P402" i="5"/>
  <c r="S406" i="5"/>
  <c r="S404" i="5"/>
  <c r="S402" i="5"/>
  <c r="D406" i="5"/>
  <c r="D404" i="5"/>
  <c r="D402" i="5"/>
  <c r="E406" i="5"/>
  <c r="E404" i="5"/>
  <c r="E402" i="5"/>
  <c r="F406" i="5"/>
  <c r="F404" i="5"/>
  <c r="F402" i="5"/>
  <c r="G406" i="5"/>
  <c r="G404" i="5"/>
  <c r="G402" i="5"/>
  <c r="H406" i="5"/>
  <c r="H404" i="5"/>
  <c r="H402" i="5"/>
  <c r="I406" i="5"/>
  <c r="I404" i="5"/>
  <c r="I402" i="5"/>
  <c r="J406" i="5"/>
  <c r="J404" i="5"/>
  <c r="J402" i="5"/>
  <c r="K406" i="5"/>
  <c r="K404" i="5"/>
  <c r="K402" i="5"/>
  <c r="O406" i="5"/>
  <c r="O404" i="5"/>
  <c r="O402" i="5"/>
  <c r="Q406" i="5"/>
  <c r="Q404" i="5"/>
  <c r="Q402" i="5"/>
  <c r="R406" i="5"/>
  <c r="R404" i="5"/>
  <c r="R402" i="5"/>
  <c r="T406" i="5"/>
  <c r="T404" i="5"/>
  <c r="T402" i="5"/>
  <c r="U406" i="5"/>
  <c r="U404" i="5"/>
  <c r="U402" i="5"/>
  <c r="L402" i="5"/>
  <c r="M402" i="5"/>
  <c r="N402" i="5"/>
  <c r="L404" i="5"/>
  <c r="M404" i="5"/>
  <c r="N404" i="5"/>
  <c r="L406" i="5"/>
  <c r="M406" i="5"/>
  <c r="N406" i="5"/>
  <c r="D143" i="6"/>
  <c r="D141" i="6"/>
  <c r="D139" i="6"/>
  <c r="E143" i="6"/>
  <c r="E139" i="6"/>
  <c r="F143" i="6"/>
  <c r="F141" i="6"/>
  <c r="F139" i="6"/>
  <c r="G143" i="6"/>
  <c r="G141" i="6"/>
  <c r="G139" i="6"/>
  <c r="H143" i="6"/>
  <c r="H141" i="6"/>
  <c r="H139" i="6"/>
  <c r="I143" i="6"/>
  <c r="I141" i="6"/>
  <c r="I139" i="6"/>
  <c r="J143" i="6"/>
  <c r="J141" i="6"/>
  <c r="J139" i="6"/>
  <c r="K143" i="6"/>
  <c r="K141" i="6"/>
  <c r="K139" i="6"/>
  <c r="L143" i="6"/>
  <c r="L141" i="6"/>
  <c r="L139" i="6"/>
  <c r="M143" i="6"/>
  <c r="M141" i="6"/>
  <c r="M139" i="6"/>
  <c r="N143" i="6"/>
  <c r="N141" i="6"/>
  <c r="N139" i="6"/>
  <c r="E141" i="6"/>
  <c r="D224" i="6"/>
  <c r="D222" i="6"/>
  <c r="D220" i="6"/>
  <c r="E224" i="6"/>
  <c r="E220" i="6"/>
  <c r="F224" i="6"/>
  <c r="F222" i="6"/>
  <c r="F220" i="6"/>
  <c r="G224" i="6"/>
  <c r="G222" i="6"/>
  <c r="G220" i="6"/>
  <c r="H224" i="6"/>
  <c r="H222" i="6"/>
  <c r="H220" i="6"/>
  <c r="I224" i="6"/>
  <c r="I222" i="6"/>
  <c r="I220" i="6"/>
  <c r="J224" i="6"/>
  <c r="J222" i="6"/>
  <c r="J220" i="6"/>
  <c r="K224" i="6"/>
  <c r="K222" i="6"/>
  <c r="K220" i="6"/>
  <c r="L224" i="6"/>
  <c r="L222" i="6"/>
  <c r="L220" i="6"/>
  <c r="M224" i="6"/>
  <c r="M222" i="6"/>
  <c r="M220" i="6"/>
  <c r="N224" i="6"/>
  <c r="N222" i="6"/>
  <c r="N220" i="6"/>
  <c r="E222" i="6"/>
  <c r="D316" i="6"/>
  <c r="D314" i="6"/>
  <c r="D312" i="6"/>
  <c r="E316" i="6"/>
  <c r="E312" i="6"/>
  <c r="F316" i="6"/>
  <c r="F314" i="6"/>
  <c r="F312" i="6"/>
  <c r="G316" i="6"/>
  <c r="G314" i="6"/>
  <c r="G312" i="6"/>
  <c r="H316" i="6"/>
  <c r="H314" i="6"/>
  <c r="H312" i="6"/>
  <c r="I316" i="6"/>
  <c r="I314" i="6"/>
  <c r="I312" i="6"/>
  <c r="J316" i="6"/>
  <c r="J314" i="6"/>
  <c r="J312" i="6"/>
  <c r="K316" i="6"/>
  <c r="K314" i="6"/>
  <c r="K312" i="6"/>
  <c r="L316" i="6"/>
  <c r="L314" i="6"/>
  <c r="L312" i="6"/>
  <c r="M316" i="6"/>
  <c r="M314" i="6"/>
  <c r="M312" i="6"/>
  <c r="N316" i="6"/>
  <c r="N314" i="6"/>
  <c r="N312" i="6"/>
  <c r="E314" i="6"/>
  <c r="D363" i="6"/>
  <c r="D361" i="6"/>
  <c r="D359" i="6"/>
  <c r="E363" i="6"/>
  <c r="E359" i="6"/>
  <c r="F363" i="6"/>
  <c r="F361" i="6"/>
  <c r="F359" i="6"/>
  <c r="G363" i="6"/>
  <c r="G361" i="6"/>
  <c r="G359" i="6"/>
  <c r="H363" i="6"/>
  <c r="H361" i="6"/>
  <c r="H359" i="6"/>
  <c r="I363" i="6"/>
  <c r="I361" i="6"/>
  <c r="I359" i="6"/>
  <c r="J363" i="6"/>
  <c r="J361" i="6"/>
  <c r="J359" i="6"/>
  <c r="K363" i="6"/>
  <c r="K361" i="6"/>
  <c r="K359" i="6"/>
  <c r="L363" i="6"/>
  <c r="L361" i="6"/>
  <c r="L359" i="6"/>
  <c r="M363" i="6"/>
  <c r="M361" i="6"/>
  <c r="M359" i="6"/>
  <c r="N363" i="6"/>
  <c r="N361" i="6"/>
  <c r="N359" i="6"/>
  <c r="E361" i="6"/>
  <c r="D400" i="6"/>
  <c r="D398" i="6"/>
  <c r="D396" i="6"/>
  <c r="E400" i="6"/>
  <c r="E396" i="6"/>
  <c r="F400" i="6"/>
  <c r="F398" i="6"/>
  <c r="F396" i="6"/>
  <c r="G400" i="6"/>
  <c r="G398" i="6"/>
  <c r="G396" i="6"/>
  <c r="H400" i="6"/>
  <c r="H398" i="6"/>
  <c r="H396" i="6"/>
  <c r="I400" i="6"/>
  <c r="I398" i="6"/>
  <c r="I396" i="6"/>
  <c r="J400" i="6"/>
  <c r="J398" i="6"/>
  <c r="J396" i="6"/>
  <c r="K400" i="6"/>
  <c r="K398" i="6"/>
  <c r="K396" i="6"/>
  <c r="L400" i="6"/>
  <c r="L398" i="6"/>
  <c r="L396" i="6"/>
  <c r="M400" i="6"/>
  <c r="M398" i="6"/>
  <c r="M396" i="6"/>
  <c r="N400" i="6"/>
  <c r="N398" i="6"/>
  <c r="N396" i="6"/>
  <c r="E398" i="6"/>
  <c r="D460" i="6"/>
  <c r="D458" i="6"/>
  <c r="D456" i="6"/>
  <c r="E460" i="6"/>
  <c r="E458" i="6"/>
  <c r="E456" i="6"/>
  <c r="F460" i="6"/>
  <c r="F458" i="6"/>
  <c r="F456" i="6"/>
  <c r="G460" i="6"/>
  <c r="G458" i="6"/>
  <c r="G456" i="6"/>
  <c r="H460" i="6"/>
  <c r="H458" i="6"/>
  <c r="H456" i="6"/>
  <c r="I460" i="6"/>
  <c r="I458" i="6"/>
  <c r="I456" i="6"/>
  <c r="J460" i="6"/>
  <c r="J458" i="6"/>
  <c r="J456" i="6"/>
  <c r="K460" i="6"/>
  <c r="K458" i="6"/>
  <c r="K456" i="6"/>
  <c r="L460" i="6"/>
  <c r="L458" i="6"/>
  <c r="L456" i="6"/>
  <c r="M460" i="6"/>
  <c r="M458" i="6"/>
  <c r="M456" i="6"/>
  <c r="N460" i="6"/>
  <c r="N458" i="6"/>
  <c r="N456" i="6"/>
  <c r="G23" i="7"/>
  <c r="P22" i="7"/>
  <c r="H23" i="7"/>
  <c r="H30" i="7" s="1"/>
  <c r="I23" i="7"/>
  <c r="I30" i="7" s="1"/>
  <c r="J23" i="7"/>
  <c r="J30" i="7" s="1"/>
  <c r="K23" i="7"/>
  <c r="K30" i="7" s="1"/>
  <c r="L23" i="7"/>
  <c r="L30" i="7" s="1"/>
  <c r="M23" i="7"/>
  <c r="M30" i="7" s="1"/>
  <c r="N23" i="7"/>
  <c r="N30" i="7" s="1"/>
  <c r="O23" i="7"/>
  <c r="O30" i="7" s="1"/>
  <c r="AD23" i="7"/>
  <c r="AM22" i="7"/>
  <c r="AE23" i="7"/>
  <c r="AE30" i="7" s="1"/>
  <c r="AF23" i="7"/>
  <c r="AF30" i="7" s="1"/>
  <c r="AG23" i="7"/>
  <c r="AG30" i="7" s="1"/>
  <c r="AH23" i="7"/>
  <c r="AH30" i="7" s="1"/>
  <c r="AI23" i="7"/>
  <c r="AI30" i="7" s="1"/>
  <c r="AJ23" i="7"/>
  <c r="AJ30" i="7" s="1"/>
  <c r="AK23" i="7"/>
  <c r="AK30" i="7" s="1"/>
  <c r="AL23" i="7"/>
  <c r="AL30" i="7" s="1"/>
  <c r="G91" i="7"/>
  <c r="G51" i="7"/>
  <c r="G50" i="7"/>
  <c r="G49" i="7"/>
  <c r="G48" i="7"/>
  <c r="G47" i="7"/>
  <c r="G46" i="7"/>
  <c r="G45" i="7"/>
  <c r="G44" i="7"/>
  <c r="G43" i="7"/>
  <c r="G42" i="7"/>
  <c r="G41" i="7"/>
  <c r="G40" i="7"/>
  <c r="G39" i="7"/>
  <c r="G38" i="7"/>
  <c r="H91" i="7"/>
  <c r="H51" i="7"/>
  <c r="H50" i="7"/>
  <c r="H49" i="7"/>
  <c r="H48" i="7"/>
  <c r="H47" i="7"/>
  <c r="H46" i="7"/>
  <c r="H45" i="7"/>
  <c r="H44" i="7"/>
  <c r="H43" i="7"/>
  <c r="H42" i="7"/>
  <c r="H41" i="7"/>
  <c r="H40" i="7"/>
  <c r="H39" i="7"/>
  <c r="H38" i="7"/>
  <c r="H52" i="7" s="1"/>
  <c r="I91" i="7"/>
  <c r="I51" i="7"/>
  <c r="I50" i="7"/>
  <c r="I49" i="7"/>
  <c r="I48" i="7"/>
  <c r="I47" i="7"/>
  <c r="I46" i="7"/>
  <c r="I45" i="7"/>
  <c r="I44" i="7"/>
  <c r="I43" i="7"/>
  <c r="I42" i="7"/>
  <c r="I41" i="7"/>
  <c r="I40" i="7"/>
  <c r="I39" i="7"/>
  <c r="I38" i="7"/>
  <c r="I52" i="7" s="1"/>
  <c r="J91" i="7"/>
  <c r="J51" i="7"/>
  <c r="J50" i="7"/>
  <c r="J49" i="7"/>
  <c r="J48" i="7"/>
  <c r="J47" i="7"/>
  <c r="J46" i="7"/>
  <c r="J45" i="7"/>
  <c r="J44" i="7"/>
  <c r="J43" i="7"/>
  <c r="J42" i="7"/>
  <c r="J41" i="7"/>
  <c r="J40" i="7"/>
  <c r="J39" i="7"/>
  <c r="J38" i="7"/>
  <c r="J52" i="7" s="1"/>
  <c r="K51" i="7"/>
  <c r="K50" i="7"/>
  <c r="K49" i="7"/>
  <c r="K48" i="7"/>
  <c r="K47" i="7"/>
  <c r="K46" i="7"/>
  <c r="K45" i="7"/>
  <c r="K44" i="7"/>
  <c r="K43" i="7"/>
  <c r="K42" i="7"/>
  <c r="K41" i="7"/>
  <c r="K40" i="7"/>
  <c r="K39" i="7"/>
  <c r="K38" i="7"/>
  <c r="K52" i="7" s="1"/>
  <c r="L91" i="7"/>
  <c r="L51" i="7"/>
  <c r="L50" i="7"/>
  <c r="L49" i="7"/>
  <c r="L48" i="7"/>
  <c r="L47" i="7"/>
  <c r="L46" i="7"/>
  <c r="L45" i="7"/>
  <c r="L44" i="7"/>
  <c r="L43" i="7"/>
  <c r="L42" i="7"/>
  <c r="L41" i="7"/>
  <c r="L40" i="7"/>
  <c r="L39" i="7"/>
  <c r="L38" i="7"/>
  <c r="L52" i="7" s="1"/>
  <c r="M91" i="7"/>
  <c r="M51" i="7"/>
  <c r="M50" i="7"/>
  <c r="M49" i="7"/>
  <c r="M48" i="7"/>
  <c r="M47" i="7"/>
  <c r="M46" i="7"/>
  <c r="M45" i="7"/>
  <c r="M44" i="7"/>
  <c r="M43" i="7"/>
  <c r="M42" i="7"/>
  <c r="M41" i="7"/>
  <c r="M40" i="7"/>
  <c r="M39" i="7"/>
  <c r="M38" i="7"/>
  <c r="M52" i="7" s="1"/>
  <c r="N91" i="7"/>
  <c r="N51" i="7"/>
  <c r="N50" i="7"/>
  <c r="N49" i="7"/>
  <c r="N48" i="7"/>
  <c r="N47" i="7"/>
  <c r="N46" i="7"/>
  <c r="N45" i="7"/>
  <c r="N44" i="7"/>
  <c r="N43" i="7"/>
  <c r="N42" i="7"/>
  <c r="N41" i="7"/>
  <c r="N40" i="7"/>
  <c r="N39" i="7"/>
  <c r="N38" i="7"/>
  <c r="N52" i="7" s="1"/>
  <c r="O91" i="7"/>
  <c r="O51" i="7"/>
  <c r="O50" i="7"/>
  <c r="O49" i="7"/>
  <c r="O48" i="7"/>
  <c r="O47" i="7"/>
  <c r="O46" i="7"/>
  <c r="O45" i="7"/>
  <c r="O44" i="7"/>
  <c r="O43" i="7"/>
  <c r="O42" i="7"/>
  <c r="O41" i="7"/>
  <c r="O40" i="7"/>
  <c r="O39" i="7"/>
  <c r="O38" i="7"/>
  <c r="O52" i="7" s="1"/>
  <c r="AD91" i="7"/>
  <c r="AD51" i="7"/>
  <c r="AD50" i="7"/>
  <c r="AD49" i="7"/>
  <c r="AD48" i="7"/>
  <c r="AD47" i="7"/>
  <c r="AD46" i="7"/>
  <c r="AD45" i="7"/>
  <c r="AD44" i="7"/>
  <c r="AD43" i="7"/>
  <c r="AD42" i="7"/>
  <c r="AD41" i="7"/>
  <c r="AD40" i="7"/>
  <c r="AD39" i="7"/>
  <c r="AD38" i="7"/>
  <c r="AE91" i="7"/>
  <c r="AE51" i="7"/>
  <c r="AE50" i="7"/>
  <c r="AE49" i="7"/>
  <c r="AE48" i="7"/>
  <c r="AE47" i="7"/>
  <c r="AE46" i="7"/>
  <c r="AE45" i="7"/>
  <c r="AE44" i="7"/>
  <c r="AE43" i="7"/>
  <c r="AE42" i="7"/>
  <c r="AE41" i="7"/>
  <c r="AE40" i="7"/>
  <c r="AE39" i="7"/>
  <c r="AE38" i="7"/>
  <c r="AE52" i="7" s="1"/>
  <c r="AF91" i="7"/>
  <c r="AF51" i="7"/>
  <c r="AF50" i="7"/>
  <c r="AF49" i="7"/>
  <c r="AF48" i="7"/>
  <c r="AF47" i="7"/>
  <c r="AF46" i="7"/>
  <c r="AF45" i="7"/>
  <c r="AF44" i="7"/>
  <c r="AF43" i="7"/>
  <c r="AF42" i="7"/>
  <c r="AF41" i="7"/>
  <c r="AF40" i="7"/>
  <c r="AF39" i="7"/>
  <c r="AF38" i="7"/>
  <c r="AF52" i="7" s="1"/>
  <c r="AG91" i="7"/>
  <c r="AG51" i="7"/>
  <c r="AG50" i="7"/>
  <c r="AG49" i="7"/>
  <c r="AG48" i="7"/>
  <c r="AG47" i="7"/>
  <c r="AG46" i="7"/>
  <c r="AG45" i="7"/>
  <c r="AG44" i="7"/>
  <c r="AG43" i="7"/>
  <c r="AG42" i="7"/>
  <c r="AG41" i="7"/>
  <c r="AG40" i="7"/>
  <c r="AG39" i="7"/>
  <c r="AG38" i="7"/>
  <c r="AG52" i="7" s="1"/>
  <c r="AH51" i="7"/>
  <c r="AH50" i="7"/>
  <c r="AH49" i="7"/>
  <c r="AH48" i="7"/>
  <c r="AH47" i="7"/>
  <c r="AH46" i="7"/>
  <c r="AH45" i="7"/>
  <c r="AH44" i="7"/>
  <c r="AH43" i="7"/>
  <c r="AH42" i="7"/>
  <c r="AH41" i="7"/>
  <c r="AH40" i="7"/>
  <c r="AH39" i="7"/>
  <c r="AH38" i="7"/>
  <c r="AH52" i="7" s="1"/>
  <c r="AI91" i="7"/>
  <c r="AI51" i="7"/>
  <c r="AI50" i="7"/>
  <c r="AI49" i="7"/>
  <c r="AI48" i="7"/>
  <c r="AI47" i="7"/>
  <c r="AI46" i="7"/>
  <c r="AI45" i="7"/>
  <c r="AI44" i="7"/>
  <c r="AI43" i="7"/>
  <c r="AI42" i="7"/>
  <c r="AI41" i="7"/>
  <c r="AI40" i="7"/>
  <c r="AI39" i="7"/>
  <c r="AI38" i="7"/>
  <c r="AI52" i="7" s="1"/>
  <c r="AJ91" i="7"/>
  <c r="AJ51" i="7"/>
  <c r="AJ50" i="7"/>
  <c r="AJ49" i="7"/>
  <c r="AJ48" i="7"/>
  <c r="AJ47" i="7"/>
  <c r="AJ46" i="7"/>
  <c r="AJ45" i="7"/>
  <c r="AJ44" i="7"/>
  <c r="AJ43" i="7"/>
  <c r="AJ42" i="7"/>
  <c r="AJ41" i="7"/>
  <c r="AJ40" i="7"/>
  <c r="AJ39" i="7"/>
  <c r="AJ38" i="7"/>
  <c r="AJ52" i="7" s="1"/>
  <c r="AK91" i="7"/>
  <c r="AK51" i="7"/>
  <c r="AK50" i="7"/>
  <c r="AK49" i="7"/>
  <c r="AK48" i="7"/>
  <c r="AK47" i="7"/>
  <c r="AK46" i="7"/>
  <c r="AK45" i="7"/>
  <c r="AK44" i="7"/>
  <c r="AK43" i="7"/>
  <c r="AK42" i="7"/>
  <c r="AK41" i="7"/>
  <c r="AK40" i="7"/>
  <c r="AK39" i="7"/>
  <c r="AK38" i="7"/>
  <c r="AK52" i="7" s="1"/>
  <c r="AL91" i="7"/>
  <c r="AL51" i="7"/>
  <c r="AL50" i="7"/>
  <c r="AL49" i="7"/>
  <c r="AL48" i="7"/>
  <c r="AL47" i="7"/>
  <c r="AL46" i="7"/>
  <c r="AL45" i="7"/>
  <c r="AL44" i="7"/>
  <c r="AL43" i="7"/>
  <c r="AL42" i="7"/>
  <c r="AL41" i="7"/>
  <c r="AL40" i="7"/>
  <c r="AL39" i="7"/>
  <c r="AL38" i="7"/>
  <c r="AL52" i="7" s="1"/>
  <c r="O73" i="7"/>
  <c r="N73" i="7"/>
  <c r="M73" i="7"/>
  <c r="L73" i="7"/>
  <c r="K73" i="7"/>
  <c r="J73" i="7"/>
  <c r="I73" i="7"/>
  <c r="H73" i="7"/>
  <c r="G73" i="7"/>
  <c r="AL73" i="7"/>
  <c r="AK73" i="7"/>
  <c r="AJ73" i="7"/>
  <c r="AI73" i="7"/>
  <c r="AH73" i="7"/>
  <c r="AG73" i="7"/>
  <c r="AF73" i="7"/>
  <c r="AE73" i="7"/>
  <c r="AD73" i="7"/>
  <c r="O74" i="7"/>
  <c r="O95" i="7" s="1"/>
  <c r="N74" i="7"/>
  <c r="N95" i="7" s="1"/>
  <c r="M74" i="7"/>
  <c r="M95" i="7" s="1"/>
  <c r="L74" i="7"/>
  <c r="L95" i="7" s="1"/>
  <c r="K74" i="7"/>
  <c r="K95" i="7" s="1"/>
  <c r="J74" i="7"/>
  <c r="J95" i="7" s="1"/>
  <c r="I74" i="7"/>
  <c r="I95" i="7" s="1"/>
  <c r="H74" i="7"/>
  <c r="H95" i="7" s="1"/>
  <c r="G74" i="7"/>
  <c r="AL74" i="7"/>
  <c r="AL95" i="7" s="1"/>
  <c r="AK74" i="7"/>
  <c r="AK95" i="7" s="1"/>
  <c r="AJ74" i="7"/>
  <c r="AJ95" i="7" s="1"/>
  <c r="AI74" i="7"/>
  <c r="AI95" i="7" s="1"/>
  <c r="AH74" i="7"/>
  <c r="AH95" i="7" s="1"/>
  <c r="AG74" i="7"/>
  <c r="AG95" i="7" s="1"/>
  <c r="AF74" i="7"/>
  <c r="AF95" i="7" s="1"/>
  <c r="AE74" i="7"/>
  <c r="AE95" i="7" s="1"/>
  <c r="AD74" i="7"/>
  <c r="O75" i="7"/>
  <c r="O96" i="7" s="1"/>
  <c r="N75" i="7"/>
  <c r="N96" i="7" s="1"/>
  <c r="M75" i="7"/>
  <c r="M96" i="7" s="1"/>
  <c r="L75" i="7"/>
  <c r="L96" i="7" s="1"/>
  <c r="K75" i="7"/>
  <c r="K96" i="7" s="1"/>
  <c r="J75" i="7"/>
  <c r="J96" i="7" s="1"/>
  <c r="I75" i="7"/>
  <c r="I96" i="7" s="1"/>
  <c r="H75" i="7"/>
  <c r="H96" i="7" s="1"/>
  <c r="G75" i="7"/>
  <c r="AL75" i="7"/>
  <c r="AL96" i="7" s="1"/>
  <c r="AK75" i="7"/>
  <c r="AK96" i="7" s="1"/>
  <c r="AJ75" i="7"/>
  <c r="AJ96" i="7" s="1"/>
  <c r="AI75" i="7"/>
  <c r="AI96" i="7" s="1"/>
  <c r="AH75" i="7"/>
  <c r="AH96" i="7" s="1"/>
  <c r="AG75" i="7"/>
  <c r="AG96" i="7" s="1"/>
  <c r="AF75" i="7"/>
  <c r="AF96" i="7" s="1"/>
  <c r="AE75" i="7"/>
  <c r="AE96" i="7" s="1"/>
  <c r="AD75" i="7"/>
  <c r="O76" i="7"/>
  <c r="O97" i="7" s="1"/>
  <c r="N76" i="7"/>
  <c r="N97" i="7" s="1"/>
  <c r="M76" i="7"/>
  <c r="M97" i="7" s="1"/>
  <c r="L76" i="7"/>
  <c r="L97" i="7" s="1"/>
  <c r="K76" i="7"/>
  <c r="K97" i="7" s="1"/>
  <c r="J76" i="7"/>
  <c r="J97" i="7" s="1"/>
  <c r="I76" i="7"/>
  <c r="I97" i="7" s="1"/>
  <c r="H76" i="7"/>
  <c r="H97" i="7" s="1"/>
  <c r="G76" i="7"/>
  <c r="AL76" i="7"/>
  <c r="AL97" i="7" s="1"/>
  <c r="AK76" i="7"/>
  <c r="AK97" i="7" s="1"/>
  <c r="AJ76" i="7"/>
  <c r="AJ97" i="7" s="1"/>
  <c r="AI76" i="7"/>
  <c r="AI97" i="7" s="1"/>
  <c r="AH76" i="7"/>
  <c r="AH97" i="7" s="1"/>
  <c r="AG76" i="7"/>
  <c r="AG97" i="7" s="1"/>
  <c r="AF76" i="7"/>
  <c r="AF97" i="7" s="1"/>
  <c r="AE76" i="7"/>
  <c r="AE97" i="7" s="1"/>
  <c r="AD76" i="7"/>
  <c r="O77" i="7"/>
  <c r="O98" i="7" s="1"/>
  <c r="N77" i="7"/>
  <c r="N98" i="7" s="1"/>
  <c r="M77" i="7"/>
  <c r="M98" i="7" s="1"/>
  <c r="L77" i="7"/>
  <c r="L98" i="7" s="1"/>
  <c r="K77" i="7"/>
  <c r="K98" i="7" s="1"/>
  <c r="J77" i="7"/>
  <c r="J98" i="7" s="1"/>
  <c r="I77" i="7"/>
  <c r="I98" i="7" s="1"/>
  <c r="H77" i="7"/>
  <c r="H98" i="7" s="1"/>
  <c r="G77" i="7"/>
  <c r="AL77" i="7"/>
  <c r="AL98" i="7" s="1"/>
  <c r="AK77" i="7"/>
  <c r="AK98" i="7" s="1"/>
  <c r="AJ77" i="7"/>
  <c r="AJ98" i="7" s="1"/>
  <c r="AI77" i="7"/>
  <c r="AI98" i="7" s="1"/>
  <c r="AH77" i="7"/>
  <c r="AH98" i="7" s="1"/>
  <c r="AG77" i="7"/>
  <c r="AG98" i="7" s="1"/>
  <c r="AF77" i="7"/>
  <c r="AF98" i="7" s="1"/>
  <c r="AE77" i="7"/>
  <c r="AE98" i="7" s="1"/>
  <c r="AD77" i="7"/>
  <c r="O78" i="7"/>
  <c r="O99" i="7" s="1"/>
  <c r="N78" i="7"/>
  <c r="N99" i="7" s="1"/>
  <c r="M78" i="7"/>
  <c r="M99" i="7" s="1"/>
  <c r="L78" i="7"/>
  <c r="L99" i="7" s="1"/>
  <c r="K78" i="7"/>
  <c r="K99" i="7" s="1"/>
  <c r="J78" i="7"/>
  <c r="J99" i="7" s="1"/>
  <c r="I78" i="7"/>
  <c r="I99" i="7" s="1"/>
  <c r="H78" i="7"/>
  <c r="H99" i="7" s="1"/>
  <c r="G78" i="7"/>
  <c r="AL78" i="7"/>
  <c r="AL99" i="7" s="1"/>
  <c r="AK78" i="7"/>
  <c r="AK99" i="7" s="1"/>
  <c r="AJ78" i="7"/>
  <c r="AJ99" i="7" s="1"/>
  <c r="AI78" i="7"/>
  <c r="AI99" i="7" s="1"/>
  <c r="AH78" i="7"/>
  <c r="AH99" i="7" s="1"/>
  <c r="AG78" i="7"/>
  <c r="AG99" i="7" s="1"/>
  <c r="AF78" i="7"/>
  <c r="AF99" i="7" s="1"/>
  <c r="AE78" i="7"/>
  <c r="AE99" i="7" s="1"/>
  <c r="AD78" i="7"/>
  <c r="O79" i="7"/>
  <c r="O100" i="7" s="1"/>
  <c r="N79" i="7"/>
  <c r="N100" i="7" s="1"/>
  <c r="M79" i="7"/>
  <c r="M100" i="7" s="1"/>
  <c r="L79" i="7"/>
  <c r="L100" i="7" s="1"/>
  <c r="K79" i="7"/>
  <c r="K100" i="7" s="1"/>
  <c r="J79" i="7"/>
  <c r="J100" i="7" s="1"/>
  <c r="I79" i="7"/>
  <c r="I100" i="7" s="1"/>
  <c r="H79" i="7"/>
  <c r="H100" i="7" s="1"/>
  <c r="G79" i="7"/>
  <c r="AL79" i="7"/>
  <c r="AL100" i="7" s="1"/>
  <c r="AK79" i="7"/>
  <c r="AK100" i="7" s="1"/>
  <c r="AJ79" i="7"/>
  <c r="AJ100" i="7" s="1"/>
  <c r="AI79" i="7"/>
  <c r="AI100" i="7" s="1"/>
  <c r="AH79" i="7"/>
  <c r="AH100" i="7" s="1"/>
  <c r="AG79" i="7"/>
  <c r="AG100" i="7" s="1"/>
  <c r="AF79" i="7"/>
  <c r="AF100" i="7" s="1"/>
  <c r="AE79" i="7"/>
  <c r="AE100" i="7" s="1"/>
  <c r="AD79" i="7"/>
  <c r="O80" i="7"/>
  <c r="O101" i="7" s="1"/>
  <c r="N80" i="7"/>
  <c r="N101" i="7" s="1"/>
  <c r="M80" i="7"/>
  <c r="M101" i="7" s="1"/>
  <c r="L80" i="7"/>
  <c r="L101" i="7" s="1"/>
  <c r="K80" i="7"/>
  <c r="K101" i="7" s="1"/>
  <c r="J80" i="7"/>
  <c r="J101" i="7" s="1"/>
  <c r="I80" i="7"/>
  <c r="I101" i="7" s="1"/>
  <c r="H80" i="7"/>
  <c r="H101" i="7" s="1"/>
  <c r="G80" i="7"/>
  <c r="AL80" i="7"/>
  <c r="AL101" i="7" s="1"/>
  <c r="AK80" i="7"/>
  <c r="AK101" i="7" s="1"/>
  <c r="AJ80" i="7"/>
  <c r="AJ101" i="7" s="1"/>
  <c r="AI80" i="7"/>
  <c r="AI101" i="7" s="1"/>
  <c r="AH80" i="7"/>
  <c r="AH101" i="7" s="1"/>
  <c r="AG80" i="7"/>
  <c r="AG101" i="7" s="1"/>
  <c r="AF80" i="7"/>
  <c r="AF101" i="7" s="1"/>
  <c r="AE80" i="7"/>
  <c r="AE101" i="7" s="1"/>
  <c r="AD80" i="7"/>
  <c r="O81" i="7"/>
  <c r="O102" i="7" s="1"/>
  <c r="N81" i="7"/>
  <c r="N102" i="7" s="1"/>
  <c r="M81" i="7"/>
  <c r="M102" i="7" s="1"/>
  <c r="L81" i="7"/>
  <c r="L102" i="7" s="1"/>
  <c r="K81" i="7"/>
  <c r="K102" i="7" s="1"/>
  <c r="J81" i="7"/>
  <c r="J102" i="7" s="1"/>
  <c r="I81" i="7"/>
  <c r="I102" i="7" s="1"/>
  <c r="H81" i="7"/>
  <c r="H102" i="7" s="1"/>
  <c r="G81" i="7"/>
  <c r="AL81" i="7"/>
  <c r="AL102" i="7" s="1"/>
  <c r="AK81" i="7"/>
  <c r="AK102" i="7" s="1"/>
  <c r="AJ81" i="7"/>
  <c r="AJ102" i="7" s="1"/>
  <c r="AI81" i="7"/>
  <c r="AI102" i="7" s="1"/>
  <c r="AH81" i="7"/>
  <c r="AH102" i="7" s="1"/>
  <c r="AG81" i="7"/>
  <c r="AG102" i="7" s="1"/>
  <c r="AF81" i="7"/>
  <c r="AF102" i="7" s="1"/>
  <c r="AE81" i="7"/>
  <c r="AE102" i="7" s="1"/>
  <c r="AD81" i="7"/>
  <c r="O82" i="7"/>
  <c r="O103" i="7" s="1"/>
  <c r="N82" i="7"/>
  <c r="N103" i="7" s="1"/>
  <c r="M82" i="7"/>
  <c r="M103" i="7" s="1"/>
  <c r="L82" i="7"/>
  <c r="L103" i="7" s="1"/>
  <c r="K82" i="7"/>
  <c r="K103" i="7" s="1"/>
  <c r="J82" i="7"/>
  <c r="J103" i="7" s="1"/>
  <c r="I82" i="7"/>
  <c r="I103" i="7" s="1"/>
  <c r="H82" i="7"/>
  <c r="H103" i="7" s="1"/>
  <c r="G82" i="7"/>
  <c r="AL82" i="7"/>
  <c r="AL103" i="7" s="1"/>
  <c r="AK82" i="7"/>
  <c r="AK103" i="7" s="1"/>
  <c r="AJ82" i="7"/>
  <c r="AJ103" i="7" s="1"/>
  <c r="AI82" i="7"/>
  <c r="AI103" i="7" s="1"/>
  <c r="AH82" i="7"/>
  <c r="AH103" i="7" s="1"/>
  <c r="AG82" i="7"/>
  <c r="AG103" i="7" s="1"/>
  <c r="AF82" i="7"/>
  <c r="AF103" i="7" s="1"/>
  <c r="AE82" i="7"/>
  <c r="AE103" i="7" s="1"/>
  <c r="AD82" i="7"/>
  <c r="O83" i="7"/>
  <c r="O104" i="7" s="1"/>
  <c r="N83" i="7"/>
  <c r="N104" i="7" s="1"/>
  <c r="M83" i="7"/>
  <c r="M104" i="7" s="1"/>
  <c r="L83" i="7"/>
  <c r="L104" i="7" s="1"/>
  <c r="K83" i="7"/>
  <c r="K104" i="7" s="1"/>
  <c r="J83" i="7"/>
  <c r="J104" i="7" s="1"/>
  <c r="I83" i="7"/>
  <c r="I104" i="7" s="1"/>
  <c r="H83" i="7"/>
  <c r="H104" i="7" s="1"/>
  <c r="G83" i="7"/>
  <c r="AL83" i="7"/>
  <c r="AL104" i="7" s="1"/>
  <c r="AK83" i="7"/>
  <c r="AK104" i="7" s="1"/>
  <c r="AJ83" i="7"/>
  <c r="AJ104" i="7" s="1"/>
  <c r="AI83" i="7"/>
  <c r="AI104" i="7" s="1"/>
  <c r="AH83" i="7"/>
  <c r="AH104" i="7" s="1"/>
  <c r="AG83" i="7"/>
  <c r="AG104" i="7" s="1"/>
  <c r="AF83" i="7"/>
  <c r="AF104" i="7" s="1"/>
  <c r="AE83" i="7"/>
  <c r="AE104" i="7" s="1"/>
  <c r="AD83" i="7"/>
  <c r="O84" i="7"/>
  <c r="O105" i="7" s="1"/>
  <c r="N84" i="7"/>
  <c r="N105" i="7" s="1"/>
  <c r="M84" i="7"/>
  <c r="M105" i="7" s="1"/>
  <c r="L84" i="7"/>
  <c r="L105" i="7" s="1"/>
  <c r="K84" i="7"/>
  <c r="K105" i="7" s="1"/>
  <c r="J84" i="7"/>
  <c r="J105" i="7" s="1"/>
  <c r="I84" i="7"/>
  <c r="I105" i="7" s="1"/>
  <c r="H84" i="7"/>
  <c r="H105" i="7" s="1"/>
  <c r="G84" i="7"/>
  <c r="AL84" i="7"/>
  <c r="AL105" i="7" s="1"/>
  <c r="AK84" i="7"/>
  <c r="AK105" i="7" s="1"/>
  <c r="AJ84" i="7"/>
  <c r="AJ105" i="7" s="1"/>
  <c r="AI84" i="7"/>
  <c r="AI105" i="7" s="1"/>
  <c r="AH84" i="7"/>
  <c r="AH105" i="7" s="1"/>
  <c r="AG84" i="7"/>
  <c r="AG105" i="7" s="1"/>
  <c r="AF84" i="7"/>
  <c r="AF105" i="7" s="1"/>
  <c r="AE84" i="7"/>
  <c r="AE105" i="7" s="1"/>
  <c r="AD84" i="7"/>
  <c r="O85" i="7"/>
  <c r="O106" i="7" s="1"/>
  <c r="N85" i="7"/>
  <c r="N106" i="7" s="1"/>
  <c r="M85" i="7"/>
  <c r="M106" i="7" s="1"/>
  <c r="L85" i="7"/>
  <c r="L106" i="7" s="1"/>
  <c r="K85" i="7"/>
  <c r="K106" i="7" s="1"/>
  <c r="J85" i="7"/>
  <c r="J106" i="7" s="1"/>
  <c r="I85" i="7"/>
  <c r="I106" i="7" s="1"/>
  <c r="H85" i="7"/>
  <c r="H106" i="7" s="1"/>
  <c r="G85" i="7"/>
  <c r="AL85" i="7"/>
  <c r="AL106" i="7" s="1"/>
  <c r="AK85" i="7"/>
  <c r="AK106" i="7" s="1"/>
  <c r="AJ85" i="7"/>
  <c r="AJ106" i="7" s="1"/>
  <c r="AI85" i="7"/>
  <c r="AI106" i="7" s="1"/>
  <c r="AH85" i="7"/>
  <c r="AH106" i="7" s="1"/>
  <c r="AG85" i="7"/>
  <c r="AG106" i="7" s="1"/>
  <c r="AF85" i="7"/>
  <c r="AF106" i="7" s="1"/>
  <c r="AE85" i="7"/>
  <c r="AE106" i="7" s="1"/>
  <c r="AD85" i="7"/>
  <c r="O86" i="7"/>
  <c r="O107" i="7" s="1"/>
  <c r="N86" i="7"/>
  <c r="N107" i="7" s="1"/>
  <c r="M86" i="7"/>
  <c r="M107" i="7" s="1"/>
  <c r="L86" i="7"/>
  <c r="L107" i="7" s="1"/>
  <c r="K86" i="7"/>
  <c r="K107" i="7" s="1"/>
  <c r="J86" i="7"/>
  <c r="J107" i="7" s="1"/>
  <c r="I86" i="7"/>
  <c r="I107" i="7" s="1"/>
  <c r="H86" i="7"/>
  <c r="H107" i="7" s="1"/>
  <c r="G86" i="7"/>
  <c r="AL86" i="7"/>
  <c r="AL107" i="7" s="1"/>
  <c r="AK86" i="7"/>
  <c r="AK107" i="7" s="1"/>
  <c r="AJ86" i="7"/>
  <c r="AJ107" i="7" s="1"/>
  <c r="AI86" i="7"/>
  <c r="AI107" i="7" s="1"/>
  <c r="AH86" i="7"/>
  <c r="AH107" i="7" s="1"/>
  <c r="AG86" i="7"/>
  <c r="AG107" i="7" s="1"/>
  <c r="AF86" i="7"/>
  <c r="AF107" i="7" s="1"/>
  <c r="AE86" i="7"/>
  <c r="AE107" i="7" s="1"/>
  <c r="AD86" i="7"/>
  <c r="G23" i="9"/>
  <c r="P22" i="9"/>
  <c r="H23" i="9"/>
  <c r="H30" i="9" s="1"/>
  <c r="I23" i="9"/>
  <c r="I30" i="9" s="1"/>
  <c r="J23" i="9"/>
  <c r="J30" i="9" s="1"/>
  <c r="K23" i="9"/>
  <c r="K30" i="9" s="1"/>
  <c r="L23" i="9"/>
  <c r="L30" i="9" s="1"/>
  <c r="M23" i="9"/>
  <c r="M30" i="9" s="1"/>
  <c r="N23" i="9"/>
  <c r="N30" i="9" s="1"/>
  <c r="O23" i="9"/>
  <c r="O30" i="9" s="1"/>
  <c r="AD23" i="9"/>
  <c r="AD45" i="9" s="1"/>
  <c r="AD80" i="9" s="1"/>
  <c r="AM22" i="9"/>
  <c r="AE23" i="9"/>
  <c r="AE30" i="9" s="1"/>
  <c r="AF23" i="9"/>
  <c r="AF30" i="9" s="1"/>
  <c r="AG23" i="9"/>
  <c r="AG30" i="9" s="1"/>
  <c r="AH23" i="9"/>
  <c r="AH30" i="9" s="1"/>
  <c r="AI23" i="9"/>
  <c r="AI30" i="9" s="1"/>
  <c r="AJ23" i="9"/>
  <c r="AJ30" i="9" s="1"/>
  <c r="AK23" i="9"/>
  <c r="AK30" i="9" s="1"/>
  <c r="AL23" i="9"/>
  <c r="AL30" i="9" s="1"/>
  <c r="G91" i="9"/>
  <c r="G51" i="9"/>
  <c r="G86" i="9" s="1"/>
  <c r="G50" i="9"/>
  <c r="G85" i="9" s="1"/>
  <c r="G49" i="9"/>
  <c r="G48" i="9"/>
  <c r="G47" i="9"/>
  <c r="G46" i="9"/>
  <c r="G45" i="9"/>
  <c r="G80" i="9" s="1"/>
  <c r="G44" i="9"/>
  <c r="G43" i="9"/>
  <c r="G78" i="9" s="1"/>
  <c r="G42" i="9"/>
  <c r="G41" i="9"/>
  <c r="G40" i="9"/>
  <c r="G39" i="9"/>
  <c r="G38" i="9"/>
  <c r="G73" i="9" s="1"/>
  <c r="H91" i="9"/>
  <c r="H51" i="9"/>
  <c r="H50" i="9"/>
  <c r="H49" i="9"/>
  <c r="H84" i="9" s="1"/>
  <c r="H105" i="9" s="1"/>
  <c r="H48" i="9"/>
  <c r="H47" i="9"/>
  <c r="H82" i="9" s="1"/>
  <c r="H103" i="9" s="1"/>
  <c r="H46" i="9"/>
  <c r="H45" i="9"/>
  <c r="H80" i="9" s="1"/>
  <c r="H101" i="9" s="1"/>
  <c r="H44" i="9"/>
  <c r="H43" i="9"/>
  <c r="H42" i="9"/>
  <c r="H41" i="9"/>
  <c r="H76" i="9" s="1"/>
  <c r="H97" i="9" s="1"/>
  <c r="H40" i="9"/>
  <c r="H39" i="9"/>
  <c r="H38" i="9"/>
  <c r="I91" i="9"/>
  <c r="I51" i="9"/>
  <c r="I86" i="9" s="1"/>
  <c r="I107" i="9" s="1"/>
  <c r="I50" i="9"/>
  <c r="I49" i="9"/>
  <c r="I84" i="9" s="1"/>
  <c r="I105" i="9" s="1"/>
  <c r="I48" i="9"/>
  <c r="I47" i="9"/>
  <c r="I82" i="9" s="1"/>
  <c r="I103" i="9" s="1"/>
  <c r="I46" i="9"/>
  <c r="I44" i="9"/>
  <c r="I79" i="9" s="1"/>
  <c r="I100" i="9" s="1"/>
  <c r="I43" i="9"/>
  <c r="I42" i="9"/>
  <c r="I41" i="9"/>
  <c r="I76" i="9" s="1"/>
  <c r="I97" i="9" s="1"/>
  <c r="I40" i="9"/>
  <c r="I75" i="9" s="1"/>
  <c r="I96" i="9" s="1"/>
  <c r="I39" i="9"/>
  <c r="I38" i="9"/>
  <c r="J91" i="9"/>
  <c r="J51" i="9"/>
  <c r="J86" i="9" s="1"/>
  <c r="J107" i="9" s="1"/>
  <c r="J50" i="9"/>
  <c r="J49" i="9"/>
  <c r="J48" i="9"/>
  <c r="J83" i="9" s="1"/>
  <c r="J104" i="9" s="1"/>
  <c r="J47" i="9"/>
  <c r="J82" i="9" s="1"/>
  <c r="J103" i="9" s="1"/>
  <c r="J46" i="9"/>
  <c r="J44" i="9"/>
  <c r="J43" i="9"/>
  <c r="J78" i="9" s="1"/>
  <c r="J99" i="9" s="1"/>
  <c r="J42" i="9"/>
  <c r="J41" i="9"/>
  <c r="J76" i="9" s="1"/>
  <c r="J97" i="9" s="1"/>
  <c r="J40" i="9"/>
  <c r="J75" i="9" s="1"/>
  <c r="J96" i="9" s="1"/>
  <c r="J39" i="9"/>
  <c r="J74" i="9" s="1"/>
  <c r="J95" i="9" s="1"/>
  <c r="J38" i="9"/>
  <c r="K51" i="9"/>
  <c r="K50" i="9"/>
  <c r="K85" i="9" s="1"/>
  <c r="K106" i="9" s="1"/>
  <c r="K49" i="9"/>
  <c r="K48" i="9"/>
  <c r="K47" i="9"/>
  <c r="K46" i="9"/>
  <c r="K44" i="9"/>
  <c r="K43" i="9"/>
  <c r="K42" i="9"/>
  <c r="K77" i="9" s="1"/>
  <c r="K98" i="9" s="1"/>
  <c r="K41" i="9"/>
  <c r="K40" i="9"/>
  <c r="K39" i="9"/>
  <c r="K38" i="9"/>
  <c r="L91" i="9"/>
  <c r="L51" i="9"/>
  <c r="L50" i="9"/>
  <c r="L49" i="9"/>
  <c r="L48" i="9"/>
  <c r="L47" i="9"/>
  <c r="L46" i="9"/>
  <c r="L81" i="9" s="1"/>
  <c r="L102" i="9" s="1"/>
  <c r="L44" i="9"/>
  <c r="L79" i="9" s="1"/>
  <c r="L100" i="9" s="1"/>
  <c r="L43" i="9"/>
  <c r="L42" i="9"/>
  <c r="L41" i="9"/>
  <c r="L40" i="9"/>
  <c r="L75" i="9" s="1"/>
  <c r="L96" i="9" s="1"/>
  <c r="L39" i="9"/>
  <c r="L38" i="9"/>
  <c r="M91" i="9"/>
  <c r="M51" i="9"/>
  <c r="M50" i="9"/>
  <c r="M85" i="9" s="1"/>
  <c r="M106" i="9" s="1"/>
  <c r="M49" i="9"/>
  <c r="M48" i="9"/>
  <c r="M83" i="9" s="1"/>
  <c r="M104" i="9" s="1"/>
  <c r="M47" i="9"/>
  <c r="M46" i="9"/>
  <c r="M81" i="9" s="1"/>
  <c r="M102" i="9" s="1"/>
  <c r="M44" i="9"/>
  <c r="M79" i="9" s="1"/>
  <c r="M100" i="9" s="1"/>
  <c r="M43" i="9"/>
  <c r="M78" i="9" s="1"/>
  <c r="M99" i="9" s="1"/>
  <c r="M42" i="9"/>
  <c r="M41" i="9"/>
  <c r="M40" i="9"/>
  <c r="M39" i="9"/>
  <c r="M38" i="9"/>
  <c r="N91" i="9"/>
  <c r="N51" i="9"/>
  <c r="N50" i="9"/>
  <c r="N85" i="9" s="1"/>
  <c r="N106" i="9" s="1"/>
  <c r="N49" i="9"/>
  <c r="N48" i="9"/>
  <c r="N83" i="9" s="1"/>
  <c r="N104" i="9" s="1"/>
  <c r="N47" i="9"/>
  <c r="N82" i="9" s="1"/>
  <c r="N103" i="9" s="1"/>
  <c r="N46" i="9"/>
  <c r="N81" i="9" s="1"/>
  <c r="N102" i="9" s="1"/>
  <c r="N45" i="9"/>
  <c r="N44" i="9"/>
  <c r="N43" i="9"/>
  <c r="N42" i="9"/>
  <c r="N77" i="9" s="1"/>
  <c r="N98" i="9" s="1"/>
  <c r="N41" i="9"/>
  <c r="N40" i="9"/>
  <c r="N39" i="9"/>
  <c r="N74" i="9" s="1"/>
  <c r="N95" i="9" s="1"/>
  <c r="N38" i="9"/>
  <c r="O91" i="9"/>
  <c r="O51" i="9"/>
  <c r="O86" i="9" s="1"/>
  <c r="O107" i="9" s="1"/>
  <c r="O50" i="9"/>
  <c r="O85" i="9" s="1"/>
  <c r="O106" i="9" s="1"/>
  <c r="O49" i="9"/>
  <c r="O84" i="9" s="1"/>
  <c r="O105" i="9" s="1"/>
  <c r="O48" i="9"/>
  <c r="O47" i="9"/>
  <c r="O46" i="9"/>
  <c r="O81" i="9" s="1"/>
  <c r="O102" i="9" s="1"/>
  <c r="O44" i="9"/>
  <c r="O79" i="9" s="1"/>
  <c r="O100" i="9" s="1"/>
  <c r="O43" i="9"/>
  <c r="O42" i="9"/>
  <c r="O77" i="9" s="1"/>
  <c r="O98" i="9" s="1"/>
  <c r="O41" i="9"/>
  <c r="O40" i="9"/>
  <c r="O75" i="9" s="1"/>
  <c r="O96" i="9" s="1"/>
  <c r="O39" i="9"/>
  <c r="O74" i="9" s="1"/>
  <c r="O95" i="9" s="1"/>
  <c r="O38" i="9"/>
  <c r="AD91" i="9"/>
  <c r="AD51" i="9"/>
  <c r="AD50" i="9"/>
  <c r="AD49" i="9"/>
  <c r="AD84" i="9" s="1"/>
  <c r="AD48" i="9"/>
  <c r="AD47" i="9"/>
  <c r="AD82" i="9" s="1"/>
  <c r="AD46" i="9"/>
  <c r="AD44" i="9"/>
  <c r="AD79" i="9" s="1"/>
  <c r="AD43" i="9"/>
  <c r="AD78" i="9" s="1"/>
  <c r="AD42" i="9"/>
  <c r="AD77" i="9" s="1"/>
  <c r="AD41" i="9"/>
  <c r="AD76" i="9" s="1"/>
  <c r="AD40" i="9"/>
  <c r="AD75" i="9" s="1"/>
  <c r="AD39" i="9"/>
  <c r="AD38" i="9"/>
  <c r="AE91" i="9"/>
  <c r="AE51" i="9"/>
  <c r="AE50" i="9"/>
  <c r="AE49" i="9"/>
  <c r="AE48" i="9"/>
  <c r="AE83" i="9" s="1"/>
  <c r="AE104" i="9" s="1"/>
  <c r="AE47" i="9"/>
  <c r="AE46" i="9"/>
  <c r="AE81" i="9" s="1"/>
  <c r="AE102" i="9" s="1"/>
  <c r="AE45" i="9"/>
  <c r="AE44" i="9"/>
  <c r="AE79" i="9" s="1"/>
  <c r="AE100" i="9" s="1"/>
  <c r="AE43" i="9"/>
  <c r="AE42" i="9"/>
  <c r="AE41" i="9"/>
  <c r="AE40" i="9"/>
  <c r="AE39" i="9"/>
  <c r="AE38" i="9"/>
  <c r="AF91" i="9"/>
  <c r="AF51" i="9"/>
  <c r="AF50" i="9"/>
  <c r="AF85" i="9" s="1"/>
  <c r="AF106" i="9" s="1"/>
  <c r="AF49" i="9"/>
  <c r="AF48" i="9"/>
  <c r="AF83" i="9" s="1"/>
  <c r="AF104" i="9" s="1"/>
  <c r="AF47" i="9"/>
  <c r="AF46" i="9"/>
  <c r="AF81" i="9" s="1"/>
  <c r="AF102" i="9" s="1"/>
  <c r="AF44" i="9"/>
  <c r="AF43" i="9"/>
  <c r="AF42" i="9"/>
  <c r="AF41" i="9"/>
  <c r="AF40" i="9"/>
  <c r="AF39" i="9"/>
  <c r="AF74" i="9" s="1"/>
  <c r="AF95" i="9" s="1"/>
  <c r="AF38" i="9"/>
  <c r="AG91" i="9"/>
  <c r="AG51" i="9"/>
  <c r="AG50" i="9"/>
  <c r="AG85" i="9" s="1"/>
  <c r="AG106" i="9" s="1"/>
  <c r="AG49" i="9"/>
  <c r="AG84" i="9" s="1"/>
  <c r="AG105" i="9" s="1"/>
  <c r="AG48" i="9"/>
  <c r="AG47" i="9"/>
  <c r="AG46" i="9"/>
  <c r="AG45" i="9"/>
  <c r="AG44" i="9"/>
  <c r="AG79" i="9" s="1"/>
  <c r="AG100" i="9" s="1"/>
  <c r="AG43" i="9"/>
  <c r="AG42" i="9"/>
  <c r="AG77" i="9" s="1"/>
  <c r="AG98" i="9" s="1"/>
  <c r="AG41" i="9"/>
  <c r="AG40" i="9"/>
  <c r="AG39" i="9"/>
  <c r="AG74" i="9" s="1"/>
  <c r="AG95" i="9" s="1"/>
  <c r="AG38" i="9"/>
  <c r="AG73" i="9" s="1"/>
  <c r="AH51" i="9"/>
  <c r="AH86" i="9" s="1"/>
  <c r="AH107" i="9" s="1"/>
  <c r="AH50" i="9"/>
  <c r="AH49" i="9"/>
  <c r="AH48" i="9"/>
  <c r="AH47" i="9"/>
  <c r="AH46" i="9"/>
  <c r="AH81" i="9" s="1"/>
  <c r="AH102" i="9" s="1"/>
  <c r="AH45" i="9"/>
  <c r="AH44" i="9"/>
  <c r="AH79" i="9" s="1"/>
  <c r="AH100" i="9" s="1"/>
  <c r="AH43" i="9"/>
  <c r="AH42" i="9"/>
  <c r="AH77" i="9" s="1"/>
  <c r="AH98" i="9" s="1"/>
  <c r="AH41" i="9"/>
  <c r="AH76" i="9" s="1"/>
  <c r="AH97" i="9" s="1"/>
  <c r="AH40" i="9"/>
  <c r="AH75" i="9" s="1"/>
  <c r="AH96" i="9" s="1"/>
  <c r="AH39" i="9"/>
  <c r="AH74" i="9" s="1"/>
  <c r="AH95" i="9" s="1"/>
  <c r="AH38" i="9"/>
  <c r="AI91" i="9"/>
  <c r="AI51" i="9"/>
  <c r="AI50" i="9"/>
  <c r="AI85" i="9" s="1"/>
  <c r="AI106" i="9" s="1"/>
  <c r="AI49" i="9"/>
  <c r="AI48" i="9"/>
  <c r="AI83" i="9" s="1"/>
  <c r="AI104" i="9" s="1"/>
  <c r="AI47" i="9"/>
  <c r="AI46" i="9"/>
  <c r="AI81" i="9" s="1"/>
  <c r="AI102" i="9" s="1"/>
  <c r="AI45" i="9"/>
  <c r="AI80" i="9" s="1"/>
  <c r="AI101" i="9" s="1"/>
  <c r="AI44" i="9"/>
  <c r="AI79" i="9" s="1"/>
  <c r="AI100" i="9" s="1"/>
  <c r="AI43" i="9"/>
  <c r="AI78" i="9" s="1"/>
  <c r="AI99" i="9" s="1"/>
  <c r="AI42" i="9"/>
  <c r="AI77" i="9" s="1"/>
  <c r="AI98" i="9" s="1"/>
  <c r="AI41" i="9"/>
  <c r="AI40" i="9"/>
  <c r="AI39" i="9"/>
  <c r="AI74" i="9" s="1"/>
  <c r="AI95" i="9" s="1"/>
  <c r="AI38" i="9"/>
  <c r="AI73" i="9" s="1"/>
  <c r="AJ91" i="9"/>
  <c r="AJ51" i="9"/>
  <c r="AJ50" i="9"/>
  <c r="AJ85" i="9" s="1"/>
  <c r="AJ106" i="9" s="1"/>
  <c r="AJ49" i="9"/>
  <c r="AJ84" i="9" s="1"/>
  <c r="AJ105" i="9" s="1"/>
  <c r="AJ48" i="9"/>
  <c r="AJ83" i="9" s="1"/>
  <c r="AJ104" i="9" s="1"/>
  <c r="AJ47" i="9"/>
  <c r="AJ82" i="9" s="1"/>
  <c r="AJ103" i="9" s="1"/>
  <c r="AJ46" i="9"/>
  <c r="AJ81" i="9" s="1"/>
  <c r="AJ102" i="9" s="1"/>
  <c r="AJ45" i="9"/>
  <c r="AJ80" i="9" s="1"/>
  <c r="AJ101" i="9" s="1"/>
  <c r="AJ44" i="9"/>
  <c r="AJ43" i="9"/>
  <c r="AJ42" i="9"/>
  <c r="AJ77" i="9" s="1"/>
  <c r="AJ98" i="9" s="1"/>
  <c r="AJ41" i="9"/>
  <c r="AJ40" i="9"/>
  <c r="AJ39" i="9"/>
  <c r="AJ74" i="9" s="1"/>
  <c r="AJ95" i="9" s="1"/>
  <c r="AJ38" i="9"/>
  <c r="AK91" i="9"/>
  <c r="AK51" i="9"/>
  <c r="AK86" i="9" s="1"/>
  <c r="AK107" i="9" s="1"/>
  <c r="AK50" i="9"/>
  <c r="AK49" i="9"/>
  <c r="AK84" i="9" s="1"/>
  <c r="AK105" i="9" s="1"/>
  <c r="AK48" i="9"/>
  <c r="AK47" i="9"/>
  <c r="AK46" i="9"/>
  <c r="AK44" i="9"/>
  <c r="AK43" i="9"/>
  <c r="AK42" i="9"/>
  <c r="AK41" i="9"/>
  <c r="AK76" i="9" s="1"/>
  <c r="AK97" i="9" s="1"/>
  <c r="AK40" i="9"/>
  <c r="AK75" i="9" s="1"/>
  <c r="AK96" i="9" s="1"/>
  <c r="AK39" i="9"/>
  <c r="AK38" i="9"/>
  <c r="AL91" i="9"/>
  <c r="AL51" i="9"/>
  <c r="AL86" i="9" s="1"/>
  <c r="AL107" i="9" s="1"/>
  <c r="AL50" i="9"/>
  <c r="AL49" i="9"/>
  <c r="AL48" i="9"/>
  <c r="AL47" i="9"/>
  <c r="AL46" i="9"/>
  <c r="AL45" i="9"/>
  <c r="AL80" i="9" s="1"/>
  <c r="AL101" i="9" s="1"/>
  <c r="AL44" i="9"/>
  <c r="AL43" i="9"/>
  <c r="AL78" i="9" s="1"/>
  <c r="AL99" i="9" s="1"/>
  <c r="AL42" i="9"/>
  <c r="AL41" i="9"/>
  <c r="AL76" i="9" s="1"/>
  <c r="AL97" i="9" s="1"/>
  <c r="AL40" i="9"/>
  <c r="AL75" i="9" s="1"/>
  <c r="AL96" i="9" s="1"/>
  <c r="AL39" i="9"/>
  <c r="AL74" i="9" s="1"/>
  <c r="AL95" i="9" s="1"/>
  <c r="AL38" i="9"/>
  <c r="M74" i="9"/>
  <c r="M95" i="9" s="1"/>
  <c r="L74" i="9"/>
  <c r="L95" i="9" s="1"/>
  <c r="K74" i="9"/>
  <c r="K95" i="9" s="1"/>
  <c r="I74" i="9"/>
  <c r="I95" i="9" s="1"/>
  <c r="H74" i="9"/>
  <c r="H95" i="9" s="1"/>
  <c r="G74" i="9"/>
  <c r="AK74" i="9"/>
  <c r="AK95" i="9" s="1"/>
  <c r="AE74" i="9"/>
  <c r="AE95" i="9" s="1"/>
  <c r="AD74" i="9"/>
  <c r="N75" i="9"/>
  <c r="N96" i="9" s="1"/>
  <c r="M75" i="9"/>
  <c r="M96" i="9" s="1"/>
  <c r="K75" i="9"/>
  <c r="K96" i="9" s="1"/>
  <c r="H75" i="9"/>
  <c r="H96" i="9" s="1"/>
  <c r="G75" i="9"/>
  <c r="AJ75" i="9"/>
  <c r="AJ96" i="9" s="1"/>
  <c r="AI75" i="9"/>
  <c r="AI96" i="9" s="1"/>
  <c r="AG75" i="9"/>
  <c r="AG96" i="9" s="1"/>
  <c r="AF75" i="9"/>
  <c r="AF96" i="9" s="1"/>
  <c r="AE75" i="9"/>
  <c r="AE96" i="9" s="1"/>
  <c r="L73" i="9"/>
  <c r="J73" i="9"/>
  <c r="I73" i="9"/>
  <c r="H73" i="9"/>
  <c r="AL73" i="9"/>
  <c r="AK73" i="9"/>
  <c r="AH73" i="9"/>
  <c r="AE73" i="9"/>
  <c r="AD73" i="9"/>
  <c r="O76" i="9"/>
  <c r="O97" i="9" s="1"/>
  <c r="N76" i="9"/>
  <c r="N97" i="9" s="1"/>
  <c r="M76" i="9"/>
  <c r="M97" i="9" s="1"/>
  <c r="L76" i="9"/>
  <c r="L97" i="9" s="1"/>
  <c r="K76" i="9"/>
  <c r="K97" i="9" s="1"/>
  <c r="G76" i="9"/>
  <c r="AJ76" i="9"/>
  <c r="AJ97" i="9" s="1"/>
  <c r="AI76" i="9"/>
  <c r="AI97" i="9" s="1"/>
  <c r="AG76" i="9"/>
  <c r="AG97" i="9" s="1"/>
  <c r="AF76" i="9"/>
  <c r="AF97" i="9" s="1"/>
  <c r="AE76" i="9"/>
  <c r="AE97" i="9" s="1"/>
  <c r="M77" i="9"/>
  <c r="M98" i="9" s="1"/>
  <c r="L77" i="9"/>
  <c r="L98" i="9" s="1"/>
  <c r="J77" i="9"/>
  <c r="J98" i="9" s="1"/>
  <c r="I77" i="9"/>
  <c r="I98" i="9" s="1"/>
  <c r="H77" i="9"/>
  <c r="H98" i="9" s="1"/>
  <c r="G77" i="9"/>
  <c r="AL77" i="9"/>
  <c r="AL98" i="9" s="1"/>
  <c r="AK77" i="9"/>
  <c r="AK98" i="9" s="1"/>
  <c r="AF77" i="9"/>
  <c r="AF98" i="9" s="1"/>
  <c r="AE77" i="9"/>
  <c r="AE98" i="9" s="1"/>
  <c r="O78" i="9"/>
  <c r="O99" i="9" s="1"/>
  <c r="N78" i="9"/>
  <c r="N99" i="9" s="1"/>
  <c r="L78" i="9"/>
  <c r="L99" i="9" s="1"/>
  <c r="K78" i="9"/>
  <c r="K99" i="9" s="1"/>
  <c r="I78" i="9"/>
  <c r="I99" i="9" s="1"/>
  <c r="H78" i="9"/>
  <c r="H99" i="9" s="1"/>
  <c r="AK78" i="9"/>
  <c r="AK99" i="9" s="1"/>
  <c r="AJ78" i="9"/>
  <c r="AJ99" i="9" s="1"/>
  <c r="AH78" i="9"/>
  <c r="AH99" i="9" s="1"/>
  <c r="AG78" i="9"/>
  <c r="AG99" i="9" s="1"/>
  <c r="AF78" i="9"/>
  <c r="AF99" i="9" s="1"/>
  <c r="AE78" i="9"/>
  <c r="AE99" i="9" s="1"/>
  <c r="N79" i="9"/>
  <c r="N100" i="9" s="1"/>
  <c r="K79" i="9"/>
  <c r="K100" i="9" s="1"/>
  <c r="J79" i="9"/>
  <c r="J100" i="9" s="1"/>
  <c r="H79" i="9"/>
  <c r="H100" i="9" s="1"/>
  <c r="G79" i="9"/>
  <c r="AL79" i="9"/>
  <c r="AL100" i="9" s="1"/>
  <c r="AK79" i="9"/>
  <c r="AK100" i="9" s="1"/>
  <c r="AJ79" i="9"/>
  <c r="AJ100" i="9" s="1"/>
  <c r="AF79" i="9"/>
  <c r="AF100" i="9" s="1"/>
  <c r="N80" i="9"/>
  <c r="N101" i="9" s="1"/>
  <c r="AH80" i="9"/>
  <c r="AH101" i="9" s="1"/>
  <c r="AG80" i="9"/>
  <c r="AG101" i="9" s="1"/>
  <c r="AE80" i="9"/>
  <c r="AE101" i="9" s="1"/>
  <c r="K81" i="9"/>
  <c r="K102" i="9" s="1"/>
  <c r="J81" i="9"/>
  <c r="J102" i="9" s="1"/>
  <c r="I81" i="9"/>
  <c r="I102" i="9" s="1"/>
  <c r="H81" i="9"/>
  <c r="H102" i="9" s="1"/>
  <c r="G81" i="9"/>
  <c r="AL81" i="9"/>
  <c r="AL102" i="9" s="1"/>
  <c r="AK81" i="9"/>
  <c r="AK102" i="9" s="1"/>
  <c r="AG81" i="9"/>
  <c r="AG102" i="9" s="1"/>
  <c r="AD81" i="9"/>
  <c r="O82" i="9"/>
  <c r="O103" i="9" s="1"/>
  <c r="M82" i="9"/>
  <c r="M103" i="9" s="1"/>
  <c r="L82" i="9"/>
  <c r="L103" i="9" s="1"/>
  <c r="K82" i="9"/>
  <c r="K103" i="9" s="1"/>
  <c r="G82" i="9"/>
  <c r="AL82" i="9"/>
  <c r="AL103" i="9" s="1"/>
  <c r="AK82" i="9"/>
  <c r="AK103" i="9" s="1"/>
  <c r="AI82" i="9"/>
  <c r="AI103" i="9" s="1"/>
  <c r="AH82" i="9"/>
  <c r="AH103" i="9" s="1"/>
  <c r="AG82" i="9"/>
  <c r="AG103" i="9" s="1"/>
  <c r="AF82" i="9"/>
  <c r="AF103" i="9" s="1"/>
  <c r="AE82" i="9"/>
  <c r="AE103" i="9" s="1"/>
  <c r="O83" i="9"/>
  <c r="O104" i="9" s="1"/>
  <c r="L83" i="9"/>
  <c r="L104" i="9" s="1"/>
  <c r="K83" i="9"/>
  <c r="K104" i="9" s="1"/>
  <c r="I83" i="9"/>
  <c r="I104" i="9" s="1"/>
  <c r="H83" i="9"/>
  <c r="H104" i="9" s="1"/>
  <c r="G83" i="9"/>
  <c r="AL83" i="9"/>
  <c r="AL104" i="9" s="1"/>
  <c r="AK83" i="9"/>
  <c r="AK104" i="9" s="1"/>
  <c r="AH83" i="9"/>
  <c r="AH104" i="9" s="1"/>
  <c r="AG83" i="9"/>
  <c r="AG104" i="9" s="1"/>
  <c r="AD83" i="9"/>
  <c r="N84" i="9"/>
  <c r="N105" i="9" s="1"/>
  <c r="M84" i="9"/>
  <c r="M105" i="9" s="1"/>
  <c r="L84" i="9"/>
  <c r="L105" i="9" s="1"/>
  <c r="K84" i="9"/>
  <c r="K105" i="9" s="1"/>
  <c r="J84" i="9"/>
  <c r="J105" i="9" s="1"/>
  <c r="G84" i="9"/>
  <c r="AL84" i="9"/>
  <c r="AL105" i="9" s="1"/>
  <c r="AI84" i="9"/>
  <c r="AI105" i="9" s="1"/>
  <c r="AH84" i="9"/>
  <c r="AH105" i="9" s="1"/>
  <c r="AF84" i="9"/>
  <c r="AF105" i="9" s="1"/>
  <c r="AE84" i="9"/>
  <c r="AE105" i="9" s="1"/>
  <c r="L85" i="9"/>
  <c r="L106" i="9" s="1"/>
  <c r="J85" i="9"/>
  <c r="J106" i="9" s="1"/>
  <c r="I85" i="9"/>
  <c r="I106" i="9" s="1"/>
  <c r="H85" i="9"/>
  <c r="H106" i="9" s="1"/>
  <c r="AL85" i="9"/>
  <c r="AL106" i="9" s="1"/>
  <c r="AK85" i="9"/>
  <c r="AK106" i="9" s="1"/>
  <c r="AH85" i="9"/>
  <c r="AH106" i="9" s="1"/>
  <c r="AE85" i="9"/>
  <c r="AE106" i="9" s="1"/>
  <c r="AD85" i="9"/>
  <c r="N86" i="9"/>
  <c r="N107" i="9" s="1"/>
  <c r="M86" i="9"/>
  <c r="M107" i="9" s="1"/>
  <c r="L86" i="9"/>
  <c r="L107" i="9" s="1"/>
  <c r="K86" i="9"/>
  <c r="K107" i="9" s="1"/>
  <c r="H86" i="9"/>
  <c r="H107" i="9" s="1"/>
  <c r="AJ86" i="9"/>
  <c r="AJ107" i="9" s="1"/>
  <c r="AI86" i="9"/>
  <c r="AI107" i="9" s="1"/>
  <c r="AG86" i="9"/>
  <c r="AG107" i="9" s="1"/>
  <c r="AF86" i="9"/>
  <c r="AF107" i="9" s="1"/>
  <c r="AE86" i="9"/>
  <c r="AE107" i="9" s="1"/>
  <c r="AD86" i="9"/>
  <c r="N52" i="9" l="1"/>
  <c r="L45" i="9"/>
  <c r="L80" i="9" s="1"/>
  <c r="L101" i="9" s="1"/>
  <c r="N73" i="9"/>
  <c r="AK45" i="9"/>
  <c r="AK80" i="9" s="1"/>
  <c r="AK101" i="9" s="1"/>
  <c r="H52" i="9"/>
  <c r="O73" i="9"/>
  <c r="L52" i="9"/>
  <c r="J45" i="9"/>
  <c r="J80" i="9" s="1"/>
  <c r="J101" i="9" s="1"/>
  <c r="AG52" i="9"/>
  <c r="AG110" i="9" s="1"/>
  <c r="K52" i="9"/>
  <c r="AJ52" i="9"/>
  <c r="K73" i="9"/>
  <c r="K94" i="9" s="1"/>
  <c r="K108" i="9" s="1"/>
  <c r="I52" i="9"/>
  <c r="I110" i="9" s="1"/>
  <c r="AF73" i="9"/>
  <c r="AE52" i="9"/>
  <c r="M73" i="9"/>
  <c r="AI52" i="9"/>
  <c r="O45" i="9"/>
  <c r="O80" i="9" s="1"/>
  <c r="O101" i="9" s="1"/>
  <c r="K45" i="9"/>
  <c r="K80" i="9" s="1"/>
  <c r="K101" i="9" s="1"/>
  <c r="AJ73" i="9"/>
  <c r="AJ94" i="9" s="1"/>
  <c r="AJ108" i="9" s="1"/>
  <c r="AL52" i="9"/>
  <c r="AH52" i="9"/>
  <c r="AH110" i="9" s="1"/>
  <c r="AF45" i="9"/>
  <c r="AF80" i="9" s="1"/>
  <c r="AF101" i="9" s="1"/>
  <c r="I45" i="9"/>
  <c r="I80" i="9" s="1"/>
  <c r="I101" i="9" s="1"/>
  <c r="M45" i="9"/>
  <c r="M80" i="9" s="1"/>
  <c r="M101" i="9" s="1"/>
  <c r="AD107" i="9"/>
  <c r="AM107" i="9" s="1"/>
  <c r="AM86" i="9"/>
  <c r="G107" i="9"/>
  <c r="P107" i="9" s="1"/>
  <c r="P86" i="9"/>
  <c r="AD106" i="9"/>
  <c r="AM106" i="9" s="1"/>
  <c r="AM85" i="9"/>
  <c r="G106" i="9"/>
  <c r="P106" i="9" s="1"/>
  <c r="P85" i="9"/>
  <c r="AD105" i="9"/>
  <c r="AM105" i="9" s="1"/>
  <c r="AM84" i="9"/>
  <c r="G105" i="9"/>
  <c r="P105" i="9" s="1"/>
  <c r="P84" i="9"/>
  <c r="AD104" i="9"/>
  <c r="AM104" i="9" s="1"/>
  <c r="AM83" i="9"/>
  <c r="G104" i="9"/>
  <c r="P104" i="9" s="1"/>
  <c r="P83" i="9"/>
  <c r="AD103" i="9"/>
  <c r="AM103" i="9" s="1"/>
  <c r="AM82" i="9"/>
  <c r="G103" i="9"/>
  <c r="P103" i="9" s="1"/>
  <c r="P82" i="9"/>
  <c r="AD102" i="9"/>
  <c r="AM102" i="9" s="1"/>
  <c r="AM81" i="9"/>
  <c r="G102" i="9"/>
  <c r="P102" i="9" s="1"/>
  <c r="P81" i="9"/>
  <c r="AD101" i="9"/>
  <c r="AM101" i="9" s="1"/>
  <c r="AM80" i="9"/>
  <c r="G101" i="9"/>
  <c r="AD100" i="9"/>
  <c r="AM100" i="9" s="1"/>
  <c r="AM79" i="9"/>
  <c r="G100" i="9"/>
  <c r="P100" i="9" s="1"/>
  <c r="P79" i="9"/>
  <c r="AD99" i="9"/>
  <c r="AM99" i="9" s="1"/>
  <c r="AM78" i="9"/>
  <c r="G99" i="9"/>
  <c r="P99" i="9" s="1"/>
  <c r="P78" i="9"/>
  <c r="AD98" i="9"/>
  <c r="AM98" i="9" s="1"/>
  <c r="AM77" i="9"/>
  <c r="G98" i="9"/>
  <c r="P98" i="9" s="1"/>
  <c r="P77" i="9"/>
  <c r="AD97" i="9"/>
  <c r="AM97" i="9" s="1"/>
  <c r="AM76" i="9"/>
  <c r="G97" i="9"/>
  <c r="P97" i="9" s="1"/>
  <c r="P76" i="9"/>
  <c r="AD94" i="9"/>
  <c r="AD87" i="9"/>
  <c r="AE94" i="9"/>
  <c r="AE108" i="9" s="1"/>
  <c r="AE87" i="9"/>
  <c r="AF94" i="9"/>
  <c r="AF108" i="9" s="1"/>
  <c r="AF87" i="9"/>
  <c r="AG94" i="9"/>
  <c r="AG108" i="9" s="1"/>
  <c r="AG87" i="9"/>
  <c r="AH94" i="9"/>
  <c r="AH108" i="9" s="1"/>
  <c r="AH87" i="9"/>
  <c r="AI94" i="9"/>
  <c r="AI108" i="9" s="1"/>
  <c r="AI87" i="9"/>
  <c r="AI110" i="9" s="1"/>
  <c r="AK94" i="9"/>
  <c r="AK108" i="9" s="1"/>
  <c r="AK87" i="9"/>
  <c r="AL94" i="9"/>
  <c r="AL108" i="9" s="1"/>
  <c r="AL87" i="9"/>
  <c r="G94" i="9"/>
  <c r="G87" i="9"/>
  <c r="P73" i="9"/>
  <c r="H94" i="9"/>
  <c r="H108" i="9" s="1"/>
  <c r="H87" i="9"/>
  <c r="H110" i="9" s="1"/>
  <c r="I94" i="9"/>
  <c r="I108" i="9" s="1"/>
  <c r="I87" i="9"/>
  <c r="J94" i="9"/>
  <c r="L94" i="9"/>
  <c r="L108" i="9" s="1"/>
  <c r="L87" i="9"/>
  <c r="M94" i="9"/>
  <c r="M108" i="9" s="1"/>
  <c r="M87" i="9"/>
  <c r="N94" i="9"/>
  <c r="N108" i="9" s="1"/>
  <c r="N87" i="9"/>
  <c r="N110" i="9" s="1"/>
  <c r="O94" i="9"/>
  <c r="O108" i="9" s="1"/>
  <c r="AD96" i="9"/>
  <c r="AM96" i="9" s="1"/>
  <c r="AM75" i="9"/>
  <c r="G96" i="9"/>
  <c r="P96" i="9" s="1"/>
  <c r="P75" i="9"/>
  <c r="AD95" i="9"/>
  <c r="AM95" i="9" s="1"/>
  <c r="AM74" i="9"/>
  <c r="G95" i="9"/>
  <c r="P95" i="9" s="1"/>
  <c r="P74" i="9"/>
  <c r="AL110" i="9"/>
  <c r="AE110" i="9"/>
  <c r="AD52" i="9"/>
  <c r="AM38" i="9"/>
  <c r="AM39" i="9"/>
  <c r="AM40" i="9"/>
  <c r="AM41" i="9"/>
  <c r="AM42" i="9"/>
  <c r="AM43" i="9"/>
  <c r="AM44" i="9"/>
  <c r="AM45" i="9"/>
  <c r="AM46" i="9"/>
  <c r="AM47" i="9"/>
  <c r="AM48" i="9"/>
  <c r="AM49" i="9"/>
  <c r="AM50" i="9"/>
  <c r="AM51" i="9"/>
  <c r="L110" i="9"/>
  <c r="G52" i="9"/>
  <c r="P38" i="9"/>
  <c r="P39" i="9"/>
  <c r="P40" i="9"/>
  <c r="P41" i="9"/>
  <c r="P42" i="9"/>
  <c r="P43" i="9"/>
  <c r="P44" i="9"/>
  <c r="P46" i="9"/>
  <c r="P47" i="9"/>
  <c r="P48" i="9"/>
  <c r="P49" i="9"/>
  <c r="P50" i="9"/>
  <c r="P51" i="9"/>
  <c r="AM23" i="9"/>
  <c r="AD30" i="9"/>
  <c r="P23" i="9"/>
  <c r="G30" i="9"/>
  <c r="AD107" i="7"/>
  <c r="AM107" i="7" s="1"/>
  <c r="AM86" i="7"/>
  <c r="G107" i="7"/>
  <c r="P107" i="7" s="1"/>
  <c r="P86" i="7"/>
  <c r="AD106" i="7"/>
  <c r="AM106" i="7" s="1"/>
  <c r="AM85" i="7"/>
  <c r="G106" i="7"/>
  <c r="P106" i="7" s="1"/>
  <c r="P85" i="7"/>
  <c r="AD105" i="7"/>
  <c r="AM105" i="7" s="1"/>
  <c r="AM84" i="7"/>
  <c r="G105" i="7"/>
  <c r="P105" i="7" s="1"/>
  <c r="P84" i="7"/>
  <c r="AD104" i="7"/>
  <c r="AM104" i="7" s="1"/>
  <c r="AM83" i="7"/>
  <c r="G104" i="7"/>
  <c r="P104" i="7" s="1"/>
  <c r="P83" i="7"/>
  <c r="AD103" i="7"/>
  <c r="AM103" i="7" s="1"/>
  <c r="AM82" i="7"/>
  <c r="G103" i="7"/>
  <c r="P103" i="7" s="1"/>
  <c r="P82" i="7"/>
  <c r="AD102" i="7"/>
  <c r="AM102" i="7" s="1"/>
  <c r="AM81" i="7"/>
  <c r="G102" i="7"/>
  <c r="P102" i="7" s="1"/>
  <c r="P81" i="7"/>
  <c r="AD101" i="7"/>
  <c r="AM101" i="7" s="1"/>
  <c r="AM80" i="7"/>
  <c r="G101" i="7"/>
  <c r="P101" i="7" s="1"/>
  <c r="P80" i="7"/>
  <c r="AD100" i="7"/>
  <c r="AM100" i="7" s="1"/>
  <c r="AM79" i="7"/>
  <c r="G100" i="7"/>
  <c r="P100" i="7" s="1"/>
  <c r="P79" i="7"/>
  <c r="AD99" i="7"/>
  <c r="AM99" i="7" s="1"/>
  <c r="AM78" i="7"/>
  <c r="G99" i="7"/>
  <c r="P99" i="7" s="1"/>
  <c r="P78" i="7"/>
  <c r="AD98" i="7"/>
  <c r="AM98" i="7" s="1"/>
  <c r="AM77" i="7"/>
  <c r="G98" i="7"/>
  <c r="P98" i="7" s="1"/>
  <c r="P77" i="7"/>
  <c r="AD97" i="7"/>
  <c r="AM97" i="7" s="1"/>
  <c r="AM76" i="7"/>
  <c r="G97" i="7"/>
  <c r="P97" i="7" s="1"/>
  <c r="P76" i="7"/>
  <c r="AD96" i="7"/>
  <c r="AM96" i="7" s="1"/>
  <c r="AM75" i="7"/>
  <c r="G96" i="7"/>
  <c r="P96" i="7" s="1"/>
  <c r="P75" i="7"/>
  <c r="AD95" i="7"/>
  <c r="AM95" i="7" s="1"/>
  <c r="AM74" i="7"/>
  <c r="G95" i="7"/>
  <c r="P95" i="7" s="1"/>
  <c r="P74" i="7"/>
  <c r="AD94" i="7"/>
  <c r="AD87" i="7"/>
  <c r="AM73" i="7"/>
  <c r="AE94" i="7"/>
  <c r="AE108" i="7" s="1"/>
  <c r="AE87" i="7"/>
  <c r="AF94" i="7"/>
  <c r="AF108" i="7" s="1"/>
  <c r="AF87" i="7"/>
  <c r="AG94" i="7"/>
  <c r="AG108" i="7" s="1"/>
  <c r="AG87" i="7"/>
  <c r="AH94" i="7"/>
  <c r="AH108" i="7" s="1"/>
  <c r="AH87" i="7"/>
  <c r="AI94" i="7"/>
  <c r="AI108" i="7" s="1"/>
  <c r="AI87" i="7"/>
  <c r="AJ94" i="7"/>
  <c r="AJ108" i="7" s="1"/>
  <c r="AJ87" i="7"/>
  <c r="AK94" i="7"/>
  <c r="AK108" i="7" s="1"/>
  <c r="AK87" i="7"/>
  <c r="AL94" i="7"/>
  <c r="AL108" i="7" s="1"/>
  <c r="AL87" i="7"/>
  <c r="G94" i="7"/>
  <c r="G87" i="7"/>
  <c r="P73" i="7"/>
  <c r="H94" i="7"/>
  <c r="H108" i="7" s="1"/>
  <c r="H87" i="7"/>
  <c r="I94" i="7"/>
  <c r="I108" i="7" s="1"/>
  <c r="I87" i="7"/>
  <c r="J94" i="7"/>
  <c r="J108" i="7" s="1"/>
  <c r="J87" i="7"/>
  <c r="K94" i="7"/>
  <c r="K108" i="7" s="1"/>
  <c r="K87" i="7"/>
  <c r="L94" i="7"/>
  <c r="L108" i="7" s="1"/>
  <c r="L87" i="7"/>
  <c r="M94" i="7"/>
  <c r="M108" i="7" s="1"/>
  <c r="M87" i="7"/>
  <c r="N94" i="7"/>
  <c r="N108" i="7" s="1"/>
  <c r="N87" i="7"/>
  <c r="O94" i="7"/>
  <c r="O108" i="7" s="1"/>
  <c r="O87" i="7"/>
  <c r="AL110" i="7"/>
  <c r="AK110" i="7"/>
  <c r="AJ110" i="7"/>
  <c r="AI110" i="7"/>
  <c r="AH110" i="7"/>
  <c r="AG110" i="7"/>
  <c r="AF110" i="7"/>
  <c r="AE110" i="7"/>
  <c r="AD52" i="7"/>
  <c r="AM38" i="7"/>
  <c r="AM39" i="7"/>
  <c r="AM40" i="7"/>
  <c r="AM41" i="7"/>
  <c r="AM42" i="7"/>
  <c r="AM43" i="7"/>
  <c r="AM44" i="7"/>
  <c r="AM45" i="7"/>
  <c r="AM46" i="7"/>
  <c r="AM47" i="7"/>
  <c r="AM48" i="7"/>
  <c r="AM49" i="7"/>
  <c r="AM50" i="7"/>
  <c r="AM51" i="7"/>
  <c r="O110" i="7"/>
  <c r="N110" i="7"/>
  <c r="M110" i="7"/>
  <c r="L110" i="7"/>
  <c r="K110" i="7"/>
  <c r="J110" i="7"/>
  <c r="I110" i="7"/>
  <c r="H110" i="7"/>
  <c r="G52" i="7"/>
  <c r="P38" i="7"/>
  <c r="P39" i="7"/>
  <c r="P40" i="7"/>
  <c r="P41" i="7"/>
  <c r="P42" i="7"/>
  <c r="P43" i="7"/>
  <c r="P44" i="7"/>
  <c r="P45" i="7"/>
  <c r="P46" i="7"/>
  <c r="P47" i="7"/>
  <c r="P48" i="7"/>
  <c r="P49" i="7"/>
  <c r="P50" i="7"/>
  <c r="P51" i="7"/>
  <c r="AM23" i="7"/>
  <c r="AD30" i="7"/>
  <c r="P23" i="7"/>
  <c r="G30" i="7"/>
  <c r="R382" i="5"/>
  <c r="R380" i="5"/>
  <c r="R20" i="5"/>
  <c r="R22" i="5" s="1"/>
  <c r="O301" i="5"/>
  <c r="O299" i="5"/>
  <c r="O297" i="5"/>
  <c r="O18" i="5"/>
  <c r="O22" i="5" s="1"/>
  <c r="P80" i="9" l="1"/>
  <c r="P101" i="9"/>
  <c r="K87" i="9"/>
  <c r="K110" i="9" s="1"/>
  <c r="J87" i="9"/>
  <c r="J52" i="9"/>
  <c r="J110" i="9" s="1"/>
  <c r="J108" i="9"/>
  <c r="AJ87" i="9"/>
  <c r="AJ110" i="9" s="1"/>
  <c r="AM73" i="9"/>
  <c r="AM87" i="9" s="1"/>
  <c r="P45" i="9"/>
  <c r="O87" i="9"/>
  <c r="M52" i="9"/>
  <c r="M110" i="9" s="1"/>
  <c r="AF52" i="9"/>
  <c r="AF110" i="9" s="1"/>
  <c r="AK52" i="9"/>
  <c r="AK110" i="9" s="1"/>
  <c r="O52" i="9"/>
  <c r="O26" i="5"/>
  <c r="O25" i="5"/>
  <c r="O24" i="5"/>
  <c r="N10" i="4"/>
  <c r="R26" i="5"/>
  <c r="R25" i="5"/>
  <c r="R24" i="5"/>
  <c r="Q10" i="4"/>
  <c r="Q19" i="4" s="1"/>
  <c r="P30" i="7"/>
  <c r="AM30" i="7"/>
  <c r="P52" i="7"/>
  <c r="Q38" i="7"/>
  <c r="G110" i="7"/>
  <c r="G53" i="7"/>
  <c r="AM52" i="7"/>
  <c r="AN38" i="7"/>
  <c r="AD110" i="7"/>
  <c r="AD53" i="7"/>
  <c r="P87" i="7"/>
  <c r="Q73" i="7"/>
  <c r="G88" i="7"/>
  <c r="G108" i="7"/>
  <c r="P94" i="7"/>
  <c r="AM87" i="7"/>
  <c r="AN73" i="7"/>
  <c r="AD88" i="7"/>
  <c r="AD108" i="7"/>
  <c r="AM94" i="7"/>
  <c r="Q74" i="7"/>
  <c r="AN74" i="7"/>
  <c r="Q75" i="7"/>
  <c r="AN75" i="7"/>
  <c r="Q76" i="7"/>
  <c r="AN76" i="7"/>
  <c r="Q77" i="7"/>
  <c r="AN77" i="7"/>
  <c r="Q78" i="7"/>
  <c r="AN78" i="7"/>
  <c r="Q79" i="7"/>
  <c r="AN79" i="7"/>
  <c r="Q80" i="7"/>
  <c r="AN80" i="7"/>
  <c r="Q81" i="7"/>
  <c r="AN81" i="7"/>
  <c r="Q82" i="7"/>
  <c r="AN82" i="7"/>
  <c r="Q83" i="7"/>
  <c r="AN83" i="7"/>
  <c r="Q84" i="7"/>
  <c r="AN84" i="7"/>
  <c r="Q85" i="7"/>
  <c r="AN85" i="7"/>
  <c r="Q86" i="7"/>
  <c r="AN86" i="7"/>
  <c r="P30" i="9"/>
  <c r="AM30" i="9"/>
  <c r="P52" i="9"/>
  <c r="Q38" i="9" s="1"/>
  <c r="G110" i="9"/>
  <c r="AM52" i="9"/>
  <c r="AN38" i="9"/>
  <c r="AD110" i="9"/>
  <c r="AD53" i="9"/>
  <c r="P87" i="9"/>
  <c r="Q80" i="9" s="1"/>
  <c r="Q73" i="9"/>
  <c r="G88" i="9"/>
  <c r="G108" i="9"/>
  <c r="P94" i="9"/>
  <c r="AD108" i="9"/>
  <c r="AM94" i="9"/>
  <c r="Q77" i="9"/>
  <c r="Q78" i="9"/>
  <c r="Q79" i="9"/>
  <c r="Q83" i="9"/>
  <c r="Q84" i="9"/>
  <c r="Q85" i="9"/>
  <c r="AN79" i="9" l="1"/>
  <c r="AN85" i="9"/>
  <c r="AD88" i="9"/>
  <c r="AN80" i="9"/>
  <c r="AN81" i="9"/>
  <c r="AN76" i="9"/>
  <c r="AN82" i="9"/>
  <c r="AN77" i="9"/>
  <c r="AN83" i="9"/>
  <c r="AN78" i="9"/>
  <c r="AN84" i="9"/>
  <c r="AN86" i="9"/>
  <c r="O110" i="9"/>
  <c r="Q81" i="9"/>
  <c r="Q86" i="9"/>
  <c r="Q82" i="9"/>
  <c r="Q76" i="9"/>
  <c r="G53" i="9"/>
  <c r="AN73" i="9"/>
  <c r="AM108" i="9"/>
  <c r="AN94" i="9"/>
  <c r="AD109" i="9"/>
  <c r="AM88" i="9"/>
  <c r="AN87" i="9"/>
  <c r="AN74" i="9"/>
  <c r="AN75" i="9"/>
  <c r="AL88" i="9"/>
  <c r="AK88" i="9"/>
  <c r="AJ88" i="9"/>
  <c r="AI88" i="9"/>
  <c r="AH88" i="9"/>
  <c r="AG88" i="9"/>
  <c r="AF88" i="9"/>
  <c r="AE88" i="9"/>
  <c r="P108" i="9"/>
  <c r="Q94" i="9"/>
  <c r="G109" i="9"/>
  <c r="P88" i="9"/>
  <c r="Q87" i="9"/>
  <c r="Q74" i="9"/>
  <c r="Q75" i="9"/>
  <c r="O88" i="9"/>
  <c r="N88" i="9"/>
  <c r="M88" i="9"/>
  <c r="L88" i="9"/>
  <c r="K88" i="9"/>
  <c r="J88" i="9"/>
  <c r="I88" i="9"/>
  <c r="H88" i="9"/>
  <c r="AM110" i="9"/>
  <c r="AM53" i="9"/>
  <c r="AN52" i="9"/>
  <c r="AL53" i="9"/>
  <c r="AK53" i="9"/>
  <c r="AJ53" i="9"/>
  <c r="AI53" i="9"/>
  <c r="AH53" i="9"/>
  <c r="AG53" i="9"/>
  <c r="AF53" i="9"/>
  <c r="AE53" i="9"/>
  <c r="AN51" i="9"/>
  <c r="AN50" i="9"/>
  <c r="AN49" i="9"/>
  <c r="AN48" i="9"/>
  <c r="AN47" i="9"/>
  <c r="AN46" i="9"/>
  <c r="AN45" i="9"/>
  <c r="AN44" i="9"/>
  <c r="AN43" i="9"/>
  <c r="AN42" i="9"/>
  <c r="AN41" i="9"/>
  <c r="AN40" i="9"/>
  <c r="AN39" i="9"/>
  <c r="P110" i="9"/>
  <c r="P53" i="9"/>
  <c r="Q52" i="9"/>
  <c r="O53" i="9"/>
  <c r="N53" i="9"/>
  <c r="M53" i="9"/>
  <c r="L53" i="9"/>
  <c r="K53" i="9"/>
  <c r="J53" i="9"/>
  <c r="I53" i="9"/>
  <c r="H53" i="9"/>
  <c r="Q51" i="9"/>
  <c r="Q50" i="9"/>
  <c r="Q49" i="9"/>
  <c r="Q48" i="9"/>
  <c r="Q47" i="9"/>
  <c r="Q46" i="9"/>
  <c r="Q45" i="9"/>
  <c r="Q44" i="9"/>
  <c r="Q43" i="9"/>
  <c r="Q42" i="9"/>
  <c r="Q41" i="9"/>
  <c r="Q40" i="9"/>
  <c r="Q39" i="9"/>
  <c r="AM31" i="9"/>
  <c r="AN30" i="9"/>
  <c r="AN21" i="9"/>
  <c r="AN14" i="9"/>
  <c r="AN15" i="9"/>
  <c r="AN16" i="9"/>
  <c r="AN17" i="9"/>
  <c r="AN18" i="9"/>
  <c r="AN19" i="9"/>
  <c r="AN20" i="9"/>
  <c r="AN24" i="9"/>
  <c r="AN25" i="9"/>
  <c r="AN26" i="9"/>
  <c r="AN27" i="9"/>
  <c r="AN28" i="9"/>
  <c r="AN29" i="9"/>
  <c r="AL31" i="9"/>
  <c r="AK31" i="9"/>
  <c r="AJ31" i="9"/>
  <c r="AI31" i="9"/>
  <c r="AH31" i="9"/>
  <c r="AG31" i="9"/>
  <c r="AF31" i="9"/>
  <c r="AE31" i="9"/>
  <c r="AN22" i="9"/>
  <c r="AD31" i="9"/>
  <c r="AN23" i="9"/>
  <c r="P31" i="9"/>
  <c r="Q30" i="9"/>
  <c r="Q21" i="9"/>
  <c r="Q14" i="9"/>
  <c r="Q15" i="9"/>
  <c r="Q16" i="9"/>
  <c r="Q17" i="9"/>
  <c r="Q18" i="9"/>
  <c r="Q19" i="9"/>
  <c r="Q20" i="9"/>
  <c r="Q24" i="9"/>
  <c r="Q25" i="9"/>
  <c r="Q26" i="9"/>
  <c r="Q27" i="9"/>
  <c r="Q28" i="9"/>
  <c r="Q29" i="9"/>
  <c r="O31" i="9"/>
  <c r="N31" i="9"/>
  <c r="M31" i="9"/>
  <c r="L31" i="9"/>
  <c r="K31" i="9"/>
  <c r="J31" i="9"/>
  <c r="I31" i="9"/>
  <c r="H31" i="9"/>
  <c r="Q22" i="9"/>
  <c r="G31" i="9"/>
  <c r="Q23" i="9"/>
  <c r="AM108" i="7"/>
  <c r="AN94" i="7"/>
  <c r="AD109" i="7"/>
  <c r="AM88" i="7"/>
  <c r="AN87" i="7"/>
  <c r="AL88" i="7"/>
  <c r="AK88" i="7"/>
  <c r="AJ88" i="7"/>
  <c r="AI88" i="7"/>
  <c r="AH88" i="7"/>
  <c r="AG88" i="7"/>
  <c r="AF88" i="7"/>
  <c r="AE88" i="7"/>
  <c r="P108" i="7"/>
  <c r="Q94" i="7"/>
  <c r="G109" i="7"/>
  <c r="P88" i="7"/>
  <c r="Q87" i="7"/>
  <c r="O88" i="7"/>
  <c r="N88" i="7"/>
  <c r="M88" i="7"/>
  <c r="L88" i="7"/>
  <c r="K88" i="7"/>
  <c r="J88" i="7"/>
  <c r="I88" i="7"/>
  <c r="H88" i="7"/>
  <c r="AM110" i="7"/>
  <c r="AM53" i="7"/>
  <c r="AN52" i="7"/>
  <c r="AL53" i="7"/>
  <c r="AK53" i="7"/>
  <c r="AJ53" i="7"/>
  <c r="AI53" i="7"/>
  <c r="AH53" i="7"/>
  <c r="AG53" i="7"/>
  <c r="AF53" i="7"/>
  <c r="AE53" i="7"/>
  <c r="AN51" i="7"/>
  <c r="AN50" i="7"/>
  <c r="AN49" i="7"/>
  <c r="AN48" i="7"/>
  <c r="AN47" i="7"/>
  <c r="AN46" i="7"/>
  <c r="AN45" i="7"/>
  <c r="AN44" i="7"/>
  <c r="AN43" i="7"/>
  <c r="AN42" i="7"/>
  <c r="AN41" i="7"/>
  <c r="AN40" i="7"/>
  <c r="AN39" i="7"/>
  <c r="P110" i="7"/>
  <c r="P53" i="7"/>
  <c r="Q52" i="7"/>
  <c r="O53" i="7"/>
  <c r="N53" i="7"/>
  <c r="M53" i="7"/>
  <c r="L53" i="7"/>
  <c r="K53" i="7"/>
  <c r="J53" i="7"/>
  <c r="I53" i="7"/>
  <c r="H53" i="7"/>
  <c r="Q51" i="7"/>
  <c r="Q50" i="7"/>
  <c r="Q49" i="7"/>
  <c r="Q48" i="7"/>
  <c r="Q47" i="7"/>
  <c r="Q46" i="7"/>
  <c r="Q45" i="7"/>
  <c r="Q44" i="7"/>
  <c r="Q43" i="7"/>
  <c r="Q42" i="7"/>
  <c r="Q41" i="7"/>
  <c r="Q40" i="7"/>
  <c r="Q39" i="7"/>
  <c r="AM31" i="7"/>
  <c r="AN30" i="7"/>
  <c r="AN14" i="7"/>
  <c r="AN15" i="7"/>
  <c r="AN16" i="7"/>
  <c r="AN17" i="7"/>
  <c r="AN18" i="7"/>
  <c r="AN19" i="7"/>
  <c r="AN20" i="7"/>
  <c r="AN24" i="7"/>
  <c r="AN25" i="7"/>
  <c r="AN26" i="7"/>
  <c r="AN27" i="7"/>
  <c r="AN28" i="7"/>
  <c r="AN29" i="7"/>
  <c r="AL31" i="7"/>
  <c r="AK31" i="7"/>
  <c r="AJ31" i="7"/>
  <c r="AI31" i="7"/>
  <c r="AH31" i="7"/>
  <c r="AG31" i="7"/>
  <c r="AF31" i="7"/>
  <c r="AE31" i="7"/>
  <c r="AN22" i="7"/>
  <c r="AD31" i="7"/>
  <c r="AN23" i="7"/>
  <c r="P31" i="7"/>
  <c r="Q30" i="7"/>
  <c r="Q14" i="7"/>
  <c r="Q15" i="7"/>
  <c r="Q16" i="7"/>
  <c r="Q17" i="7"/>
  <c r="Q18" i="7"/>
  <c r="Q19" i="7"/>
  <c r="Q20" i="7"/>
  <c r="Q24" i="7"/>
  <c r="Q25" i="7"/>
  <c r="Q26" i="7"/>
  <c r="Q27" i="7"/>
  <c r="Q28" i="7"/>
  <c r="Q29" i="7"/>
  <c r="O31" i="7"/>
  <c r="N31" i="7"/>
  <c r="M31" i="7"/>
  <c r="L31" i="7"/>
  <c r="K31" i="7"/>
  <c r="J31" i="7"/>
  <c r="I31" i="7"/>
  <c r="H31" i="7"/>
  <c r="Q22" i="7"/>
  <c r="G31" i="7"/>
  <c r="Q23" i="7"/>
  <c r="N13" i="4"/>
  <c r="N19" i="4" s="1"/>
  <c r="N21" i="4" s="1"/>
  <c r="P109" i="7" l="1"/>
  <c r="Q108" i="7"/>
  <c r="O109" i="7"/>
  <c r="N109" i="7"/>
  <c r="M109" i="7"/>
  <c r="L109" i="7"/>
  <c r="K109" i="7"/>
  <c r="J109" i="7"/>
  <c r="I109" i="7"/>
  <c r="H109" i="7"/>
  <c r="Q95" i="7"/>
  <c r="Q96" i="7"/>
  <c r="Q97" i="7"/>
  <c r="Q98" i="7"/>
  <c r="Q99" i="7"/>
  <c r="Q100" i="7"/>
  <c r="Q101" i="7"/>
  <c r="Q102" i="7"/>
  <c r="Q103" i="7"/>
  <c r="Q104" i="7"/>
  <c r="Q105" i="7"/>
  <c r="Q106" i="7"/>
  <c r="Q107" i="7"/>
  <c r="AM109" i="7"/>
  <c r="AN108" i="7"/>
  <c r="AL109" i="7"/>
  <c r="AK109" i="7"/>
  <c r="AJ109" i="7"/>
  <c r="AI109" i="7"/>
  <c r="AH109" i="7"/>
  <c r="AG109" i="7"/>
  <c r="AF109" i="7"/>
  <c r="AE109" i="7"/>
  <c r="AN95" i="7"/>
  <c r="AN96" i="7"/>
  <c r="AN97" i="7"/>
  <c r="AN98" i="7"/>
  <c r="AN99" i="7"/>
  <c r="AN100" i="7"/>
  <c r="AN101" i="7"/>
  <c r="AN102" i="7"/>
  <c r="AN103" i="7"/>
  <c r="AN104" i="7"/>
  <c r="AN105" i="7"/>
  <c r="AN106" i="7"/>
  <c r="AN107" i="7"/>
  <c r="P109" i="9"/>
  <c r="Q108" i="9"/>
  <c r="Q95" i="9"/>
  <c r="Q96" i="9"/>
  <c r="O109" i="9"/>
  <c r="N109" i="9"/>
  <c r="M109" i="9"/>
  <c r="L109" i="9"/>
  <c r="K109" i="9"/>
  <c r="J109" i="9"/>
  <c r="I109" i="9"/>
  <c r="H109" i="9"/>
  <c r="Q97" i="9"/>
  <c r="Q98" i="9"/>
  <c r="Q99" i="9"/>
  <c r="Q100" i="9"/>
  <c r="Q101" i="9"/>
  <c r="Q102" i="9"/>
  <c r="Q103" i="9"/>
  <c r="Q104" i="9"/>
  <c r="Q105" i="9"/>
  <c r="Q106" i="9"/>
  <c r="Q107" i="9"/>
  <c r="AM109" i="9"/>
  <c r="AN108" i="9"/>
  <c r="AN95" i="9"/>
  <c r="AN96" i="9"/>
  <c r="AL109" i="9"/>
  <c r="AK109" i="9"/>
  <c r="AJ109" i="9"/>
  <c r="AI109" i="9"/>
  <c r="AH109" i="9"/>
  <c r="AG109" i="9"/>
  <c r="AF109" i="9"/>
  <c r="AE109" i="9"/>
  <c r="AN97" i="9"/>
  <c r="AN98" i="9"/>
  <c r="AN99" i="9"/>
  <c r="AN100" i="9"/>
  <c r="AN101" i="9"/>
  <c r="AN102" i="9"/>
  <c r="AN103" i="9"/>
  <c r="AN104" i="9"/>
  <c r="AN105" i="9"/>
  <c r="AN106" i="9"/>
  <c r="AN107" i="9"/>
  <c r="I85" i="10"/>
  <c r="I91" i="10"/>
  <c r="F85" i="10"/>
  <c r="F91" i="10"/>
  <c r="I62" i="10"/>
  <c r="I68" i="10"/>
  <c r="F62" i="10"/>
  <c r="F68" i="10"/>
  <c r="N289" i="5"/>
  <c r="N293" i="5"/>
  <c r="M289" i="5"/>
  <c r="M293" i="5"/>
  <c r="L289" i="5"/>
  <c r="L293" i="5"/>
  <c r="N183" i="5"/>
  <c r="M183" i="5"/>
  <c r="L183" i="5"/>
  <c r="N182" i="5"/>
  <c r="M182" i="5"/>
  <c r="L182" i="5"/>
  <c r="N181" i="5"/>
  <c r="N185" i="5"/>
  <c r="M181" i="5"/>
  <c r="M185" i="5"/>
  <c r="L181" i="5"/>
  <c r="L185" i="5"/>
  <c r="N18" i="5"/>
  <c r="M18" i="5"/>
  <c r="L18" i="5"/>
  <c r="N16" i="5"/>
  <c r="M16" i="5"/>
  <c r="L16" i="5"/>
  <c r="N22" i="5"/>
  <c r="N24" i="5"/>
  <c r="N25" i="5"/>
  <c r="N26" i="5"/>
  <c r="M22" i="5"/>
  <c r="M24" i="5"/>
  <c r="M25" i="5"/>
  <c r="M26" i="5"/>
  <c r="L22" i="5"/>
  <c r="L24" i="5"/>
  <c r="L25" i="5"/>
  <c r="L26" i="5"/>
  <c r="M10" i="4"/>
  <c r="M13" i="4"/>
  <c r="M16" i="4"/>
  <c r="M19" i="4"/>
  <c r="M21" i="4"/>
  <c r="L10" i="4"/>
  <c r="L13" i="4"/>
  <c r="L16" i="4"/>
  <c r="L19" i="4"/>
  <c r="L21" i="4"/>
  <c r="K10" i="4"/>
  <c r="K13" i="4"/>
  <c r="K16" i="4"/>
  <c r="K19" i="4"/>
  <c r="K21" i="4"/>
  <c r="L189" i="5"/>
  <c r="M189" i="5"/>
  <c r="N189" i="5"/>
  <c r="L191" i="5"/>
  <c r="M191" i="5"/>
  <c r="N191" i="5"/>
  <c r="L193" i="5"/>
  <c r="M193" i="5"/>
  <c r="N193" i="5"/>
  <c r="L297" i="5"/>
  <c r="M297" i="5"/>
  <c r="N297" i="5"/>
  <c r="L299" i="5"/>
  <c r="M299" i="5"/>
  <c r="N299" i="5"/>
  <c r="L301" i="5"/>
  <c r="M301" i="5"/>
  <c r="N301" i="5"/>
</calcChain>
</file>

<file path=xl/sharedStrings.xml><?xml version="1.0" encoding="utf-8"?>
<sst xmlns="http://schemas.openxmlformats.org/spreadsheetml/2006/main" count="5427" uniqueCount="1769">
  <si>
    <t>SCOTTISH WATER</t>
  </si>
  <si>
    <t>ANNUAL RETURN INFORMATION REQUIREMENTS 2024-25</t>
  </si>
  <si>
    <t>SECTION P : TARIFF BASKET INFORMATION</t>
  </si>
  <si>
    <t>Table P1: Wholesale revenue reconciliation</t>
  </si>
  <si>
    <t>Line ref.</t>
  </si>
  <si>
    <t>P1</t>
  </si>
  <si>
    <t>2010-11 RF</t>
  </si>
  <si>
    <t>2011-12 RF</t>
  </si>
  <si>
    <t>2012-13 RF</t>
  </si>
  <si>
    <t>2013-14 RF</t>
  </si>
  <si>
    <t>2014-15 RF</t>
  </si>
  <si>
    <t>2015-16 RF</t>
  </si>
  <si>
    <t>2016-17 RF</t>
  </si>
  <si>
    <t>2017-18 RF</t>
  </si>
  <si>
    <t>2018-19 RF</t>
  </si>
  <si>
    <t>2019-20 Month</t>
  </si>
  <si>
    <t>2019-20 RF</t>
  </si>
  <si>
    <t>2020-21 Month</t>
  </si>
  <si>
    <t>2020-21 RF</t>
  </si>
  <si>
    <t>2021-22 Month</t>
  </si>
  <si>
    <t>2021-22 RF</t>
  </si>
  <si>
    <t>2022-23 Month</t>
  </si>
  <si>
    <t>2022-23 RF</t>
  </si>
  <si>
    <t>2023-24 Month</t>
  </si>
  <si>
    <t>2023-24 RF</t>
  </si>
  <si>
    <t>2024-25 Month</t>
  </si>
  <si>
    <t>P1.1</t>
  </si>
  <si>
    <t>Total wholesale revenue  (£m)</t>
  </si>
  <si>
    <t>P1.2</t>
  </si>
  <si>
    <t>Negative volumes excluded from P tables</t>
  </si>
  <si>
    <t>P1.3</t>
  </si>
  <si>
    <t>Charges on exempt SPIDs (positive charges due to 50% exemption)</t>
  </si>
  <si>
    <t>P1.3A</t>
  </si>
  <si>
    <t>Reconciliation difference Table 2 vs. Settlement Report</t>
  </si>
  <si>
    <t>P1.4</t>
  </si>
  <si>
    <t>Adjustment to RF billed position</t>
  </si>
  <si>
    <t>P1.4A</t>
  </si>
  <si>
    <t>Adjustment to forecast year-end position</t>
  </si>
  <si>
    <t>P1.5</t>
  </si>
  <si>
    <t>Income uncertainty release / (charge)</t>
  </si>
  <si>
    <t>P1.6</t>
  </si>
  <si>
    <t>Vacancy/gap incentive payments</t>
  </si>
  <si>
    <t>P1.7</t>
  </si>
  <si>
    <t xml:space="preserve">Non primary </t>
  </si>
  <si>
    <t>P1.8</t>
  </si>
  <si>
    <t>Wholesale revenue reported in M tables</t>
  </si>
  <si>
    <t>P1.8A</t>
  </si>
  <si>
    <t>Wholesale non-household revenue reported in the M tables (M7.3) (£m)</t>
  </si>
  <si>
    <t>Check</t>
  </si>
  <si>
    <t>Reconciliation of measured water volumes reported here with A tables</t>
  </si>
  <si>
    <t>P1.9</t>
  </si>
  <si>
    <t>Total measured water volumes (m3)</t>
  </si>
  <si>
    <t>P1.10</t>
  </si>
  <si>
    <t>Total measured water volumes (Ml/day)</t>
  </si>
  <si>
    <t>P1.11</t>
  </si>
  <si>
    <t>Timing difference</t>
  </si>
  <si>
    <t>P1.12</t>
  </si>
  <si>
    <t>Allocated tranche</t>
  </si>
  <si>
    <t>P1.13</t>
  </si>
  <si>
    <t>Schedule 3 potable consumption</t>
  </si>
  <si>
    <t>P1.14</t>
  </si>
  <si>
    <t>Vacancy</t>
  </si>
  <si>
    <t>n/a</t>
  </si>
  <si>
    <t>P1.15</t>
  </si>
  <si>
    <t>Exemption</t>
  </si>
  <si>
    <t>P1.16</t>
  </si>
  <si>
    <t>Adjustments for negative volumes</t>
  </si>
  <si>
    <t>P1.17</t>
  </si>
  <si>
    <t>Supply point data error adjustments</t>
  </si>
  <si>
    <t>P1.18</t>
  </si>
  <si>
    <t>Shipping water</t>
  </si>
  <si>
    <t>P1.19</t>
  </si>
  <si>
    <t>Estimated meter under-registration, supply pipe leakage and internal plumbing losses</t>
  </si>
  <si>
    <t>P1.20</t>
  </si>
  <si>
    <t>Measured non-household volume of water delivered reported in A tables (Ml/day)</t>
  </si>
  <si>
    <t>Measured volume of water delivered reported in the A tables (A2.10)</t>
  </si>
  <si>
    <t>Reconciliation of measured sewerage volumes reported here with A tables</t>
  </si>
  <si>
    <t>P1.21</t>
  </si>
  <si>
    <t>Total measured foul sewerage volumes (m3)</t>
  </si>
  <si>
    <t>P1.22</t>
  </si>
  <si>
    <t>Total measured foul sewerage volumes (Ml/day)</t>
  </si>
  <si>
    <t>P1.23</t>
  </si>
  <si>
    <t>Timing difference (RF to MAR R1 for sewerage volumes)</t>
  </si>
  <si>
    <t>P1.24</t>
  </si>
  <si>
    <t>P1.25</t>
  </si>
  <si>
    <t>Schedule 3</t>
  </si>
  <si>
    <t>P1.26</t>
  </si>
  <si>
    <t xml:space="preserve"> n/a </t>
  </si>
  <si>
    <t>P1.27</t>
  </si>
  <si>
    <t>P1.28</t>
  </si>
  <si>
    <t>Adjustments for vacancy</t>
  </si>
  <si>
    <t>P1.29</t>
  </si>
  <si>
    <t>Adjustments to negative volumes</t>
  </si>
  <si>
    <t>P1.30</t>
  </si>
  <si>
    <t xml:space="preserve">Measured non-household foul volume reported in A tables </t>
  </si>
  <si>
    <t>Measured foul volume reported in the A tables (A3.7)</t>
  </si>
  <si>
    <t>Reconciliation of assessed supply points to unmeasured non-household billed properties - potable water</t>
  </si>
  <si>
    <t>2010-11</t>
  </si>
  <si>
    <t>P1.31</t>
  </si>
  <si>
    <t>Water assessed tariff multipliers</t>
  </si>
  <si>
    <t>P1.32</t>
  </si>
  <si>
    <t>Adjustment for transitional phasing of FBM meters</t>
  </si>
  <si>
    <t>P1.33</t>
  </si>
  <si>
    <t>P1.34</t>
  </si>
  <si>
    <t>Conversion from calculation of supply points on days-in-charge basis to distinct count of supply points</t>
  </si>
  <si>
    <t>P1.35</t>
  </si>
  <si>
    <t>P1.36</t>
  </si>
  <si>
    <t>Timing difference (RF to SEP R2)</t>
  </si>
  <si>
    <t>P1.37</t>
  </si>
  <si>
    <t>Unmeasured non-household billed properties - potable water (including exempt) (A1.3)</t>
  </si>
  <si>
    <t xml:space="preserve">Reconciliation of measured supply points to measured non-household billed properties - potable water </t>
  </si>
  <si>
    <t>P1.38</t>
  </si>
  <si>
    <t>Water measured tariff multipliers - meters</t>
  </si>
  <si>
    <t>P1.39</t>
  </si>
  <si>
    <t>P1.40</t>
  </si>
  <si>
    <t>Meters with 0mm chargeable size</t>
  </si>
  <si>
    <t>P1.41</t>
  </si>
  <si>
    <t>P1.42</t>
  </si>
  <si>
    <t>P1.43</t>
  </si>
  <si>
    <t>P1.44</t>
  </si>
  <si>
    <t>Conversion from calculation of meters on days-in-charge basis to distinct count of supply points</t>
  </si>
  <si>
    <t>P1.45</t>
  </si>
  <si>
    <t>P1.46</t>
  </si>
  <si>
    <t>P1.47</t>
  </si>
  <si>
    <t>Measured non-household billed properties - potable water (A1.4)</t>
  </si>
  <si>
    <t xml:space="preserve">Reconciliation of assessed supply points to unmeasured non-household billed properties - foul sewerage </t>
  </si>
  <si>
    <t>P1.48</t>
  </si>
  <si>
    <t>Foul sewerage assessed tariff multipliers</t>
  </si>
  <si>
    <t>P1.49</t>
  </si>
  <si>
    <t>P1.50</t>
  </si>
  <si>
    <t>P1.51</t>
  </si>
  <si>
    <t>P1.52</t>
  </si>
  <si>
    <t>P1.53</t>
  </si>
  <si>
    <t>P1.54</t>
  </si>
  <si>
    <t>Unmeasured non-household billed properties - foul sewerage (including exempt) (A1.13)</t>
  </si>
  <si>
    <t>Reconciliation of measured supply points to unmeasured non-household billed properties - foul sewerage</t>
  </si>
  <si>
    <t>P1.55</t>
  </si>
  <si>
    <t>Foul sewerage measured tariff multipliers - meters</t>
  </si>
  <si>
    <t>P1.56</t>
  </si>
  <si>
    <t>P1.57</t>
  </si>
  <si>
    <t>P1.58</t>
  </si>
  <si>
    <t>P1.59</t>
  </si>
  <si>
    <t>P1.60</t>
  </si>
  <si>
    <t>P1.61</t>
  </si>
  <si>
    <t>P1.62</t>
  </si>
  <si>
    <t>P1.63</t>
  </si>
  <si>
    <t>P1.64</t>
  </si>
  <si>
    <t>Measured non-household billed properties - foul sewerage (A1.14)</t>
  </si>
  <si>
    <t>Prepared by:  ……………………………………………..</t>
  </si>
  <si>
    <t>Date:</t>
  </si>
  <si>
    <t>Checked by:  ……………………………………………..</t>
  </si>
  <si>
    <t xml:space="preserve">Date: </t>
  </si>
  <si>
    <t>Date 13/06/2025</t>
  </si>
  <si>
    <t>Table P2: Wholesale volumes and revenues</t>
  </si>
  <si>
    <t>General guidance</t>
  </si>
  <si>
    <t>1. All figures entered in these tables should be based on the latest settlement run data available.</t>
  </si>
  <si>
    <t>2. The calculated revenue in each category should be inclusive of revenue from GAP sites and vacants.</t>
  </si>
  <si>
    <t>3. We require the Tables to be signed and dated by those preparing, checking and authorising the data.</t>
  </si>
  <si>
    <t>Summary</t>
  </si>
  <si>
    <t>Field type</t>
  </si>
  <si>
    <t>2019-20 month</t>
  </si>
  <si>
    <t>2020-21 month</t>
  </si>
  <si>
    <t>2021-22 month</t>
  </si>
  <si>
    <t>2022-23 month</t>
  </si>
  <si>
    <t xml:space="preserve"> 2023-24 RF </t>
  </si>
  <si>
    <t xml:space="preserve"> 2024-25 Month </t>
  </si>
  <si>
    <t>Definition</t>
  </si>
  <si>
    <t>P2.1</t>
  </si>
  <si>
    <t>Revenue from water assessed charges</t>
  </si>
  <si>
    <t>Total water revenue from licensed providers generated from formerly unmeasured supply points</t>
  </si>
  <si>
    <t>P2.2</t>
  </si>
  <si>
    <t>Revenue from water volumetric charges</t>
  </si>
  <si>
    <t>Total water revenue from licensed providers generated from measured supply points</t>
  </si>
  <si>
    <t>P2.3</t>
  </si>
  <si>
    <t>Revenue from foul sewerage assessed charges</t>
  </si>
  <si>
    <t>Total foul sewage revenue from licensed providers generated from formerly unmeasured supply points</t>
  </si>
  <si>
    <t>P2.4</t>
  </si>
  <si>
    <t>Revenue from foul sewerage measured charges</t>
  </si>
  <si>
    <t>Total foul sewage revenue from licensed providers generated from measured supply points</t>
  </si>
  <si>
    <t>P2.5</t>
  </si>
  <si>
    <t xml:space="preserve">Revenue from surface water drainage </t>
  </si>
  <si>
    <t>Total revenue from licensed providers in respect of surface water drainage.</t>
  </si>
  <si>
    <t>P2.6</t>
  </si>
  <si>
    <t>Revenue from trade effluent</t>
  </si>
  <si>
    <t>Revenue from all supply points charged at charges scheme rates.</t>
  </si>
  <si>
    <t>P2.7</t>
  </si>
  <si>
    <t>Revenue from field troughs and drinking bowls</t>
  </si>
  <si>
    <t>Total miscellaneous water charges scheme revenue.</t>
  </si>
  <si>
    <t>P2.8</t>
  </si>
  <si>
    <t>Total revenue</t>
  </si>
  <si>
    <t>C</t>
  </si>
  <si>
    <t>Total wholesale revenue</t>
  </si>
  <si>
    <t>P2.9</t>
  </si>
  <si>
    <t xml:space="preserve">Percentage of total revenue from gap sites </t>
  </si>
  <si>
    <t>Total wholesale revenue from sites that were originally identified through the GAP sites scheme. This should align with the classification on the CMA systems. For the avoidance of doubt, this should be included in line 15 above.</t>
  </si>
  <si>
    <t>P2.10</t>
  </si>
  <si>
    <t>Percentage of total revenue from vacant properties</t>
  </si>
  <si>
    <t>Total wholesale revenue from vacant premises. This should align with the classification on the CMA systems. For the avoidance of doubt, this should be included in line 15 above.</t>
  </si>
  <si>
    <t>P2.10B</t>
  </si>
  <si>
    <t>Percentage of total revenue from vacant gap sites</t>
  </si>
  <si>
    <t>Total wholesale revenue from vacant premises which were originally identified through the GAP sites scheme</t>
  </si>
  <si>
    <t>P2.10C</t>
  </si>
  <si>
    <t xml:space="preserve">Total revenue from gap sites </t>
  </si>
  <si>
    <t>P2.10D</t>
  </si>
  <si>
    <t>Total revenue from vacant properties</t>
  </si>
  <si>
    <t>P2.10E</t>
  </si>
  <si>
    <t>Total revenue from vacant gap sites</t>
  </si>
  <si>
    <t>P2.11</t>
  </si>
  <si>
    <t>Water assessed volumes</t>
  </si>
  <si>
    <t>Total volumes from water assessed charges (standard volumes)</t>
  </si>
  <si>
    <t>P2.12</t>
  </si>
  <si>
    <t>Water measured volumes</t>
  </si>
  <si>
    <t>Total volumes from water measured charges (standard volumes)</t>
  </si>
  <si>
    <t>P2.13</t>
  </si>
  <si>
    <t>Foul sewerage assessed volumes</t>
  </si>
  <si>
    <t>Total volumes from foul sewerage assessed charges (standard volumes)</t>
  </si>
  <si>
    <t>P2.14</t>
  </si>
  <si>
    <t>Foul sewerage measured volumes</t>
  </si>
  <si>
    <t>Total volumes from foul sewerage measured charges (standard volumes)</t>
  </si>
  <si>
    <t>Water assessed charges</t>
  </si>
  <si>
    <t>Tariff multipliers: licensed provider: assessed meter sizes</t>
  </si>
  <si>
    <t>P2.15</t>
  </si>
  <si>
    <t>20mm</t>
  </si>
  <si>
    <t>I</t>
  </si>
  <si>
    <t>Number of meters, at formerly unmeasured supply points, assessed (using RV-conversion formula) to be 20mm, as of September of the reporting year.</t>
  </si>
  <si>
    <t>P2.16</t>
  </si>
  <si>
    <t>25mm</t>
  </si>
  <si>
    <t>Number of meters, at formerly unmeasured supply points, assessed (using RV-conversion formula) to be 25mm, as of September of the reporting year.</t>
  </si>
  <si>
    <t>P2.17</t>
  </si>
  <si>
    <t>40mm</t>
  </si>
  <si>
    <t>Number of meters, at formerly unmeasured supply points, assessed (using RV-conversion formula) to be 40mm, as of September of the reporting year.</t>
  </si>
  <si>
    <t>P2.18</t>
  </si>
  <si>
    <t>50mm</t>
  </si>
  <si>
    <t>Number of meters, at formerly unmeasured supply points, assessed (using RV-conversion formula) to be 50mm, as of September of the reporting year.</t>
  </si>
  <si>
    <t>P2.19</t>
  </si>
  <si>
    <t>80mm</t>
  </si>
  <si>
    <t>Number of meters, at formerly unmeasured supply points, assessed (using RV-conversion formula) to be 80mm, as of September of the reporting year.</t>
  </si>
  <si>
    <t>P2.20</t>
  </si>
  <si>
    <t>Total</t>
  </si>
  <si>
    <t>Total number of assessed meters at formerly unmeasured supply points as of September of the reporting year.</t>
  </si>
  <si>
    <t>P2.20B</t>
  </si>
  <si>
    <t>Assessed meter sizes related to gap sites</t>
  </si>
  <si>
    <t>Memo line: number of assessed meters related to gap sites. Included in the total above (Line P2.20).</t>
  </si>
  <si>
    <t>P2.20C</t>
  </si>
  <si>
    <t>Assessed meter sizes related to vacant properties</t>
  </si>
  <si>
    <t>Memo line: number of assessed meters related to vacant properties. Included in the total above (Line P2.20).</t>
  </si>
  <si>
    <t>P2.20D</t>
  </si>
  <si>
    <t>Assessed meter sizes related to vacant gap sites</t>
  </si>
  <si>
    <t>Memo line: number of assessed meters related to vacant gap sites. Included in the total above (Line P2.20).</t>
  </si>
  <si>
    <t>P2.20E</t>
  </si>
  <si>
    <t>Total volume at unmeasured supply points related to gap sites</t>
  </si>
  <si>
    <t>P2.20F</t>
  </si>
  <si>
    <t>Total volume at unmeasured supply points related to vacant gap sites</t>
  </si>
  <si>
    <t>P2.20G</t>
  </si>
  <si>
    <t>Average volume</t>
  </si>
  <si>
    <t>Tariff multipliers: licensed provider: assessed capacity volume</t>
  </si>
  <si>
    <t>P2.21</t>
  </si>
  <si>
    <t>Assessed consumption (using RV-conversion formula) between 20m³ and (up to and including) 100m³ during report year at formerly unmeasured supply points, assessed to have a 20mm meter.
This forms the assessed capacity volume at assessed 20mm meters, which attracts an additional premium charge due to phasing changes.</t>
  </si>
  <si>
    <t>P2.22</t>
  </si>
  <si>
    <t>Total all other meter sizes</t>
  </si>
  <si>
    <t>Assessed consumption (using RV-conversion formula) between 20m³ and (up to and including) the capacity volume threshold during report year at formerly unmeasured supply points, for all other meter sizes excluding 20mm meters.
This forms the assessed capacity volume for all other meter sizes, which attracts an additional premium charge due to phasing changes.</t>
  </si>
  <si>
    <t>P2.23</t>
  </si>
  <si>
    <t xml:space="preserve">Assessed consumption (using RV-conversion formula) between 20m³ (up to and including) the capacity volume threshold during report year at formerly unmeasured supply points, for each assessed meter size.
</t>
  </si>
  <si>
    <t>Tariff multipliers: licensed provider: assessed standard volumes</t>
  </si>
  <si>
    <t>P2.24</t>
  </si>
  <si>
    <t>20mm meters: volume between 20m3 and up to and including 100m3</t>
  </si>
  <si>
    <t>Assessed standard consumption (using RV-conversion formula) of between 20m³ and (up to and including) 100m³ for assessed 20mm meters.
This forms the standard consumption through 20mm meters, which attracts an additional premium due to phasing changes.</t>
  </si>
  <si>
    <t>P2.25</t>
  </si>
  <si>
    <t>20mm meters: volume greater than 100m3</t>
  </si>
  <si>
    <t>Assessed standard consumption (using RV-conversion formula) of greater than 100m³ for assessed 20mm meters.
This forms the standard consumption through 20mm meters, which does not attract an additional premium due to phasing changes.</t>
  </si>
  <si>
    <t>P2.26</t>
  </si>
  <si>
    <t>&gt; 20mm meters: volume between 20m3  and (up to and including) 250,000m3</t>
  </si>
  <si>
    <t>Assessed standard consumption (using RV-conversion formula) of greater than 20m³ and (up to and including) 250,000m³ for all assessed meters of greater than 20mm.
This forms the standard consumption through meters greater than 20mm meters in the 20-250,000m³ consumption band.</t>
  </si>
  <si>
    <t>P2.27</t>
  </si>
  <si>
    <t>&gt; 20mm meters: volume between 250,000m3  and (up to and including) 1,000,000m3</t>
  </si>
  <si>
    <t>Assessed standard consumption (using RV-conversion formula) of greater than 250,000m³ and (up to and including) 1,000,000m³ for all assessed meters of greater than 20mm.
This forms the standard consumption through meters greater than 20mm meters in the 250,000-1,000,000m³ consumption band.</t>
  </si>
  <si>
    <t>P2.28</t>
  </si>
  <si>
    <t>&gt; 20mm meters: volume greater than 1,000,000m3</t>
  </si>
  <si>
    <t>Assessed standard consumption (using RV-conversion formula) of greater than 1,000,000m³ for all assessed meters of greater than 20mm.
This forms the standard consumption through meters greater than 20mm meters in the greater than 1,000,000m³ consumption band.</t>
  </si>
  <si>
    <t>P2.29</t>
  </si>
  <si>
    <t>Total standard volumes</t>
  </si>
  <si>
    <t>Total assessed standard consumption greater than 20m³ for all meter sizes.</t>
  </si>
  <si>
    <t>Tariffs: meter based annual charges</t>
  </si>
  <si>
    <t>P2.30</t>
  </si>
  <si>
    <t>Meter based annual charge for 20mm meters in report year.</t>
  </si>
  <si>
    <t>P2.31</t>
  </si>
  <si>
    <t>Meter based annual charge for 25mm meters in report year.</t>
  </si>
  <si>
    <t>P2.32</t>
  </si>
  <si>
    <t>Meter based annual charge for 40mm meters in report year.</t>
  </si>
  <si>
    <t>P2.33</t>
  </si>
  <si>
    <t>Meter based annual charge for 50mm meters in report year.</t>
  </si>
  <si>
    <t>P2.34</t>
  </si>
  <si>
    <t>Meter based annual charge for 80mm meters in report year.</t>
  </si>
  <si>
    <t>Tariffs: capacity volume charge</t>
  </si>
  <si>
    <t>P2.35</t>
  </si>
  <si>
    <t>20mm premium capacity volume charge</t>
  </si>
  <si>
    <t>Capacity volume charge for 20mm meters for the report year. The capacity volume charge for 20mm meters should include any premium associated with the phased changes of charges.</t>
  </si>
  <si>
    <t>P2.36</t>
  </si>
  <si>
    <t>Capacity volume charge</t>
  </si>
  <si>
    <t>Capacity volume charge for the report year. This is the capacity volume charge for all meters other than 20mm meter and should not attract a premium or discount in the year due to phasing.</t>
  </si>
  <si>
    <t>Tariffs: standard volumes</t>
  </si>
  <si>
    <t>P2.37</t>
  </si>
  <si>
    <t>Standard volume charge for consumption between 20m³ and (up to and including) 100m³ through 20mm meters for the report year. The standard volume charge for 20mm meters should include any premium associated with the phased changes of charges for consumption between 20m³ and (up to and including) 100m³.</t>
  </si>
  <si>
    <t>P2.38</t>
  </si>
  <si>
    <t>Standard volume charge for consumption greater than 100m³ through 20mm meters for the report year. The standard volume charge for 20mm meters should not include any premium or discount associated with the phased changes of charges for consumption of greater than 100m³.</t>
  </si>
  <si>
    <t>P2.39</t>
  </si>
  <si>
    <t>Standard volume charge for meters greater than 20mm for consumption between 20m³ and (up to and including) 250,000m³ in the report year.</t>
  </si>
  <si>
    <t>P2.40</t>
  </si>
  <si>
    <t>Standard volume charge for meters greater than 20mm for consumption between 250,000m³ and (up to and including) 1,000,000m³ in the report year.</t>
  </si>
  <si>
    <t>P2.41</t>
  </si>
  <si>
    <t>Standard volume charge for meters greater than 20mm for consumption greater than 1,000,000m³ in the report year.</t>
  </si>
  <si>
    <t>Exempt supply points</t>
  </si>
  <si>
    <t>P2.42</t>
  </si>
  <si>
    <t>Number of exempt supply points</t>
  </si>
  <si>
    <t>The total number of premises attracting a negative wholesale charge due to their exempt status.</t>
  </si>
  <si>
    <t>P2.43</t>
  </si>
  <si>
    <t>Charge per supply point</t>
  </si>
  <si>
    <t>The negative wholesale charge for supply points with exemption status.
Enter as a negative value.</t>
  </si>
  <si>
    <t>Revenue</t>
  </si>
  <si>
    <t>P2.44</t>
  </si>
  <si>
    <t>Revenue from annual charges</t>
  </si>
  <si>
    <t>Revenue from assessed meter based annual charges in the report year</t>
  </si>
  <si>
    <t>P2.45</t>
  </si>
  <si>
    <t>Revenue from capacity charges</t>
  </si>
  <si>
    <t>Revenue from assessed meter capacity volume charges in the report year</t>
  </si>
  <si>
    <t>P2.46</t>
  </si>
  <si>
    <t>Revenue from volume charges</t>
  </si>
  <si>
    <t>Revenue from assessed standard volume charges in the report year</t>
  </si>
  <si>
    <t>P2.47</t>
  </si>
  <si>
    <t>Revenue deducted for exempt supply points</t>
  </si>
  <si>
    <t>Negative revenue in respect of supply points with negative wholesale charges</t>
  </si>
  <si>
    <t>P2.48</t>
  </si>
  <si>
    <t>Total Revenue</t>
  </si>
  <si>
    <t>Revenue from gap sites and vacant properties (water assessed)</t>
  </si>
  <si>
    <t>P2.49</t>
  </si>
  <si>
    <t xml:space="preserve">Total revenue from water assessed charges related to gap sites </t>
  </si>
  <si>
    <t xml:space="preserve">Water assessed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</si>
  <si>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P2.50</t>
  </si>
  <si>
    <t xml:space="preserve">Percentage of total revenue from water assessed charges related to gap sites </t>
  </si>
  <si>
    <t>Percentage of the water assessed revenue from sites that were originally identified through the GAP sites scheme. This should include revenue from SPIDs that were identified through the GAP sites scheme in prior years and align with the classification on the CMA systems.</t>
  </si>
  <si>
    <t>P2.51</t>
  </si>
  <si>
    <t>Total revenue from water assessed charges related to vacant properties</t>
  </si>
  <si>
    <t xml:space="preserve">Water assessed revenue from vacant premises. This should align with the classification on the CMA systems. This should exclude gap site SPIDs that are now charged as vacant. </t>
  </si>
  <si>
    <t>P2.52</t>
  </si>
  <si>
    <t>Percentage of total revenue from water assessed charges related to vacant properties</t>
  </si>
  <si>
    <t>Percentage of the water assessed revenue from vacant premises. This should align with the classification on the CMA systems</t>
  </si>
  <si>
    <t>P2.52B</t>
  </si>
  <si>
    <t>Total revenue related to both gap sites and vacant properties</t>
  </si>
  <si>
    <t>Gap site SPIDs that are now charged as vacant</t>
  </si>
  <si>
    <t>P2.52C</t>
  </si>
  <si>
    <t>Percentage of total revenue related to both gap sites and vacant properties</t>
  </si>
  <si>
    <t>Water volumetric charges</t>
  </si>
  <si>
    <t>Tariff multipliers: licensed provider: tariff meters</t>
  </si>
  <si>
    <t>P2.53</t>
  </si>
  <si>
    <t>Number of 20mm meters, at measured supply points consuming up to and including 100Ml/annum, as of September of the reporting year.</t>
  </si>
  <si>
    <t>P2.54</t>
  </si>
  <si>
    <t>Number of 25mm meters, at measured supply points consuming up to and including 100Ml/annum, as of September of the reporting year.</t>
  </si>
  <si>
    <t>P2.55</t>
  </si>
  <si>
    <t>Number of 40mm meters, at measured supply points consuming up to and including 100Ml/annum, as of September of the reporting year</t>
  </si>
  <si>
    <t>P2.56</t>
  </si>
  <si>
    <t>Number of 50mm meters, at measured supply points consuming up to and including 100Ml/annum, as of September of the reporting year.</t>
  </si>
  <si>
    <t>P2.57</t>
  </si>
  <si>
    <t>Number of 80mm meters, at measured supply points consuming up to and including 100Ml/annum, as of September of the reporting year.</t>
  </si>
  <si>
    <t>P2.58</t>
  </si>
  <si>
    <t>100mm</t>
  </si>
  <si>
    <t>Number of 100mm meters, at measured supply points consuming up to and including 100Ml/annum, as of September of the reporting year</t>
  </si>
  <si>
    <t>P2.59</t>
  </si>
  <si>
    <t>150mm</t>
  </si>
  <si>
    <t>Number of 150mm meters, at measured supply points consuming up to and including 100Ml/annum, as of September of the reporting year.</t>
  </si>
  <si>
    <t>P2.60</t>
  </si>
  <si>
    <t>200mm</t>
  </si>
  <si>
    <t>Number of 200mm meters, at measured supply points consuming up to and including 100Ml/annum, as of September of the reporting year.</t>
  </si>
  <si>
    <t>P2.61</t>
  </si>
  <si>
    <t>250mm</t>
  </si>
  <si>
    <t>Number of 250mm meters, at measured supply points consuming up to and including 100Ml/annum, as of September of the reporting year.</t>
  </si>
  <si>
    <t>P2.62</t>
  </si>
  <si>
    <t>300mm</t>
  </si>
  <si>
    <t>Number of 300mm meters, at measured supply points consuming up to and including 100Ml/annum, as of September of the reporting year.</t>
  </si>
  <si>
    <t>P2.63</t>
  </si>
  <si>
    <t>Total number of meters at measured supply points consuming up to and including 100Ml/annum as of September of the reporting year</t>
  </si>
  <si>
    <t>P2.63B</t>
  </si>
  <si>
    <t>Number of meters at measured supply points related to gap sites</t>
  </si>
  <si>
    <t>Memo line: number of meters at measured supply points related to gap sites. Included in the total above (Line P2.63).</t>
  </si>
  <si>
    <t>P2.63C</t>
  </si>
  <si>
    <t>Number of meters at measured supply points related to vacant properties</t>
  </si>
  <si>
    <t>Memo line: number of meters at measured supply points related to vacant properties. Included in the total above (Line P2.63).</t>
  </si>
  <si>
    <t>P2.63D</t>
  </si>
  <si>
    <t>Number of meters at measured supply points related to vacant gap sites</t>
  </si>
  <si>
    <t>Memo line: number of meters at measured supply points related to vacant gap sites. Included in the total above (Line P2.63).</t>
  </si>
  <si>
    <t>P2.63E</t>
  </si>
  <si>
    <t>Total volume at measured supply points related to gap sites</t>
  </si>
  <si>
    <t>P2.63F</t>
  </si>
  <si>
    <t>Total volume at measured supply points related to vacant gap sites</t>
  </si>
  <si>
    <t>P2.63G</t>
  </si>
  <si>
    <t>Tariff multipliers: licensed provider: capacity volume</t>
  </si>
  <si>
    <t>P2.64</t>
  </si>
  <si>
    <t>20mm (non-former LUVA)</t>
  </si>
  <si>
    <t>Standard consumption of between 20m³ and (up to and including) 100m³ for 20mm meters, excluding 20mm meters at supply points formerly in receipt of LUVA rates.
This forms the standard consumption through 20mm meters, which attracts an additional premium due to phasing changes.</t>
  </si>
  <si>
    <t>P2.65</t>
  </si>
  <si>
    <t>Consumption between 20m³ and (up to and including) the capacity volume threshold during the report year at measured supply points consuming up to and including 100Ml/annum, with all other meter sizes excluding 20mm meters.
This forms the capacity volume through all other meter sizes, which attracts an additional charge.</t>
  </si>
  <si>
    <t>P2.66</t>
  </si>
  <si>
    <t>Consumption between 20m³ and (up to and including) the capacity volume threshold during report year at measured supply points consuming up to and including 100Ml/annum, for each assessed meter size.</t>
  </si>
  <si>
    <t>Tariff multipliers: licensed provider: standard volumes</t>
  </si>
  <si>
    <t>P2.67</t>
  </si>
  <si>
    <t>20mm meters (non-former LUVA): volume between 20m3 and up to and including 100m3</t>
  </si>
  <si>
    <t>P2.68</t>
  </si>
  <si>
    <t>20mm meters (non-former LUVA): volume greater than 100m3</t>
  </si>
  <si>
    <t>Standard consumption of greater than 100m³ for 20mm meters, excluding supply points formerly in receipt of LUVA rates.
This forms the standard consumption through 20mm meters, which does not attract an additional premium due to phasing changes.</t>
  </si>
  <si>
    <t>P2.69</t>
  </si>
  <si>
    <t>&gt; 20mm meters (non-former LUVA): volume between 20m3  and (up to and including) 250,000m3</t>
  </si>
  <si>
    <t>Standard consumption of greater than 20m³ and (up to and including) 250,000m³ for all meters of greater than 20mm, excluding supply points formerly in receipt of LUVA rates.
This forms the standard consumption through meters greater than 20mm meters in the 20-250,000m³ consumption band, excluding supply points formerly in receipt of LUVA rates.
This line should be completed only with consumption up to 100,000m³.</t>
  </si>
  <si>
    <t>P2.70</t>
  </si>
  <si>
    <t>&gt; 20mm meters (non-former LUVA): volume between 250,000m3  and (up to and including) 1,000,000m3</t>
  </si>
  <si>
    <t>Standard consumption of greater than 250,000m³ and (up to and including) 1,000,000m³ for all meters of greater than 20mm, excluding supply points formerly in receipt of LUVA rates.
This forms the standard consumption through meters greater than 20mm meters in the 250,000-1,000,000m³ consumption band, excluding supply points formerly in receipt of LUVA rates.
This line is not compatible with the consumption qualifier and so should be zero in this table.</t>
  </si>
  <si>
    <t>P2.71</t>
  </si>
  <si>
    <t>&gt; 20mm meters (non-former LUVA): volume greater than 1,000,000m3</t>
  </si>
  <si>
    <t xml:space="preserve">Standard consumption of greater than 1,000,000m³ for all meters of greater than 20mm, excluding supply points formerly in receipt of LUVA rates.
This forms the standard consumption through meters greater than 20mm meters in the greater than 1,000,000m³ consumption band, excluding supply points formerly in receipt of LUVA rates.
</t>
  </si>
  <si>
    <t>P2.72</t>
  </si>
  <si>
    <t>20mm meters (former LUVA): volume between 20m3 and up to and including 100m3</t>
  </si>
  <si>
    <t>Standard consumption of between 20m³ and (up to and including) 100m³ for 20mm meters at supply points formerly in receipt of LUVA rates.
This forms the capacity volume through 20mm meters, which does not attract a premium charge due to being at a supply point formerly in receipt of LUVA rates.
This line is not compatible with the consumption qualifier and so should be zero in this table.</t>
  </si>
  <si>
    <t>P2.73</t>
  </si>
  <si>
    <t>20mm meters (former LUVA): volume greater than 100m3</t>
  </si>
  <si>
    <t>Standard consumption of greater than 100m³ for 20mm meters at supply points formerly in receipt of LUVA rates.
This forms the standard consumption through 20mm meters, which does not attract an additional premium due to phasing changes.</t>
  </si>
  <si>
    <t>P2.74</t>
  </si>
  <si>
    <t>&gt; 20mm meters (former LUVA): volume between 20m3  and (up to and including) 100,000m3</t>
  </si>
  <si>
    <t>Standard consumption of greater than 20m³ and (up to and including) 100,000m³ for all meters of greater than 20mm at supply points formerly in receipt of LUVA rates.
This forms the standard consumption through meters greater than 20mm in the 20-250,000m³ consumption band, which does not attract a discount or premium, at supply points formerly in receipt of LUVA rates.
This line is not compatible with the consumption qualifier and so should be zero in this table.</t>
  </si>
  <si>
    <t>P2.75</t>
  </si>
  <si>
    <t>&gt; 20mm meters (former LUVA): volume between 100,000m3  and (up to and including) 250,000m3</t>
  </si>
  <si>
    <t>Standard consumption of greater than 100,000m³ and (up to and including) 250,000m³ for all meters of greater than 20mm at supply points formerly in receipt of LUVA rates.
This forms the standard consumption through meters greater than 20mm in the 20-250,000m³ consumption band, which attracts a phasing discount, at supply points formerly in receipt of LUVA rates.</t>
  </si>
  <si>
    <t>P2.76</t>
  </si>
  <si>
    <t>&gt; 20mm meters (former LUVA): volume between 250,000m3  and (up to and including) 1,000,000m3</t>
  </si>
  <si>
    <t>Standard consumption of greater than 250,000m³ and (up to and including) 1,000,000m³ for all meters of greater than 20mm at supply points formerly in receipt of LUVA rates.
This forms the standard consumption through meters greater than 20mm in the 250,000-1,000,000m³ consumption band, which attracts a phasing discount, at supply points formerly in receipt of LUVA rates.
This line is not compatible with the consumption qualifier and so should be zero in this table.</t>
  </si>
  <si>
    <t>P2.77</t>
  </si>
  <si>
    <t>&gt; 20mm meters (former LUVA): volume greater than 1,000,000m3</t>
  </si>
  <si>
    <t>Standard consumption of greater than 1,000,000m³ for all meters of greater than 20mm at supply points formerly in receipt of LUVA rates.
This forms the standard consumption through meters greater than 20mm in the 1,000,000m³ consumption band, which attracts a phasing discount, at supply points formerly in receipt of LUVA rates.</t>
  </si>
  <si>
    <t>P2.78</t>
  </si>
  <si>
    <t>Total standard consumption greater than 20m³ in the report year for all meter sizes</t>
  </si>
  <si>
    <t>P2.79</t>
  </si>
  <si>
    <t>P2.80</t>
  </si>
  <si>
    <t>P2.81</t>
  </si>
  <si>
    <t>Meter based annual charge for 40mm meters in report year</t>
  </si>
  <si>
    <t>P2.82</t>
  </si>
  <si>
    <t>P2.83</t>
  </si>
  <si>
    <t>P2.84</t>
  </si>
  <si>
    <t>Meter based annual charge for 100mm meters in report year.</t>
  </si>
  <si>
    <t>P2.85</t>
  </si>
  <si>
    <t>Meter based annual charge for 150mm meters in report year.</t>
  </si>
  <si>
    <t>P2.86</t>
  </si>
  <si>
    <t>Meter based annual charge for 200mm meters in report year.</t>
  </si>
  <si>
    <t>P2.87</t>
  </si>
  <si>
    <t>Meter based annual charge for 250mm meters in report year.</t>
  </si>
  <si>
    <t>P2.88</t>
  </si>
  <si>
    <t>Meter based annual charge for 300mm meters in report year.</t>
  </si>
  <si>
    <t>P2.89</t>
  </si>
  <si>
    <t>20mm (non-former LUVA) premium capacity volume charge</t>
  </si>
  <si>
    <t>Capacity volume charge for 20mm meters for the report year.
The capacity volume charge for 20mm meters should include any premium associated with the phased changes of charges. This charge does not apply to supply points with 20mm meters formerly in receipt of LUVA rates.</t>
  </si>
  <si>
    <t>P2.90</t>
  </si>
  <si>
    <t>The capacity volume charge for the report year. This is the capacity volume charge for all meters other than 20mm meter (except where this is at a supply point formerly in receipt of LUVA rates) and should not attract a premium or discount in the year due to phasing.</t>
  </si>
  <si>
    <t>Tariffs: standard volume charge</t>
  </si>
  <si>
    <t>P2.91</t>
  </si>
  <si>
    <t>Standard volume charge for consumption between 20m³ and (up to and including) 100m³ through 20mm meters for the report year.
The standard volume charge for 20mm meters should include any premium associated with the phased changes of charges for consumption between 20m³ and (up to and including) 100m³. This charge does not apply to supply points with 20mm meters formerly in receipt of LUVA rates.</t>
  </si>
  <si>
    <t>P2.92</t>
  </si>
  <si>
    <t>Standard volume charge for consumption of greater than 100m³ through 20mm meters for the report year. The standard volume charge for 20mm meters should not include any premium or discount associated with the phased changes of charges for consumption of greater than 100m³.</t>
  </si>
  <si>
    <t>P2.93</t>
  </si>
  <si>
    <t>Standard volume charge for meters greater than 20mm for consumption between 20m³ and (up to and including) 250,000m³ in the report year.
This charge does not apply to supply points formerly in receipt of LUVA rates.</t>
  </si>
  <si>
    <t>P2.94</t>
  </si>
  <si>
    <t>Standard volume charge for meters greater than 20mm for consumption between 250,000m³ and (up to and including) 1,000,000m³ in the report year. This charge does not apply to supply points formerly in receipt of LUVA rates.</t>
  </si>
  <si>
    <t>P2.95</t>
  </si>
  <si>
    <t>Standard volume charge for meters greater than 20mm for consumption greater than 1,000,000m³ in the report year.
This charge does not apply to supply points formerly in receipt of LUVA rates.</t>
  </si>
  <si>
    <t>P2.96</t>
  </si>
  <si>
    <t>Standard volume charge for consumption between 20m³ and (up to and including) 100m³ through 20mm meters, at supply points formerly in receipt of LUVA rates, for the report year.
The standard volume charge for 20mm meters should not include any premium associated with the phased changes of charges for consumption between 20m³ and (up to and including) 100m³.</t>
  </si>
  <si>
    <t>P2.97</t>
  </si>
  <si>
    <t>Standard volume charge for consumption of greater than 100m³ through 20mm meters, at sites formerly in receipt of LUVA rates, for the report year.
The charge should include any discount or premium applied to the tariffs associated with phasing.</t>
  </si>
  <si>
    <t>P2.98</t>
  </si>
  <si>
    <t>Standard volume charge for meters greater than 20mm, at sites formerly in receipt of LUVA rates, for consumption between 20m³ and (up to and including) 100,000m³ in the report year. The charge should include any discount or premium applied to the tariffs associated with phasing.</t>
  </si>
  <si>
    <t>P2.99</t>
  </si>
  <si>
    <t>Standard volume charge for meters greater than 20mm, at sites formerly in receipt of LUVA rates, for consumption between 100,000m³ and (up to and including) 250,000m³ in the report year. The charge should include any discount or premium applied to the tariffs associated with phasing.</t>
  </si>
  <si>
    <t>P2.100</t>
  </si>
  <si>
    <t>Standard volume charge for meters greater than 20mm, at sites formerly in receipt of LUVA rates, for consumption between 250,000m³ and (up to and including) 1,000,000m³ in the report year. The charge should include any discount or premium applied to the tariffs associated with phasing.</t>
  </si>
  <si>
    <t>P2.101</t>
  </si>
  <si>
    <t>Standard volume charge for meters greater than 20mm, at sites formerly in receipt of LUVA rates, for consumption greater than 1,000,000m³ in the report year.
The charge should include any discount or premium applied to the tariffs associated with phasing.</t>
  </si>
  <si>
    <t>Schedule 3 agreements</t>
  </si>
  <si>
    <t>P2.102</t>
  </si>
  <si>
    <t>Water volumes from schedule 3 agreements</t>
  </si>
  <si>
    <t>Sum of all consumption subject to schedule 3 agreements</t>
  </si>
  <si>
    <t>P2.103</t>
  </si>
  <si>
    <t>Water revenue from schedule 3 agreements</t>
  </si>
  <si>
    <t>Total revenue from water services for customers subject to schedule 3 agreements</t>
  </si>
  <si>
    <t>P2.104</t>
  </si>
  <si>
    <t>Revenue from meter based annual charges in the report year</t>
  </si>
  <si>
    <t>P2.105</t>
  </si>
  <si>
    <t>Revenue from meter capacity volume charges in the report year</t>
  </si>
  <si>
    <t>P2.106</t>
  </si>
  <si>
    <t>Revenue from standard volume charges in the report year</t>
  </si>
  <si>
    <t>P2.107</t>
  </si>
  <si>
    <t>Revenue from schedule 3 agreements</t>
  </si>
  <si>
    <t>P2.108</t>
  </si>
  <si>
    <t>Revenue from gap sites and vacant properties (water volumetric)</t>
  </si>
  <si>
    <t>P2.109</t>
  </si>
  <si>
    <t xml:space="preserve">Total revenue from water volumetric charges related to gap sites </t>
  </si>
  <si>
    <t xml:space="preserve">Water volumetric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</si>
  <si>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P2.110</t>
  </si>
  <si>
    <t xml:space="preserve">Percentage of total revenue from water volumetric charges related to gap sites </t>
  </si>
  <si>
    <t>Percentage of the water volumetric revenue from sites that were originally identified through the GAP sites scheme. This should include revenue from SPIDs that were identified through the GAP sites scheme in prior years and align with the classification on the CMA systems.</t>
  </si>
  <si>
    <t>P2.111</t>
  </si>
  <si>
    <t>Total revenue from water volumetric charges related to vacant properties</t>
  </si>
  <si>
    <t xml:space="preserve">Water volumetric revenue from vacant premises. This should align with the classification on the CMA systems. This should exclude gap site SPIDs that are now charged as vacant. </t>
  </si>
  <si>
    <t>P2.112</t>
  </si>
  <si>
    <t>Percentage of total revenue from water volumetric charges related to vacant properties</t>
  </si>
  <si>
    <t>Percentage of the water volumetric revenue from vacant premises. This should align with the classification on the CMA systems</t>
  </si>
  <si>
    <t>P2.112B</t>
  </si>
  <si>
    <t>P2.112C</t>
  </si>
  <si>
    <t>Foul sewerage assessed charges</t>
  </si>
  <si>
    <t>Tariff multipliers: licensed provider: assessed tariff meters</t>
  </si>
  <si>
    <t>P2.113</t>
  </si>
  <si>
    <t>P2.114</t>
  </si>
  <si>
    <t>P2.115</t>
  </si>
  <si>
    <t>P2.116</t>
  </si>
  <si>
    <t>P2.117</t>
  </si>
  <si>
    <t>P2.118</t>
  </si>
  <si>
    <t>Total number of assessed meters at formerly unmeasured supply points as of September of the report year</t>
  </si>
  <si>
    <t>P2.118B</t>
  </si>
  <si>
    <t>Memo line: number of assessed meters related to gap sites. Included in the total above (Line P2.118).</t>
  </si>
  <si>
    <t>P2.118C</t>
  </si>
  <si>
    <t>Memo line: number of assessed meters related to vacant properties.  Included in the total above (Line P2.118).</t>
  </si>
  <si>
    <t>P2.118D</t>
  </si>
  <si>
    <t>Memo line: number of assessed meters related to vacant gap sites.  Included in the total above (Line P2.118).</t>
  </si>
  <si>
    <t>P2.118E</t>
  </si>
  <si>
    <t>P2.118F</t>
  </si>
  <si>
    <t>P2.118G</t>
  </si>
  <si>
    <t>Volumes</t>
  </si>
  <si>
    <t>P2.119</t>
  </si>
  <si>
    <t>Assessed capacity volumes</t>
  </si>
  <si>
    <t>Assessed discharge (using RV-conversion formula) between 20m³ and (up to and including) the capacity volume threshold during report year at formerly unmeasured supply points, for each assessed meter size.</t>
  </si>
  <si>
    <t>P2.120</t>
  </si>
  <si>
    <t>Assessed standard volumes</t>
  </si>
  <si>
    <t>Sum of all assessed discharges (using RV-conversion formula) of greater than 20m³ at all formerly unmeasured supply points.</t>
  </si>
  <si>
    <t>P2.121</t>
  </si>
  <si>
    <t>P2.122</t>
  </si>
  <si>
    <t>P2.123</t>
  </si>
  <si>
    <t>P2.124</t>
  </si>
  <si>
    <t>P2.125</t>
  </si>
  <si>
    <t>Other tariffs</t>
  </si>
  <si>
    <t>P2.126</t>
  </si>
  <si>
    <t>Foul sewerage capacity volume charge for the report year.</t>
  </si>
  <si>
    <t>P2.127</t>
  </si>
  <si>
    <t>Standard volume charge</t>
  </si>
  <si>
    <t>Foul sewerage standard volume charge for the report year.</t>
  </si>
  <si>
    <t>P2.128</t>
  </si>
  <si>
    <t>P2.129</t>
  </si>
  <si>
    <t>The negative wholesale charge for supply points with exemption status.</t>
  </si>
  <si>
    <t>P2.130</t>
  </si>
  <si>
    <t>Revenue from assessed meter based annual charges in the report year. The revenue should be adjusted to take account of the phasing programme from assessed to actual measured charges.</t>
  </si>
  <si>
    <t>P2.131</t>
  </si>
  <si>
    <t>Revenue from assessed meter capacity volume charges in the report year. The revenue should be adjusted to take account of the phasing programme from assessed to actual measured charges.</t>
  </si>
  <si>
    <t>P2.132</t>
  </si>
  <si>
    <t>Revenue from assessed standard volume charges in the report year. The revenue should be adjusted to take account of the phasing programme from assessed to actual measured charges.</t>
  </si>
  <si>
    <t>P2.133</t>
  </si>
  <si>
    <t>P2.134</t>
  </si>
  <si>
    <t>Revenue from gap sites and vacant properties (foul sewerage assessed)</t>
  </si>
  <si>
    <t>P2.135</t>
  </si>
  <si>
    <t xml:space="preserve">Total revenue from foul sewerage assessed charges related to gap sites </t>
  </si>
  <si>
    <t xml:space="preserve">Foul Sewerage assessed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</si>
  <si>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P2.136</t>
  </si>
  <si>
    <t xml:space="preserve">Percentage of total revenue from foul sewerage assessed charges related to gap sites </t>
  </si>
  <si>
    <t>Percentage of the Foul Sewerage assessed revenue from sites that were originally identified through the GAP sites scheme. This should include revenue from SPIDs that were identified through the GAP sites scheme in prior years and align with the classification on the CMA systems.</t>
  </si>
  <si>
    <t>P2.137</t>
  </si>
  <si>
    <t>Total revenue from foul sewerage assessed charges related to vacant properties</t>
  </si>
  <si>
    <t xml:space="preserve">Foul Sewerage assessed revenue from vacant premises. This should align with the classification on the CMA systems. This should exclude gap site SPIDs that are now charged as vacant. </t>
  </si>
  <si>
    <t>P2.138</t>
  </si>
  <si>
    <t>Percentage of total revenue from foul sewerage assessed charges related to vacant properties</t>
  </si>
  <si>
    <t>Foul Sewerage assessed of the water volumetric revenue from vacant premises. This should align with the classification on the CMA systems</t>
  </si>
  <si>
    <t>P2.138B</t>
  </si>
  <si>
    <t>P2.138C</t>
  </si>
  <si>
    <t>Foul sewerage measured charges</t>
  </si>
  <si>
    <t>P2.139</t>
  </si>
  <si>
    <t>Number of 20mm meters, at measured supply points, as of September of the reporting year.</t>
  </si>
  <si>
    <t>P2.140</t>
  </si>
  <si>
    <t>Number of 25mm meters, at measured supply points, as of September of the reporting year.</t>
  </si>
  <si>
    <t>P2.141</t>
  </si>
  <si>
    <t>Number of 40mm meters, at measured supply points, as of September of the reporting year</t>
  </si>
  <si>
    <t>P2.142</t>
  </si>
  <si>
    <t>Number of 50mm meters, at measured supply points, as of September of the reporting year.</t>
  </si>
  <si>
    <t>P2.143</t>
  </si>
  <si>
    <t>Number of 80mm meters, at measured supply points, as of September of the reporting year.</t>
  </si>
  <si>
    <t>P2.144</t>
  </si>
  <si>
    <t>Number of 100mm meters, at measured supply points, as of September of the reporting year.</t>
  </si>
  <si>
    <t>P2.145</t>
  </si>
  <si>
    <t>Number of 150mm meters, at measured supply points, as of September of the reporting year.</t>
  </si>
  <si>
    <t>P2.146</t>
  </si>
  <si>
    <t>Total number of meters at measured supply points as of September of the report year</t>
  </si>
  <si>
    <t>P2.146B</t>
  </si>
  <si>
    <t>Memo line: number of meters at measured supply points related to gap sites. Included in the total above (Line P2.146)</t>
  </si>
  <si>
    <t>P2.146C</t>
  </si>
  <si>
    <t>Memo line: number of meters at measured supply points related to vacant properties.  Included in the total above (Line P2.146).</t>
  </si>
  <si>
    <t>P2.146D</t>
  </si>
  <si>
    <t>Memo line: number of meters at measured supply points related to vacant gap sites.  Included in the total above (Line P2.146).</t>
  </si>
  <si>
    <t>P2.146E</t>
  </si>
  <si>
    <t>P2.146F</t>
  </si>
  <si>
    <t>P2.146G</t>
  </si>
  <si>
    <t>P2.147</t>
  </si>
  <si>
    <t>Total capacity volumes</t>
  </si>
  <si>
    <t>Discharge between 20m³ and (up to and including) the capacity volume threshold during report year at measured supply points, for each meter size.</t>
  </si>
  <si>
    <t>P2.148</t>
  </si>
  <si>
    <t>Sum of all discharges of greater than 20m³ at all measured supply points</t>
  </si>
  <si>
    <t>Tariffs: fixed charges</t>
  </si>
  <si>
    <t>P2.149</t>
  </si>
  <si>
    <t>Meter based annual charge for 20mm meters in report year</t>
  </si>
  <si>
    <t>P2.150</t>
  </si>
  <si>
    <t>Meter based annual charge for 25mm meters in report year</t>
  </si>
  <si>
    <t>P2.151</t>
  </si>
  <si>
    <t>P2.152</t>
  </si>
  <si>
    <t>P2.153</t>
  </si>
  <si>
    <t>Meter based annual charge for 80mm meters in report year</t>
  </si>
  <si>
    <t>P2.154</t>
  </si>
  <si>
    <t>Meter based annual charge for 100mm meters in report year</t>
  </si>
  <si>
    <t>P2.155</t>
  </si>
  <si>
    <t>P2.156</t>
  </si>
  <si>
    <t>P2.157</t>
  </si>
  <si>
    <t>P2.158</t>
  </si>
  <si>
    <t>Foul sewage volumes from schedule 3 agreements</t>
  </si>
  <si>
    <t>Sum of all discharges subject to schedule 3 agreements</t>
  </si>
  <si>
    <t>P2.159</t>
  </si>
  <si>
    <t>Foul sewage revenue from schedule 3 agreements</t>
  </si>
  <si>
    <t>Total revenue from foul sewerage for customers subject to schedule 3 agreements</t>
  </si>
  <si>
    <t>P2.160</t>
  </si>
  <si>
    <t>Revenue from fixed charges</t>
  </si>
  <si>
    <t>P2.162</t>
  </si>
  <si>
    <t>P2.163</t>
  </si>
  <si>
    <t>P2.164</t>
  </si>
  <si>
    <t>P2.165</t>
  </si>
  <si>
    <t>Revenue from gap sites and vacant properties (foul sewerage measured)</t>
  </si>
  <si>
    <t>P2.166</t>
  </si>
  <si>
    <t xml:space="preserve">Total revenue from foul sewerage measured charges related to gap sites </t>
  </si>
  <si>
    <t xml:space="preserve">Foul sewerage measured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</si>
  <si>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P2.167</t>
  </si>
  <si>
    <t xml:space="preserve">Percentage of total revenue from foul sewerage measured charges related to gap sites </t>
  </si>
  <si>
    <t>Percentage of the foul sewerage measured revenue from sites that were originally identified through the GAP sites scheme. This should include revenue from SPIDs that were identified through the GAP sites scheme in prior years and align with the classification on the CMA systems.</t>
  </si>
  <si>
    <t>P2.168</t>
  </si>
  <si>
    <t>Total revenue from foul sewerage measured charges related to vacant properties</t>
  </si>
  <si>
    <t xml:space="preserve">Foul sewerage measured revenue from vacant premises. This should align with the classification on the CMA systems. This should exclude gap site SPIDs that are now charged as vacant. </t>
  </si>
  <si>
    <t>P2.169</t>
  </si>
  <si>
    <t>Percentage of total revenue from foul sewerage measured charges related to vacant properties</t>
  </si>
  <si>
    <t>Percentage of the foul sewerage measured revenue from vacant premises. This should align with the classification on the CMA systems</t>
  </si>
  <si>
    <t>P2.169B</t>
  </si>
  <si>
    <t>P2.169C</t>
  </si>
  <si>
    <t xml:space="preserve">Surface water drainage </t>
  </si>
  <si>
    <t>Tariff multipliers</t>
  </si>
  <si>
    <t>P2.170</t>
  </si>
  <si>
    <t>RV for property drainage</t>
  </si>
  <si>
    <t>Gross RV for supply points charged in accordance with the charges scheme - property drainage</t>
  </si>
  <si>
    <t>P2.171</t>
  </si>
  <si>
    <t>RV for roads drainage</t>
  </si>
  <si>
    <t>Gross RV for supply points charged in accordance with the charges scheme - roads drainage.</t>
  </si>
  <si>
    <t>P2.172</t>
  </si>
  <si>
    <t>Area of supply points charged an area based tariff</t>
  </si>
  <si>
    <t>Gross area of supply points charged in accordance with the charges scheme</t>
  </si>
  <si>
    <t>P2.172B</t>
  </si>
  <si>
    <t>RV for property drainage related to gap sites</t>
  </si>
  <si>
    <t>Memo line: Gross RV for supply points charged for property drainage related to gap sites. Included in the total above (Line P2.170)</t>
  </si>
  <si>
    <t>P2.172C</t>
  </si>
  <si>
    <t>RV for property drainage related to vacant properties</t>
  </si>
  <si>
    <t>Memo line: Gross RV for supply points charged for property drainage related to vacant properties.  Included in the total above (Line P2.170).</t>
  </si>
  <si>
    <t>P2.172D</t>
  </si>
  <si>
    <t>RV for property drainage related to vacant gap sites</t>
  </si>
  <si>
    <t>Memo line: Gross RV for supply points charged for property drainage related to vacant gap sites.  Included in the total above (Line P2.170).</t>
  </si>
  <si>
    <t>P2.173B</t>
  </si>
  <si>
    <t>RV for roads drainage related to gap sites</t>
  </si>
  <si>
    <t>Memo line: Gross RV for supply points charged for roads drainage related to gap sites. Included in the total above (Line P2.171).</t>
  </si>
  <si>
    <t>P2.173C</t>
  </si>
  <si>
    <t>RV for roads drainage related to vacant properties</t>
  </si>
  <si>
    <t>Memo line: Gross RV for supply points charged for roads drainage related to vacant properties.  Included in the total above (Line P2.171).</t>
  </si>
  <si>
    <t>P2.173D</t>
  </si>
  <si>
    <t>RV for roads drainage related to vacant gap sites</t>
  </si>
  <si>
    <t>Memo line: Gross RV for supply points charged for roads drainage related to vacant gap sites.  Included in the total above (Line P2.171).</t>
  </si>
  <si>
    <t>P2.174B</t>
  </si>
  <si>
    <t>Area of supply points charged an area based tariff related to gap sites</t>
  </si>
  <si>
    <t>Memo line: Gross area of supply points charged an area based tariff related to gap sites. Included in the total above (Line P2.172).</t>
  </si>
  <si>
    <t>P2.174C</t>
  </si>
  <si>
    <t>Area of supply points charged an area based tariff related to vacant properties</t>
  </si>
  <si>
    <t>Memo line: Gross area of supply points charged an area based tariff related to vacant properties. Included in the total above (Line P2.172).</t>
  </si>
  <si>
    <t>P2.174D</t>
  </si>
  <si>
    <t>Area of supply points charged an area based tariff related to vacant gap sites</t>
  </si>
  <si>
    <t>Memo line: Gross area of supply points charged an area based tariff related to related to vacant gap sites.  Included in the total above (Line P2.172).</t>
  </si>
  <si>
    <t>Tariffs</t>
  </si>
  <si>
    <t>P2.175</t>
  </si>
  <si>
    <t xml:space="preserve">Charge per £ of RV - property drainage </t>
  </si>
  <si>
    <t>Charge per £ of RV for property drainage.</t>
  </si>
  <si>
    <t>P2.176</t>
  </si>
  <si>
    <t xml:space="preserve">Charge per £ of RV -  roads drainage </t>
  </si>
  <si>
    <t>Charge per £ of RV for roads drainage.</t>
  </si>
  <si>
    <t>P2.177</t>
  </si>
  <si>
    <t>Standard area-based tariff</t>
  </si>
  <si>
    <t>Tariff for area-based charges.</t>
  </si>
  <si>
    <t>P2.178</t>
  </si>
  <si>
    <t>Revenue from property drainage</t>
  </si>
  <si>
    <t>Revenue from property drainage for RV charges.</t>
  </si>
  <si>
    <t>P2.179</t>
  </si>
  <si>
    <t>Revenue from roads drainage</t>
  </si>
  <si>
    <t>Revenue from roads drainage for RV charges.</t>
  </si>
  <si>
    <t>P2.180</t>
  </si>
  <si>
    <t>Revenue from area charge</t>
  </si>
  <si>
    <t>Revenue from property drainage for area-based charges.</t>
  </si>
  <si>
    <t>P2.181</t>
  </si>
  <si>
    <t>Memo lines: revenue from gap sites and vacant properties (surface water drainage)</t>
  </si>
  <si>
    <t>P2.182</t>
  </si>
  <si>
    <t xml:space="preserve">Total revenue from surface water drainage related to gap sites </t>
  </si>
  <si>
    <t xml:space="preserve">Surface water drainage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</si>
  <si>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P2.183</t>
  </si>
  <si>
    <t xml:space="preserve">Percentage of total revenue from surface water drainage related to gap sites </t>
  </si>
  <si>
    <t>Percentage of the surface water drainage revenue from sites that were originally identified through the GAP sites scheme. This should include revenue from SPIDs that were identified through the GAP sites scheme in prior years and align with the classification on the CMA systems.</t>
  </si>
  <si>
    <t>P2.184</t>
  </si>
  <si>
    <t>Total revenue from surface water drainage related to vacant properties</t>
  </si>
  <si>
    <t xml:space="preserve">Surface water drainage revenue from vacant premises. This should align with the classification on the CMA systems. This should exclude gap site SPIDs that are now charged as vacant. </t>
  </si>
  <si>
    <t>P2.185</t>
  </si>
  <si>
    <t>Percentage of total revenue from surface water drainage related to vacant properties</t>
  </si>
  <si>
    <t>Percentage of the surface water drainage revenue from vacant premises. This should align with the classification on the CMA systems</t>
  </si>
  <si>
    <t>P2.185B</t>
  </si>
  <si>
    <t>P2.185C</t>
  </si>
  <si>
    <t>Trade effluent</t>
  </si>
  <si>
    <t>Tariff multipliers: availability charging parameters</t>
  </si>
  <si>
    <t>P2.186</t>
  </si>
  <si>
    <t>Chargeable daily volume</t>
  </si>
  <si>
    <t>Volume of trade effluent liable for availability charge for R, V, B and S.</t>
  </si>
  <si>
    <t>P2.187</t>
  </si>
  <si>
    <t>Settled biological oxygen demand (sBODl)</t>
  </si>
  <si>
    <t>Total settled BOD load of trade effluent chargeable at charges scheme rate. Include discharge points whose water supplies are from sources other than SW.</t>
  </si>
  <si>
    <t>P2.188</t>
  </si>
  <si>
    <t>Suspended solids (TSSl)</t>
  </si>
  <si>
    <t>Average availability charge per kg of the SS of trade effluent receiving secondary treatment (or better). Include discharge points whose water supplies are from sources other than SW.</t>
  </si>
  <si>
    <t>Tariff multipliers: annual volumes and strength adjusted volumes</t>
  </si>
  <si>
    <t>P2.189</t>
  </si>
  <si>
    <t>Actual volume discharged (AVD) - site discharge</t>
  </si>
  <si>
    <t>Volume of trade effluent discharges subject to charges for R and V at the charges scheme rates. Include discharge points whose water supplies are from sources other than SW.</t>
  </si>
  <si>
    <t>P2.190</t>
  </si>
  <si>
    <t>Strength adjusted volume for settled COD - site strength adjusted volume</t>
  </si>
  <si>
    <t>Annual volume of trade effluent charged at the charges scheme rate that is receiving secondary treatment (or better) adjusted for relative strength compared to SW average (Ot/Os) (Sum of AVD x Ot/Os for all dischargers).</t>
  </si>
  <si>
    <t>P2.191</t>
  </si>
  <si>
    <t>Strength adjusted volume for suspended solids</t>
  </si>
  <si>
    <t>Annual volume of trade effluent charged at charges scheme rates for sludge treatment adjusted for relative strength compared to SW average St/Ss. (Sum of AVD x St/Ss for all dischargers). Include discharge points whose water supplies are from sources other than SW.</t>
  </si>
  <si>
    <t>Tariffs: availability charge - fixed</t>
  </si>
  <si>
    <t>P2.192</t>
  </si>
  <si>
    <t>Reception charge (Ra)</t>
  </si>
  <si>
    <t>Annual reception capacity charge for service availability for dischargers at properties charged in accordance with the charges scheme rates.</t>
  </si>
  <si>
    <t>P2.193</t>
  </si>
  <si>
    <t>Volumetric/primary charge (Va)</t>
  </si>
  <si>
    <t>Annual volumetric capacity charge for service availability for dischargers at properties charged in accordance with the charges scheme rates.</t>
  </si>
  <si>
    <t>P2.194</t>
  </si>
  <si>
    <t>Biological capacity charge (Ba)</t>
  </si>
  <si>
    <t>Annual biological capacity charge for service availability for dischargers at properties charged in accordance with the charges scheme rates.</t>
  </si>
  <si>
    <t>P2.195</t>
  </si>
  <si>
    <t>Sludge capacity charge (Sa)</t>
  </si>
  <si>
    <t>Tariffs: operating charge - variable</t>
  </si>
  <si>
    <t>P2.196</t>
  </si>
  <si>
    <t>Reception charge (Ro)</t>
  </si>
  <si>
    <t>Annual operating charge for reception (Ro) for dischargers at properties charged in accordance with the charges scheme rates.</t>
  </si>
  <si>
    <t>P2.197</t>
  </si>
  <si>
    <t>Volumetric/primary charge (Vo)</t>
  </si>
  <si>
    <t>Annual volumetric operating charge (Vo) for dischargers at properties charged in accordance with the charges scheme rates.</t>
  </si>
  <si>
    <t>P2.198</t>
  </si>
  <si>
    <t>Secondary treatment charge (Bo) (for Scottish average strength - sCOD)</t>
  </si>
  <si>
    <t>Annual operating charge for secondary treatment for dischargers at properties charged in accordance with the charges scheme rates for Scottish average strength sewage.</t>
  </si>
  <si>
    <t>P2.199</t>
  </si>
  <si>
    <t>Sludge treatment charge (So) (for Scottish average strength - SS)</t>
  </si>
  <si>
    <t>Annual operating charge for sludge treatment (So) for dischargers at properties charged in accordance with the charges scheme rates for Scottish average strength sewage.</t>
  </si>
  <si>
    <t>P2.200</t>
  </si>
  <si>
    <t>Trade effluent revenue from schedule 3 agreements</t>
  </si>
  <si>
    <t>Total revenue from trade effluent for customers subject to schedule 3 agreements</t>
  </si>
  <si>
    <t>P2.201</t>
  </si>
  <si>
    <t>Availability charge</t>
  </si>
  <si>
    <t>Revenue from availability charge (Ca) - discharge points charged in accordance with charges scheme rates.</t>
  </si>
  <si>
    <t>P2.202</t>
  </si>
  <si>
    <t>Operating charge</t>
  </si>
  <si>
    <t>Revenue from operating charge (Co) - discharge points charged in accordance with charges scheme rates.</t>
  </si>
  <si>
    <t>P2.203</t>
  </si>
  <si>
    <t>P2.204</t>
  </si>
  <si>
    <t>Memo lines: revenue from gap sites and vacant properties (trade effluent)</t>
  </si>
  <si>
    <t>P2.205</t>
  </si>
  <si>
    <t xml:space="preserve">Total revenue from trade effluent related to gap sites </t>
  </si>
  <si>
    <t xml:space="preserve">Trade effluent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</si>
  <si>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P2.206</t>
  </si>
  <si>
    <t xml:space="preserve">Percentage of total revenue from trade effluent related to gap sites </t>
  </si>
  <si>
    <t>Percentage of the trade effluent revenue from sites that were originally identified through the GAP sites scheme. This should include revenue from SPIDs that were identified through the GAP sites scheme in prior years and align with the classification on the CMA systems.</t>
  </si>
  <si>
    <t>P2.207</t>
  </si>
  <si>
    <t>Total revenue from trade effluent related to vacant properties</t>
  </si>
  <si>
    <t xml:space="preserve">Trade effluent revenue from vacant premises. This should align with the classification on the CMA systems. This should exclude gap site SPIDs that are now charged as vacant. </t>
  </si>
  <si>
    <t>P2.208</t>
  </si>
  <si>
    <t>Percentage of total revenue from trade effluent related to vacant properties</t>
  </si>
  <si>
    <t>Percentage of the trade effluent revenue from vacant premises. This should align with the classification on the CMA systems</t>
  </si>
  <si>
    <t>P2.208B</t>
  </si>
  <si>
    <t>P2.208C</t>
  </si>
  <si>
    <t>Field troughs and drinking bowls</t>
  </si>
  <si>
    <t>P2.209</t>
  </si>
  <si>
    <t>Number of farms</t>
  </si>
  <si>
    <t>Number of unmeasured field troughs and drinking bowls situated at supply points registered as farms as of September of the report year.</t>
  </si>
  <si>
    <t>P2.210</t>
  </si>
  <si>
    <t>Number of crofts and registered small holdings</t>
  </si>
  <si>
    <t>Number of unmeasured field troughs and drinking bowls situated at supply points registered as crofts or registered small holdings as of September of the report year.</t>
  </si>
  <si>
    <t>P2.211</t>
  </si>
  <si>
    <t>Farms</t>
  </si>
  <si>
    <t>Annual charge for unmeasured field troughs and drinking bowls situated at supply points registered as farms.</t>
  </si>
  <si>
    <t>P2.212</t>
  </si>
  <si>
    <t>Crofts and registered small holdings</t>
  </si>
  <si>
    <t>Annual charge for unmeasured field troughs and drinking bowls situated at supply points registered as crofts or registered small holdings.</t>
  </si>
  <si>
    <t>P2.213</t>
  </si>
  <si>
    <t>Revenue: farms</t>
  </si>
  <si>
    <t>Revenue from unmeasured field troughs and drinking bowls situated at supply points registered as farms.</t>
  </si>
  <si>
    <t>P2.214</t>
  </si>
  <si>
    <t>Revenue: crofts and registered small holdings</t>
  </si>
  <si>
    <t>Revenue from unmeasured field troughs and drinking bowls situated at supply points registered as crofts or registered small holdings.</t>
  </si>
  <si>
    <t>P2.215</t>
  </si>
  <si>
    <t>Memo lines: revenue from gap sites and vacant properties (field troughs and drinking bowls)</t>
  </si>
  <si>
    <t>P2.216</t>
  </si>
  <si>
    <t xml:space="preserve">Total revenue from field troughs and drinking bowls related to gap sites </t>
  </si>
  <si>
    <t xml:space="preserve">Field troughs and drinking bowls revenue from sites that were originally identified through the GAP sites scheme. This should include revenue from SPIDs that were identified through the GAP sites scheme in prior years and align with the classification on the CMA systems. This should exclude gap site SPIDs that are now charged as vacant. </t>
  </si>
  <si>
    <t>P2.217</t>
  </si>
  <si>
    <t xml:space="preserve">Percentage of total revenue from field troughs and drinking bowls related to gap sites </t>
  </si>
  <si>
    <t>Percentage of the field troughs and drinking bowls revenue from sites that were originally identified through the GAP sites scheme. This should include revenue from SPIDs that were identified through the GAP sites scheme in prior years and align with the classification on the CMA systems.</t>
  </si>
  <si>
    <t>P2.218</t>
  </si>
  <si>
    <t>Total revenue from field troughs and drinking bowls related to vacant properties</t>
  </si>
  <si>
    <t xml:space="preserve">Field troughs and drinking bowls revenue from vacant premises. This should align with the classification on the CMA systems. This should exclude gap site SPIDs that are now charged as vacant. </t>
  </si>
  <si>
    <t>P2.219</t>
  </si>
  <si>
    <t>Percentage of total revenue from field troughs and drinking bowls related to vacant properties</t>
  </si>
  <si>
    <t>Percentage of the field troughs and drinking bowls revenue from vacant premises. This should align with the classification on the CMA systems</t>
  </si>
  <si>
    <t>P2.219B</t>
  </si>
  <si>
    <t>P2.219C</t>
  </si>
  <si>
    <t>Date: 13/06/2025</t>
  </si>
  <si>
    <t>Table P2a: Workings for 2018/19 and 2019/20 to cater for transition period to Live RV for rateable value based charges</t>
  </si>
  <si>
    <t>2019-20 monthly</t>
  </si>
  <si>
    <t>2020-21 monthly</t>
  </si>
  <si>
    <t>2021-22 monthly</t>
  </si>
  <si>
    <t>2022-23 monthly</t>
  </si>
  <si>
    <t>2023-24 monthly</t>
  </si>
  <si>
    <t>P2a.1</t>
  </si>
  <si>
    <t>P2a.2</t>
  </si>
  <si>
    <t>P2a.3</t>
  </si>
  <si>
    <t>P2a.4</t>
  </si>
  <si>
    <t>P2a.5</t>
  </si>
  <si>
    <t>P2a.6</t>
  </si>
  <si>
    <t>P2a.7</t>
  </si>
  <si>
    <t>P2a.8</t>
  </si>
  <si>
    <t>P2a.9</t>
  </si>
  <si>
    <t>20 (unmeasurable) - no transitional phasing</t>
  </si>
  <si>
    <t>P2a.10</t>
  </si>
  <si>
    <t>20 (unmeasurable RV)</t>
  </si>
  <si>
    <t>P2a.11</t>
  </si>
  <si>
    <t>20 (unmeasurable LRV)</t>
  </si>
  <si>
    <t>P2a.12</t>
  </si>
  <si>
    <t>25 (unmeasurable) - no transitional phasing</t>
  </si>
  <si>
    <t>P2a.13</t>
  </si>
  <si>
    <t>25 (unmeasurable RV)</t>
  </si>
  <si>
    <t>P2a.14</t>
  </si>
  <si>
    <t>25 (unmeasurable LRV)</t>
  </si>
  <si>
    <t>P2a.15</t>
  </si>
  <si>
    <t>40 (unmeasurable) - no transitional phasing</t>
  </si>
  <si>
    <t>P2a.16</t>
  </si>
  <si>
    <t>40 (unmeasurable RV)</t>
  </si>
  <si>
    <t>P2a.17</t>
  </si>
  <si>
    <t>40 (unmeasurable LRV)</t>
  </si>
  <si>
    <t>P2a.18</t>
  </si>
  <si>
    <t>50 (unmeasurable) - no transitional phasing</t>
  </si>
  <si>
    <t>P2a.19</t>
  </si>
  <si>
    <t>50 (unmeasurable RV)</t>
  </si>
  <si>
    <t>P2a.20</t>
  </si>
  <si>
    <t>50 (unmeasurable LRV)</t>
  </si>
  <si>
    <t>P2a.21</t>
  </si>
  <si>
    <t>80 (unmeasurable) - no transitional phasing</t>
  </si>
  <si>
    <t>P2a.22</t>
  </si>
  <si>
    <t>80 (unmeasurable RV)</t>
  </si>
  <si>
    <t>P2a.23</t>
  </si>
  <si>
    <t>80 (unmeasurable LRV)</t>
  </si>
  <si>
    <t>P2a.24</t>
  </si>
  <si>
    <t>P2a.25</t>
  </si>
  <si>
    <t>P2a.26</t>
  </si>
  <si>
    <t>P2a.27</t>
  </si>
  <si>
    <t>P2a.28</t>
  </si>
  <si>
    <t>P2a.29</t>
  </si>
  <si>
    <t>P2a.30</t>
  </si>
  <si>
    <t>P2a.31</t>
  </si>
  <si>
    <t>P2a.32</t>
  </si>
  <si>
    <t>P2a.33</t>
  </si>
  <si>
    <t>P2a.34</t>
  </si>
  <si>
    <t>P2a.35</t>
  </si>
  <si>
    <t>P2a.36</t>
  </si>
  <si>
    <t>P2a.37</t>
  </si>
  <si>
    <t>P2a.38</t>
  </si>
  <si>
    <t>P2a.39</t>
  </si>
  <si>
    <t>P2a.40</t>
  </si>
  <si>
    <t>Tariff multipliers: licensed provider: actual standard volumes - no transitional phasing</t>
  </si>
  <si>
    <t>P2a.41</t>
  </si>
  <si>
    <t>P2a.42</t>
  </si>
  <si>
    <t>P2a.43</t>
  </si>
  <si>
    <t>P2a.44</t>
  </si>
  <si>
    <t>P2a.45</t>
  </si>
  <si>
    <t>P2a.46</t>
  </si>
  <si>
    <t>Tariff multipliers: licensed provider: actual standard volumes RV</t>
  </si>
  <si>
    <t>P2a.47</t>
  </si>
  <si>
    <t>P2a.48</t>
  </si>
  <si>
    <t>P2a.49</t>
  </si>
  <si>
    <t>P2a.50</t>
  </si>
  <si>
    <t>P2a.51</t>
  </si>
  <si>
    <t>P2a.52</t>
  </si>
  <si>
    <t>Tariff multipliers: licensed provider: actual standard volumes LRV</t>
  </si>
  <si>
    <t>P2a.53</t>
  </si>
  <si>
    <t>P2a.54</t>
  </si>
  <si>
    <t>P2a.55</t>
  </si>
  <si>
    <t>P2a.56</t>
  </si>
  <si>
    <t>P2a.57</t>
  </si>
  <si>
    <t>P2a.58</t>
  </si>
  <si>
    <t>P2a.59</t>
  </si>
  <si>
    <t>20mm - no phasing</t>
  </si>
  <si>
    <t>P2a.60</t>
  </si>
  <si>
    <t>20mm - historic RV</t>
  </si>
  <si>
    <t>P2a.61</t>
  </si>
  <si>
    <t>20mm - live RV</t>
  </si>
  <si>
    <t>P2a.62</t>
  </si>
  <si>
    <t>25mm - no phasing</t>
  </si>
  <si>
    <t>P2a.63</t>
  </si>
  <si>
    <t>25mm - historic RV</t>
  </si>
  <si>
    <t>P2a.64</t>
  </si>
  <si>
    <t>25mm - live RV</t>
  </si>
  <si>
    <t>P2a.65</t>
  </si>
  <si>
    <t>40mm - no phasing</t>
  </si>
  <si>
    <t>P2a.66</t>
  </si>
  <si>
    <t>40mm - historic RV</t>
  </si>
  <si>
    <t>P2a.67</t>
  </si>
  <si>
    <t>40mm - live RV</t>
  </si>
  <si>
    <t>P2a.68</t>
  </si>
  <si>
    <t>50mm - no phasing</t>
  </si>
  <si>
    <t>P2a.69</t>
  </si>
  <si>
    <t>50mm - historic RV</t>
  </si>
  <si>
    <t>P2a.70</t>
  </si>
  <si>
    <t>50mm - live RV</t>
  </si>
  <si>
    <t>P2a.71</t>
  </si>
  <si>
    <t>80mm - no phasing</t>
  </si>
  <si>
    <t>P2a.72</t>
  </si>
  <si>
    <t>80mm - historic RV</t>
  </si>
  <si>
    <t>P2a.73</t>
  </si>
  <si>
    <t>80mm - live RV</t>
  </si>
  <si>
    <t>P2a.74</t>
  </si>
  <si>
    <t>P2a.75</t>
  </si>
  <si>
    <t>Capacity volume charge - no transitional phasing</t>
  </si>
  <si>
    <t>P2a.76</t>
  </si>
  <si>
    <t>Capacity volume charge RV</t>
  </si>
  <si>
    <t>P2a.77</t>
  </si>
  <si>
    <t>Capacity volume charge LRV</t>
  </si>
  <si>
    <t>Tariffs: standard volumes - no transitional phasing</t>
  </si>
  <si>
    <t>P2a.78</t>
  </si>
  <si>
    <t>P2a.79</t>
  </si>
  <si>
    <t>P2a.80</t>
  </si>
  <si>
    <t>P2a.81</t>
  </si>
  <si>
    <t>P2a.82</t>
  </si>
  <si>
    <t>Tariffs: standard volumes RV</t>
  </si>
  <si>
    <t>P2a.83</t>
  </si>
  <si>
    <t>P2a.84</t>
  </si>
  <si>
    <t>P2a.85</t>
  </si>
  <si>
    <t>P2a.86</t>
  </si>
  <si>
    <t>P2a.87</t>
  </si>
  <si>
    <t>Tariffs: standard volumes LRV</t>
  </si>
  <si>
    <t>P2a.88</t>
  </si>
  <si>
    <t>P2a.89</t>
  </si>
  <si>
    <t>P2a.90</t>
  </si>
  <si>
    <t>P2a.91</t>
  </si>
  <si>
    <t>P2a.92</t>
  </si>
  <si>
    <t>P2a.93</t>
  </si>
  <si>
    <t>P2a.94</t>
  </si>
  <si>
    <t>P2a.95</t>
  </si>
  <si>
    <t>P2a.96</t>
  </si>
  <si>
    <t>P2a.97</t>
  </si>
  <si>
    <t>P2a.98</t>
  </si>
  <si>
    <t>P2a.99</t>
  </si>
  <si>
    <t>P2a.100</t>
  </si>
  <si>
    <t>P2a.101</t>
  </si>
  <si>
    <t>P2a.102</t>
  </si>
  <si>
    <t>P2a.103</t>
  </si>
  <si>
    <t>P2a.104</t>
  </si>
  <si>
    <t>P2a.105</t>
  </si>
  <si>
    <t>P2a.106</t>
  </si>
  <si>
    <t>P2a.107</t>
  </si>
  <si>
    <t>P2a.108</t>
  </si>
  <si>
    <t>P2a.109</t>
  </si>
  <si>
    <t>P2a.110</t>
  </si>
  <si>
    <t>P2a.111</t>
  </si>
  <si>
    <t>P2a.112</t>
  </si>
  <si>
    <t>P2a.113</t>
  </si>
  <si>
    <t>P2a.114</t>
  </si>
  <si>
    <t>P2a.115</t>
  </si>
  <si>
    <t>P2a.116</t>
  </si>
  <si>
    <t>P2a.117</t>
  </si>
  <si>
    <t>P2a.118</t>
  </si>
  <si>
    <t>P2a.119</t>
  </si>
  <si>
    <t>P2a.120</t>
  </si>
  <si>
    <t>P2a.121</t>
  </si>
  <si>
    <t>P2a.122</t>
  </si>
  <si>
    <t>P2a.123</t>
  </si>
  <si>
    <t>P2a.124</t>
  </si>
  <si>
    <t>P2a.125</t>
  </si>
  <si>
    <t>P2a.126</t>
  </si>
  <si>
    <t>P2a.127</t>
  </si>
  <si>
    <t>P2a.128</t>
  </si>
  <si>
    <t>P2a.129</t>
  </si>
  <si>
    <t>P2a.130</t>
  </si>
  <si>
    <t>P2a.131</t>
  </si>
  <si>
    <t>P2a.132</t>
  </si>
  <si>
    <t>P2a.133</t>
  </si>
  <si>
    <t>P2a.134</t>
  </si>
  <si>
    <t>P2a.135</t>
  </si>
  <si>
    <t>P2a.136</t>
  </si>
  <si>
    <t>P2a.137</t>
  </si>
  <si>
    <t>P2a.138</t>
  </si>
  <si>
    <t>P2a.139</t>
  </si>
  <si>
    <t>P2a.140</t>
  </si>
  <si>
    <t>P2a.141</t>
  </si>
  <si>
    <t>P2a.142</t>
  </si>
  <si>
    <t>P2a.143</t>
  </si>
  <si>
    <t>P2a.144</t>
  </si>
  <si>
    <t>P2a.145</t>
  </si>
  <si>
    <t>P2a.146</t>
  </si>
  <si>
    <t>P2a.147</t>
  </si>
  <si>
    <t>P2a.148</t>
  </si>
  <si>
    <t>P2a.149</t>
  </si>
  <si>
    <t>P2a.150</t>
  </si>
  <si>
    <t>P2a.151</t>
  </si>
  <si>
    <t>P2a.152</t>
  </si>
  <si>
    <t>P2a.153</t>
  </si>
  <si>
    <t>P2a.154</t>
  </si>
  <si>
    <t>P2a.155</t>
  </si>
  <si>
    <t>P2a.156</t>
  </si>
  <si>
    <t>P2a.157</t>
  </si>
  <si>
    <t>P2a.158</t>
  </si>
  <si>
    <t>P2a.159</t>
  </si>
  <si>
    <t>P2a.160</t>
  </si>
  <si>
    <t>P2a.161</t>
  </si>
  <si>
    <t>P2a.162</t>
  </si>
  <si>
    <t>P2a.163</t>
  </si>
  <si>
    <t>P2a.164</t>
  </si>
  <si>
    <t>P2a.165</t>
  </si>
  <si>
    <t>P2a.166</t>
  </si>
  <si>
    <t>P2a.167</t>
  </si>
  <si>
    <t>P2a.168</t>
  </si>
  <si>
    <t>P2a.169</t>
  </si>
  <si>
    <t>P2a.170</t>
  </si>
  <si>
    <t>P2a.171</t>
  </si>
  <si>
    <t>P2a.172</t>
  </si>
  <si>
    <t>P2a.173</t>
  </si>
  <si>
    <t>P2a.174</t>
  </si>
  <si>
    <t>P2a.175</t>
  </si>
  <si>
    <t>P2a.176</t>
  </si>
  <si>
    <t>P2a.177</t>
  </si>
  <si>
    <t>P2a.178</t>
  </si>
  <si>
    <t>P2a.179</t>
  </si>
  <si>
    <t>P2a.180</t>
  </si>
  <si>
    <t>P2a.181</t>
  </si>
  <si>
    <t>P2a.182</t>
  </si>
  <si>
    <t>P2a.183</t>
  </si>
  <si>
    <t>P2a.184</t>
  </si>
  <si>
    <t>P2a.185</t>
  </si>
  <si>
    <t>P2a.186</t>
  </si>
  <si>
    <t>P2a.187</t>
  </si>
  <si>
    <t>P2a.188</t>
  </si>
  <si>
    <t>P2a.189</t>
  </si>
  <si>
    <t>P2a.190</t>
  </si>
  <si>
    <t>P2a.191</t>
  </si>
  <si>
    <t>P2a.192</t>
  </si>
  <si>
    <t>P2a.193</t>
  </si>
  <si>
    <t>P2a.194</t>
  </si>
  <si>
    <t>P2a.195</t>
  </si>
  <si>
    <t>P2a.196</t>
  </si>
  <si>
    <t>P2a.197</t>
  </si>
  <si>
    <t>P2a.198</t>
  </si>
  <si>
    <t>P2a.199</t>
  </si>
  <si>
    <t>P2a.200</t>
  </si>
  <si>
    <t>P2a.201</t>
  </si>
  <si>
    <t>P2a.202</t>
  </si>
  <si>
    <t>P2a.203</t>
  </si>
  <si>
    <t>P2a.204</t>
  </si>
  <si>
    <t>P2a.205</t>
  </si>
  <si>
    <t>P2a.206</t>
  </si>
  <si>
    <t>P2a.207</t>
  </si>
  <si>
    <t>P2a.208</t>
  </si>
  <si>
    <t>P2a.209</t>
  </si>
  <si>
    <t>P2a.210</t>
  </si>
  <si>
    <t>P2a.211</t>
  </si>
  <si>
    <t>P2a.212</t>
  </si>
  <si>
    <t>P2a.213</t>
  </si>
  <si>
    <t>P2a.214</t>
  </si>
  <si>
    <t>P2a.215</t>
  </si>
  <si>
    <t>P2a.216</t>
  </si>
  <si>
    <t>P2a.217</t>
  </si>
  <si>
    <t>P2a.218</t>
  </si>
  <si>
    <t>P2a.219</t>
  </si>
  <si>
    <t>P2a.220</t>
  </si>
  <si>
    <t>P2a.221</t>
  </si>
  <si>
    <t>Standard volume charge - no transitional phasing</t>
  </si>
  <si>
    <t>P2a.222</t>
  </si>
  <si>
    <t>Standard volume charge RV</t>
  </si>
  <si>
    <t>P2a.223</t>
  </si>
  <si>
    <t>Standard volume charge LRV</t>
  </si>
  <si>
    <t>P2a.224</t>
  </si>
  <si>
    <t>P2a.225</t>
  </si>
  <si>
    <t>P2a.226</t>
  </si>
  <si>
    <t>P2a.227</t>
  </si>
  <si>
    <t>P2a.228</t>
  </si>
  <si>
    <t>P2a.229</t>
  </si>
  <si>
    <t>P2a.230</t>
  </si>
  <si>
    <t>P2a.231</t>
  </si>
  <si>
    <t>P2a.232</t>
  </si>
  <si>
    <t>P2a.233</t>
  </si>
  <si>
    <t>P2a.234</t>
  </si>
  <si>
    <t>P2a.235</t>
  </si>
  <si>
    <t>P2a.236</t>
  </si>
  <si>
    <t>P2a.237</t>
  </si>
  <si>
    <t>P2a.238</t>
  </si>
  <si>
    <t>P2a.239</t>
  </si>
  <si>
    <t>P2a.240</t>
  </si>
  <si>
    <t>P2a.241</t>
  </si>
  <si>
    <t>P2a.242</t>
  </si>
  <si>
    <t>P2a.243</t>
  </si>
  <si>
    <t>P2a.244</t>
  </si>
  <si>
    <t>P2a.245</t>
  </si>
  <si>
    <t>P2a.246</t>
  </si>
  <si>
    <t>P2a.247</t>
  </si>
  <si>
    <t>P2a.248</t>
  </si>
  <si>
    <t>P2a.249</t>
  </si>
  <si>
    <t>P2a.250</t>
  </si>
  <si>
    <t>P2a.251</t>
  </si>
  <si>
    <t>P2a.252</t>
  </si>
  <si>
    <t>P2a.253</t>
  </si>
  <si>
    <t>P2a.254</t>
  </si>
  <si>
    <t>P2a.255</t>
  </si>
  <si>
    <t>P2a.256</t>
  </si>
  <si>
    <t>P2a.257</t>
  </si>
  <si>
    <t>P2a.258</t>
  </si>
  <si>
    <t>P2a.259</t>
  </si>
  <si>
    <t>P2a.260</t>
  </si>
  <si>
    <t>P2a.261</t>
  </si>
  <si>
    <t>P2a.262</t>
  </si>
  <si>
    <t>P2a.263</t>
  </si>
  <si>
    <t>P2a.264</t>
  </si>
  <si>
    <t>P2a.265</t>
  </si>
  <si>
    <t>P2a.266</t>
  </si>
  <si>
    <t>P2a.267</t>
  </si>
  <si>
    <t>P2a.268</t>
  </si>
  <si>
    <t>Tariff multipliers: rateable value base</t>
  </si>
  <si>
    <t>RV for property drainage - no transitional phasing</t>
  </si>
  <si>
    <t>RV for roads drainage tariff  - no transitional phasing</t>
  </si>
  <si>
    <t>P2a.269</t>
  </si>
  <si>
    <t>RV for property drainage (RV)</t>
  </si>
  <si>
    <t>P2a.270</t>
  </si>
  <si>
    <t>RV for roads drainage tariff (RV)</t>
  </si>
  <si>
    <t>P2a.271</t>
  </si>
  <si>
    <t>RV for property drainage (LRV)</t>
  </si>
  <si>
    <t>P2a.272</t>
  </si>
  <si>
    <t>RV for roads drainage tariff (LRV)</t>
  </si>
  <si>
    <t>P2a.273</t>
  </si>
  <si>
    <t>P2a.274</t>
  </si>
  <si>
    <t>Charge per £ of RV - property drainage  - no transitional phasing</t>
  </si>
  <si>
    <t>P2a.275</t>
  </si>
  <si>
    <t>Charge per £ of RV - roads drainage  - no transitional phasing</t>
  </si>
  <si>
    <t>P2a.276</t>
  </si>
  <si>
    <t>P2a.277</t>
  </si>
  <si>
    <t>Charge per £ of RV - property drainage (RV)</t>
  </si>
  <si>
    <t>P2a.278</t>
  </si>
  <si>
    <t>Charge per £ of RV - roads drainage (RV)</t>
  </si>
  <si>
    <t>P2a.279</t>
  </si>
  <si>
    <t>Charge per £ of RV - property drainage (LRV)</t>
  </si>
  <si>
    <t>P2a.280</t>
  </si>
  <si>
    <t>Charge per £ of RV -  roads drainage (LRV)</t>
  </si>
  <si>
    <t>P2a.281</t>
  </si>
  <si>
    <t>Property drainage - standard charges - no transitional phasing</t>
  </si>
  <si>
    <t>P2a.282</t>
  </si>
  <si>
    <t>Roads drainage - standard charges - no transitional phasing</t>
  </si>
  <si>
    <t>P2a.283</t>
  </si>
  <si>
    <t>Property drainage - RV charges</t>
  </si>
  <si>
    <t>P2a.284</t>
  </si>
  <si>
    <t>Roads drainage - RV charges</t>
  </si>
  <si>
    <t>P2a.285</t>
  </si>
  <si>
    <t>Property drainage - LRV charges</t>
  </si>
  <si>
    <t>P2a.286</t>
  </si>
  <si>
    <t>Roads drainage - LRV charges</t>
  </si>
  <si>
    <t>P2a.287</t>
  </si>
  <si>
    <t>Area charge - standard area-based tariff</t>
  </si>
  <si>
    <t>P2a.288</t>
  </si>
  <si>
    <t>P2a.289</t>
  </si>
  <si>
    <t>P2a.290</t>
  </si>
  <si>
    <t>P2a.291</t>
  </si>
  <si>
    <t>P2a.292</t>
  </si>
  <si>
    <t>P2a.293</t>
  </si>
  <si>
    <t>P2a.294</t>
  </si>
  <si>
    <t>P2a.295</t>
  </si>
  <si>
    <t>P2a.296</t>
  </si>
  <si>
    <t>P2a.297</t>
  </si>
  <si>
    <t>P2a.298</t>
  </si>
  <si>
    <t>P2a.299</t>
  </si>
  <si>
    <t>P2a.300</t>
  </si>
  <si>
    <t>P2a.301</t>
  </si>
  <si>
    <t>P2a.302</t>
  </si>
  <si>
    <t>P2a.303</t>
  </si>
  <si>
    <t>P2a.304</t>
  </si>
  <si>
    <t>P2a.305</t>
  </si>
  <si>
    <t>P2a.306</t>
  </si>
  <si>
    <t>P2a.307</t>
  </si>
  <si>
    <t>P2a.308</t>
  </si>
  <si>
    <t>P2a.309</t>
  </si>
  <si>
    <t>P2a.310</t>
  </si>
  <si>
    <t>P2a.311</t>
  </si>
  <si>
    <t>P2a.312</t>
  </si>
  <si>
    <t>P2a.313</t>
  </si>
  <si>
    <t>P2a.314</t>
  </si>
  <si>
    <t>P2a.315</t>
  </si>
  <si>
    <t>P2a.316</t>
  </si>
  <si>
    <t>P2a.317</t>
  </si>
  <si>
    <t>P2a.318</t>
  </si>
  <si>
    <t>P2a.319</t>
  </si>
  <si>
    <t>P2a.320</t>
  </si>
  <si>
    <t>P2a.321</t>
  </si>
  <si>
    <t>P2a.322</t>
  </si>
  <si>
    <t>P2a.323</t>
  </si>
  <si>
    <t>P2a.324</t>
  </si>
  <si>
    <t>P2a.325</t>
  </si>
  <si>
    <t>P2a.326</t>
  </si>
  <si>
    <t>P2a.327</t>
  </si>
  <si>
    <t>P2a.328</t>
  </si>
  <si>
    <t>P2a.329</t>
  </si>
  <si>
    <t>P2a.330</t>
  </si>
  <si>
    <t>Table P3: Water retail charges from unmeasured households</t>
  </si>
  <si>
    <t>Discount</t>
  </si>
  <si>
    <t>Description</t>
  </si>
  <si>
    <t>Units</t>
  </si>
  <si>
    <t>Data</t>
  </si>
  <si>
    <t>Confidence grades</t>
  </si>
  <si>
    <t>Band A*</t>
  </si>
  <si>
    <t>Band A</t>
  </si>
  <si>
    <t>Band B</t>
  </si>
  <si>
    <t>Band C</t>
  </si>
  <si>
    <t>Band D</t>
  </si>
  <si>
    <t>Band E</t>
  </si>
  <si>
    <t>Band F</t>
  </si>
  <si>
    <t>Band G</t>
  </si>
  <si>
    <t>Band H</t>
  </si>
  <si>
    <t xml:space="preserve">Total </t>
  </si>
  <si>
    <t>Share</t>
  </si>
  <si>
    <t>Tariff multipliers: Number of dwellings with an unmetered water connection</t>
  </si>
  <si>
    <t>P3.1</t>
  </si>
  <si>
    <t>No discount</t>
  </si>
  <si>
    <t>Occupied dwellings with no CTR/no WCRS</t>
  </si>
  <si>
    <t>Nr/%</t>
  </si>
  <si>
    <t>I/C</t>
  </si>
  <si>
    <t xml:space="preserve"> B2 </t>
  </si>
  <si>
    <t>B2</t>
  </si>
  <si>
    <t xml:space="preserve"> B3 </t>
  </si>
  <si>
    <t xml:space="preserve">Number of occupied dwellings not receiving council tax reduction/water charges reduction scheme. </t>
  </si>
  <si>
    <t>P3.2</t>
  </si>
  <si>
    <t>Second homes</t>
  </si>
  <si>
    <t xml:space="preserve">Number of dwellings classed as second homes - these do not qualify for CTR/WCRS and full water and wastewater charges apply.  </t>
  </si>
  <si>
    <t>P3.3</t>
  </si>
  <si>
    <t xml:space="preserve">Long term vacant dwellings </t>
  </si>
  <si>
    <t xml:space="preserve">Number of dwellings classed as long term vacant - these do not qualify for CTR/WCRS and full water and wastewater charges apply.  </t>
  </si>
  <si>
    <t>P3.4</t>
  </si>
  <si>
    <t>Partial CTR/Partial WCRS</t>
  </si>
  <si>
    <t>B3</t>
  </si>
  <si>
    <t>Number of dwellings receiving partial council tax reduction/partial water charges reduction scheme</t>
  </si>
  <si>
    <t>P3.5</t>
  </si>
  <si>
    <t xml:space="preserve">Full CTR/Full WCRS </t>
  </si>
  <si>
    <t>Number of dwellings receiving full council tax reduction/full water charges reduction scheme</t>
  </si>
  <si>
    <t>P3.6</t>
  </si>
  <si>
    <t xml:space="preserve">25% discount </t>
  </si>
  <si>
    <t>No CTR/No WCRS</t>
  </si>
  <si>
    <t>Number of dwellings on a single-person discount, which are not receiving council tax reduction/water charges reduction scheme</t>
  </si>
  <si>
    <t>P3.7</t>
  </si>
  <si>
    <t>Dwellings with 25% discount and partial CTR/partial WCRS</t>
  </si>
  <si>
    <t>Number of dwellings on a single-person discount, that also receive partial council tax reduction/water charges reduction scheme</t>
  </si>
  <si>
    <t>P3.8</t>
  </si>
  <si>
    <t>N/A</t>
  </si>
  <si>
    <t>Share of partial CTR dwellings estimated to have CTR &gt; 71.4%</t>
  </si>
  <si>
    <t>%</t>
  </si>
  <si>
    <t>Proportion of dwellings with single person and partial CTR that receive CTR above 71.4% (the cut-off to receive WCRS support (under the 35% maximum support arrangements))</t>
  </si>
  <si>
    <t>P3.9</t>
  </si>
  <si>
    <t>Partial CTR (&gt;71.4%)/Partial WCRS</t>
  </si>
  <si>
    <t>Number of dwellings on a single-person discount, which are receiving partial council tax reduction of more than 71.4%/partial water charges reduction scheme</t>
  </si>
  <si>
    <t>P3.10</t>
  </si>
  <si>
    <t>Partial CTR (&lt;71.4%)/No WCRS</t>
  </si>
  <si>
    <t>Number of dwellings on a single-person discount, which are receiving partial council tax reduction of less than 71.4%/no water charges reduction scheme</t>
  </si>
  <si>
    <t>P3.11</t>
  </si>
  <si>
    <t xml:space="preserve">Full CTR/maximum WCRS </t>
  </si>
  <si>
    <t>Number of dwellings on a single-person discount, which are receiving full council tax reduction/full water charges reduction scheme</t>
  </si>
  <si>
    <t>P3.12</t>
  </si>
  <si>
    <t xml:space="preserve">50% discount </t>
  </si>
  <si>
    <t>No CTR/no WCRS</t>
  </si>
  <si>
    <t>Number of dwellings on a 50% discount, which are not receiving council tax reduction/water charges reduction scheme</t>
  </si>
  <si>
    <t>P3.13</t>
  </si>
  <si>
    <t xml:space="preserve">Partial CTR </t>
  </si>
  <si>
    <t xml:space="preserve">Number of dwellings on a 50% discount, which are receiving partial council tax reduction - but do not receive any water charges reduction support (35% total limit) </t>
  </si>
  <si>
    <t>P3.14</t>
  </si>
  <si>
    <t xml:space="preserve">Full CTR </t>
  </si>
  <si>
    <t xml:space="preserve">Number of dwellings on a 50% discount, which are receiving full council tax reduction - but do not receive any WCRS support (35% total limit) </t>
  </si>
  <si>
    <t>P3.15</t>
  </si>
  <si>
    <t>Occupied exempt</t>
  </si>
  <si>
    <t xml:space="preserve">Occupied exempt </t>
  </si>
  <si>
    <t>Number of occupied dwellings exempt from charges. This includes properties entirely occupied by individuals that are exempt from Council Tax, such as full time students.</t>
  </si>
  <si>
    <t>P3.16</t>
  </si>
  <si>
    <t xml:space="preserve">Vacant exempt </t>
  </si>
  <si>
    <t>Vacant exempt</t>
  </si>
  <si>
    <t>Number of vacant dwellings exempt from charges - most significant group is short term empty where the dwelling is exempt for 6 months if the dwelling is unoccupied and unfurnished</t>
  </si>
  <si>
    <t>P3.17</t>
  </si>
  <si>
    <t>Total properties with unmeasured water</t>
  </si>
  <si>
    <t>Total number of properties with unmeasured water connection</t>
  </si>
  <si>
    <t>P3.18</t>
  </si>
  <si>
    <t>Share of base</t>
  </si>
  <si>
    <t>The share of the total number of properties in each council tax band in relation to the total number of properties in all bands</t>
  </si>
  <si>
    <t>Tariff multipliers: Band D equivalent multipliers</t>
  </si>
  <si>
    <t>P3.19</t>
  </si>
  <si>
    <t>Band coefficients</t>
  </si>
  <si>
    <t>Nr.</t>
  </si>
  <si>
    <t>P3.20</t>
  </si>
  <si>
    <t>Band D equivalent multipliers</t>
  </si>
  <si>
    <t>Tariff multipliers: Number of Band D equivalent dwellings - before the application of discounts, exemptions and WCRS - with an unmetered water connection</t>
  </si>
  <si>
    <t>P3.21</t>
  </si>
  <si>
    <t>Homes with no CTR/no WCRS</t>
  </si>
  <si>
    <t xml:space="preserve">Number of Band D equivalent dwellings (before application of discounts, reductions and WCRS), with a water connection not receiving council tax reduction/water charges reduction scheme. </t>
  </si>
  <si>
    <t>P3.22</t>
  </si>
  <si>
    <t xml:space="preserve">Second homes </t>
  </si>
  <si>
    <t xml:space="preserve">Number of Band D equivalent dwellings (before application of discounts, reductions and WCRS), with a water connection classed as second homes - these do not qualify for CTR/WCRS and full water and wastewater charges apply.  </t>
  </si>
  <si>
    <t>P3.23</t>
  </si>
  <si>
    <t xml:space="preserve">Number of Band D equivalent dwellings (before application of discounts, reductions and WCRS), with a water connection classed as long term vacant - these do not qualify for CTR/WCRS and full water and wastewater charges apply.  </t>
  </si>
  <si>
    <t>P3.24</t>
  </si>
  <si>
    <t>Partial CTR/partial WCRS</t>
  </si>
  <si>
    <t>Number of Band D equivalent dwellings (before application of discounts, reductions and WCRS), with a water connection receiving partial council tax reduction/partial water charges reduction scheme</t>
  </si>
  <si>
    <t>P3.25</t>
  </si>
  <si>
    <t xml:space="preserve">Full CTR/full WCRS </t>
  </si>
  <si>
    <t>Number of Band D equivalent dwellings (before application of discounts, reductions and WCRS), with a water connection receiving full council tax reduction/full water charges reduction scheme</t>
  </si>
  <si>
    <t>P3.26</t>
  </si>
  <si>
    <t>Number of Band D equivalent dwellings (before application of discounts, reductions and WCRS), with a water connection on a single-person discount, which are not receiving council tax reduction/water charges reduction scheme</t>
  </si>
  <si>
    <t>P3.27</t>
  </si>
  <si>
    <t>Partial CTR (&gt;71.4%)/partial WCRS</t>
  </si>
  <si>
    <t>Number of Band D equivalent dwellings (before application of discounts, reductions and WCRS), with a water connection on a single-person discount, which are receiving partial council tax reduction of more than 71.4%/partial water charges reduction scheme</t>
  </si>
  <si>
    <t>P3.28</t>
  </si>
  <si>
    <t>Partial CTR (&lt;71.4%)/no WCRS</t>
  </si>
  <si>
    <t>Number of Band D equivalent dwellings (before application of discounts, reductions and WCRS), with a water connection on a single-person discount, which are receiving partial council tax reduction of less than 71.4%/no water charges reduction scheme</t>
  </si>
  <si>
    <t>P3.29</t>
  </si>
  <si>
    <t>Number of Band D equivalent dwellings (before application of discounts, reductions and WCRS), with a water connection on a single-person discount, which are receiving full council tax reduction/full water charges reduction scheme</t>
  </si>
  <si>
    <t>P3.30</t>
  </si>
  <si>
    <t>Number of Band D equivalent dwellings (before application of discounts, reductions and WCRS), with a water connection on a 50% discount, which are not receiving council tax reduction/water charges reduction scheme</t>
  </si>
  <si>
    <t>P3.31</t>
  </si>
  <si>
    <t xml:space="preserve">Number of Band D equivalent dwellings (before application of discounts, reductions and WCRS), with a water connection on a 50% discount, which are receiving partial council tax reduction - but do not receive any water charges reduction support (35% total limit) </t>
  </si>
  <si>
    <t>P3.32</t>
  </si>
  <si>
    <t xml:space="preserve">Number of Band D equivalent dwellings (before application of discounts, reductions and WCRS), with a water connection on a 50% discount, which are receiving full council tax reduction - but do not receive any WCRS support (35% total limit) </t>
  </si>
  <si>
    <t>P3.33</t>
  </si>
  <si>
    <t>Number of Band D equivalent dwellings (before application of discounts, reductions and WCRS), with a water connection exempt from charges. This includes properties entirely occupied by individuals that are exempt from Council Tax, such as full time students.</t>
  </si>
  <si>
    <t>P3.34</t>
  </si>
  <si>
    <t>Number of Band D equivalent dwellings (before application of discounts, reductions and WCRS), with a water connection exempt from charges - most significant group is short term empty where the dwelling is exempt for 6 months if the dwelling is unoccupied and unfurnished</t>
  </si>
  <si>
    <t>P3.35</t>
  </si>
  <si>
    <t xml:space="preserve">Number of Band D equivalent dwellings (before application of discounts, reductions and WCRS), with a water connection </t>
  </si>
  <si>
    <t>P3.36</t>
  </si>
  <si>
    <t>The share of total Band D equivalent dwellings in each council tax band in relation to the Band D equivalent dwellings in all bands</t>
  </si>
  <si>
    <t xml:space="preserve">Tariff multipliers: Inputs for discounts and Council Tax Reduction / Water Charges Reduction Scheme </t>
  </si>
  <si>
    <t>CTR</t>
  </si>
  <si>
    <t xml:space="preserve">WCRS </t>
  </si>
  <si>
    <t>P3.37</t>
  </si>
  <si>
    <t>Maximum allowed WCRS discount</t>
  </si>
  <si>
    <t>Maximum allowed water charges reduction scheme discount</t>
  </si>
  <si>
    <t>P3.38</t>
  </si>
  <si>
    <t xml:space="preserve">The level of council tax reduction for occupied dwellings not receiving council tax reduction/water charges reduction scheme. </t>
  </si>
  <si>
    <t>P3.39</t>
  </si>
  <si>
    <t xml:space="preserve">The level of council tax reduction for dwellings classed as second homes - these do not qualify for CTR/WCRS and full water and wastewater charges apply.  </t>
  </si>
  <si>
    <t>P3.40</t>
  </si>
  <si>
    <t xml:space="preserve">The level of council tax reduction for dwellings classed as long term vacant - these do not qualify for CTR/WCRS and full water and wastewater charges apply.  </t>
  </si>
  <si>
    <t>P3.41</t>
  </si>
  <si>
    <t>The level of council tax reduction for dwellings receiving partial council tax reduction/partial water charges reduction scheme</t>
  </si>
  <si>
    <t>P3.42</t>
  </si>
  <si>
    <t>The level of council tax reduction for dwellings receiving full council tax reduction/full water charges reduction scheme</t>
  </si>
  <si>
    <t>P3.43</t>
  </si>
  <si>
    <t>The level of council tax reduction for dwellings on a single-person discount, that also receive partial council tax reduction/water charges reduction scheme</t>
  </si>
  <si>
    <t>P3.44</t>
  </si>
  <si>
    <t>The level of council tax reduction for dwellings on a single-person discount, which are receiving partial council tax reduction of more than 71.4%/partial water charges reduction scheme</t>
  </si>
  <si>
    <t>P3.45</t>
  </si>
  <si>
    <t>The level of council tax reduction for dwellings on a single-person discount, which are receiving partial council tax reduction of less than 71.4%/no water charges reduction scheme</t>
  </si>
  <si>
    <t>P3.46</t>
  </si>
  <si>
    <t>The level of council tax reduction for dwellings on a single-person discount, which are receiving full council tax reduction/full water charges reduction scheme</t>
  </si>
  <si>
    <t>P3.47</t>
  </si>
  <si>
    <t>The level of council tax reduction for dwellings on a 50% discount, which are not receiving council tax reduction/water charges reduction scheme</t>
  </si>
  <si>
    <t>P3.48</t>
  </si>
  <si>
    <t xml:space="preserve">The level of council tax reduction for dwellings on a 50% discount, which are receiving partial council tax reduction - but do not receive any water charges reduction support (35% total limit) </t>
  </si>
  <si>
    <t>P3.49</t>
  </si>
  <si>
    <t xml:space="preserve">The level of council tax reduction for dwellings on a 50% discount, which are receiving full council tax reduction - but do not receive any WCRS support (35% total limit) </t>
  </si>
  <si>
    <t>P3.50</t>
  </si>
  <si>
    <t>The level of council tax reduction for occupied dwellings exempt from charges. This includes properties entirely occupied by individuals that are exempt from Council Tax, such as full time students.</t>
  </si>
  <si>
    <t>P3.51</t>
  </si>
  <si>
    <t>The level of council tax reduction for vacant dwellings exempt from charges - most significant group is short term empty where the dwelling is exempt for 6 months if the dwelling is unoccupied and unfurnished</t>
  </si>
  <si>
    <t xml:space="preserve">Tariff multipliers: Number of Band D equivalent dwellings (net of discounts, exemptions and WCRS) with an unmetered water connection </t>
  </si>
  <si>
    <t>P3.52</t>
  </si>
  <si>
    <t xml:space="preserve">Number of Band D equivalent dwellings (net of discounts, reductions and WCRS), with a water connection not receiving council tax reduction/water charges reduction scheme. </t>
  </si>
  <si>
    <t>P3.53</t>
  </si>
  <si>
    <t xml:space="preserve">Number of Band D equivalent dwellings (net of discounts, reductions and WCRS), with a water connection classed as second homes - these do not qualify for CTR/WCRS and full water and wastewater charges apply.  </t>
  </si>
  <si>
    <t>P3.54</t>
  </si>
  <si>
    <t xml:space="preserve">Number of Band D equivalent dwellings (net of discounts, reductions and WCRS), with a water connection classed as long term vacant - these do not qualify for CTR/WCRS and full water and wastewater charges apply.  </t>
  </si>
  <si>
    <t>P3.55</t>
  </si>
  <si>
    <t>Number of Band D equivalent dwellings (net of discounts, reductions and WCRS), with a water connection receiving partial council tax reduction/partial water charges reduction scheme</t>
  </si>
  <si>
    <t>P3.56</t>
  </si>
  <si>
    <t>Number of Band D equivalent dwellings (net of discounts, reductions and WCRS), with a water connection receiving full council tax reduction/full water charges reduction scheme</t>
  </si>
  <si>
    <t>P3.57</t>
  </si>
  <si>
    <t>Number of Band D equivalent dwellings (net of discounts, reductions and WCRS), with a water connection on a single-person discount, which are not receiving council tax reduction/water charges reduction scheme</t>
  </si>
  <si>
    <t>P3.58</t>
  </si>
  <si>
    <t>Number of Band D equivalent dwellings (net of discounts, reductions and WCRS), with a water connection on a single-person discount, which are receiving partial council tax reduction of more than 71.4%/partial water charges reduction scheme</t>
  </si>
  <si>
    <t>P3.59</t>
  </si>
  <si>
    <t>Number of Band D equivalent dwellings (net of discounts, reductions and WCRS), with a water connection a single-person discount, which are receiving partial council tax reduction of less than 71.4%/no water charges reduction scheme</t>
  </si>
  <si>
    <t>P3.60</t>
  </si>
  <si>
    <t>Number of Band D equivalent dwellings (net of discounts, reductions and WCRS), with a water connection on a single-person discount, which are receiving full council tax reduction/full water charges reduction scheme</t>
  </si>
  <si>
    <t>P3.61</t>
  </si>
  <si>
    <t>Number of Band D equivalent dwellings (net of discounts, reductions and WCRS), with a water connection on a 50% discount, which are not receiving council tax reduction/water charges reduction scheme</t>
  </si>
  <si>
    <t>P3.62</t>
  </si>
  <si>
    <t xml:space="preserve">Number of Band D equivalent dwellings (net of discounts, reductions and WCRS), with a water connection on a 50% discount, which are receiving partial council tax reduction - but do not receive any water charges reduction support (35% total limit) </t>
  </si>
  <si>
    <t>P3.63</t>
  </si>
  <si>
    <t xml:space="preserve">Number of Band D equivalent dwellings (net of discounts, reductions and WCRS), with a water connection on a 50% discount, which are receiving full council tax reduction - but do not receive any WCRS support (35% total limit) </t>
  </si>
  <si>
    <t>P3.64</t>
  </si>
  <si>
    <t>Number of Band D equivalent dwellings (net of discounts, reductions and WCRS), with a water connection exempt from charges. This includes properties entirely occupied by individuals that are exempt from Council Tax, such as full time students.</t>
  </si>
  <si>
    <t>P3.65</t>
  </si>
  <si>
    <t>Number of Band D equivalent dwellings (net of discounts, reductions and WCRS), with a water connection exempt from charges - most significant group is short term empty where the dwelling is exempt for 6 months if the dwelling is unoccupied and unfurnished</t>
  </si>
  <si>
    <t>P3.66</t>
  </si>
  <si>
    <t>Number of Band D equivalent dwellings (net of discounts, reductions and WCRS), with a water connection</t>
  </si>
  <si>
    <t>P3.67</t>
  </si>
  <si>
    <t>The share of total net Band D equivalent dwellings in each council tax band in relation to the net Band D equivalent dwellings in all bands</t>
  </si>
  <si>
    <t>P3.68</t>
  </si>
  <si>
    <t>Annual charge</t>
  </si>
  <si>
    <t>£</t>
  </si>
  <si>
    <t>I / C</t>
  </si>
  <si>
    <t>Charge for properties in Band D for report year.</t>
  </si>
  <si>
    <t>Annualised revenue from dwellings (at 30 September in the report year) with an unmetered water connection</t>
  </si>
  <si>
    <t>P3.69</t>
  </si>
  <si>
    <t xml:space="preserve">Full charge </t>
  </si>
  <si>
    <t>£/%</t>
  </si>
  <si>
    <t xml:space="preserve">Annualised revenue (based on reported data at 30 September of the report year) for dwellings not receiving council tax reduction / water charges reduction scheme. </t>
  </si>
  <si>
    <t>P3.70</t>
  </si>
  <si>
    <t xml:space="preserve">Annualised revenue (based on reported data at 30 September of the report year) for dwellings classed as second homes - these do not qualify for CTR/WCRS and full water and wastewater charges apply.  </t>
  </si>
  <si>
    <t>P3.71</t>
  </si>
  <si>
    <t xml:space="preserve">Annualised revenue (based on reported data at 30 September of the report year) for dwellings classed as long term vacant - these do not qualify for CTR/WCRS and full water and wastewater charges apply.  </t>
  </si>
  <si>
    <t>P3.72</t>
  </si>
  <si>
    <t>Annualised revenue (based on reported data at 30 September of the report year) for dwellings receiving partial council tax reduction/partial water charges reduction scheme</t>
  </si>
  <si>
    <t>P3.73</t>
  </si>
  <si>
    <t>Annualised revenue (based on reported data at 30 September of the report year) for dwellings receiving full council tax reduction/full water charges reduction scheme</t>
  </si>
  <si>
    <t>P3.74</t>
  </si>
  <si>
    <t>Annualised revenue (based on reported data at 30 September of the report year) for dwellings on a single-person discount, which are not receiving council tax reduction/water charges reduction scheme</t>
  </si>
  <si>
    <t>P3.75</t>
  </si>
  <si>
    <t>Annualised revenue (based on reported data at 30 September of the report year) for dwellings on a single-person discount, which are receiving partial council tax reduction of more than 71.4%/partial water charges reduction scheme</t>
  </si>
  <si>
    <t>P3.76</t>
  </si>
  <si>
    <t>Annualised revenue (based on reported data at 30 September of the report year) for dwellings on a single-person discount, which are receiving partial council tax reduction of less than 71.4%/no water charges reduction scheme</t>
  </si>
  <si>
    <t>P3.77</t>
  </si>
  <si>
    <t>Annualised revenue (based on reported data at 30 September of the report year) for dwellings on a single-person discount, which are receiving full council tax reduction/full water charges reduction scheme</t>
  </si>
  <si>
    <t>P3.78</t>
  </si>
  <si>
    <t>Annualised revenue (based on reported data at 30 September of the report year) for dwellings on a 50% discount, which are not receiving council tax reduction/water charges reduction scheme</t>
  </si>
  <si>
    <t>P3.79</t>
  </si>
  <si>
    <t xml:space="preserve">Annualised revenue (based on reported data at 30 September of the report year) for dwellings on a 50% discount, which are receiving partial council tax reduction - but do not receive any water charges reduction support (35% total limit) </t>
  </si>
  <si>
    <t>P3.80</t>
  </si>
  <si>
    <t xml:space="preserve">Annualised revenue (based on reported data at 30 September of the report year) for dwellings on a 50% discount, which are receiving full council tax reduction - but do not receive any WCRS support (35% total limit) </t>
  </si>
  <si>
    <t>P3.81</t>
  </si>
  <si>
    <t>Annualised revenue (based on reported data at 30 September of the report year) for dwellings exempt from charges. This includes properties entirely occupied by individuals that are exempt from Council Tax, such as full time students.</t>
  </si>
  <si>
    <t>P3.82</t>
  </si>
  <si>
    <t>Annualised revenue (based on reported data at 30 September of the report year) for dwellings exempt from charges - most significant group is short term empty where the dwelling is exempt for 6 months if the dwelling is unoccupied and unfurnished</t>
  </si>
  <si>
    <t>P3.83</t>
  </si>
  <si>
    <t>Total revenue from properties with unmeasured water</t>
  </si>
  <si>
    <t>Annualised revenue (based on reported data at 30 September of the report year) for dwellings with a water connection</t>
  </si>
  <si>
    <t>P3.84</t>
  </si>
  <si>
    <t>The share of the revenue (net of discounts, exemptions and WCRS) from dwellings in each council tax band with a water connection in relation to the revenue from all dwellings with a water connection in all bands</t>
  </si>
  <si>
    <t>P3.85</t>
  </si>
  <si>
    <t>Value of discounts, exemptions and WCRS</t>
  </si>
  <si>
    <t>The total value of discounts, exemptions &amp; water charges reduction scheme</t>
  </si>
  <si>
    <t xml:space="preserve">Authorised by: </t>
  </si>
  <si>
    <t>Table P4: Water retail charges from measured households</t>
  </si>
  <si>
    <t>Line</t>
  </si>
  <si>
    <t>Field</t>
  </si>
  <si>
    <t>ref.</t>
  </si>
  <si>
    <t>type</t>
  </si>
  <si>
    <t>Report year</t>
  </si>
  <si>
    <t>Report year + 1</t>
  </si>
  <si>
    <t>CG</t>
  </si>
  <si>
    <t>Tariff multipliers: household properties - billed on measured basis: tariff meters</t>
  </si>
  <si>
    <t>P4.1</t>
  </si>
  <si>
    <t>Nr</t>
  </si>
  <si>
    <t>Number of household 20mm meters billed as of September of the reporting year.</t>
  </si>
  <si>
    <t>P4.2</t>
  </si>
  <si>
    <t>Number of household 25mm meters billed as of September of the reporting year.</t>
  </si>
  <si>
    <t>P4.3</t>
  </si>
  <si>
    <t>Number of household 40mm meters billed as of September of the reporting year.</t>
  </si>
  <si>
    <t>P4.4</t>
  </si>
  <si>
    <t>Number of household 50mm meters billed as of September of the reporting year.</t>
  </si>
  <si>
    <t>P4.5</t>
  </si>
  <si>
    <t>Total number of billed properties</t>
  </si>
  <si>
    <t>A3</t>
  </si>
  <si>
    <t>Total number of household properties billed on a measured basis as of September of the reporting year.</t>
  </si>
  <si>
    <t>Tariff multipliers: volumes - measured household properties</t>
  </si>
  <si>
    <t>P4.6</t>
  </si>
  <si>
    <r>
      <rPr>
        <sz val="12"/>
        <color rgb="FF000000"/>
        <rFont val="Arial"/>
        <family val="2"/>
      </rPr>
      <t>First 25m</t>
    </r>
    <r>
      <rPr>
        <vertAlign val="superscript"/>
        <sz val="12"/>
        <color rgb="FF000000"/>
        <rFont val="Arial"/>
        <family val="2"/>
      </rPr>
      <t xml:space="preserve">3 </t>
    </r>
    <r>
      <rPr>
        <sz val="12"/>
        <color rgb="FF000000"/>
        <rFont val="Arial"/>
        <family val="2"/>
      </rPr>
      <t>pa, meters &lt;= 20mm</t>
    </r>
  </si>
  <si>
    <t>m3</t>
  </si>
  <si>
    <t>Total volume supplied at the base tariff for the first 25m³ pa for meters &lt;=20mm.</t>
  </si>
  <si>
    <t>P4.7</t>
  </si>
  <si>
    <r>
      <rPr>
        <sz val="12"/>
        <color rgb="FF000000"/>
        <rFont val="Arial"/>
        <family val="2"/>
      </rPr>
      <t>Volume over 25m</t>
    </r>
    <r>
      <rPr>
        <vertAlign val="superscript"/>
        <sz val="12"/>
        <color rgb="FF000000"/>
        <rFont val="Arial"/>
        <family val="2"/>
      </rPr>
      <t>3</t>
    </r>
    <r>
      <rPr>
        <sz val="12"/>
        <color rgb="FF000000"/>
        <rFont val="Arial"/>
        <family val="2"/>
      </rPr>
      <t xml:space="preserve"> pa, meters &lt;= 20mm</t>
    </r>
  </si>
  <si>
    <t>Total volume supplied at the tariff for volumes above the first 25m³ pa for meters &lt;=20mm.</t>
  </si>
  <si>
    <t>P4.8</t>
  </si>
  <si>
    <t>Meters of diameter &gt; 20mm</t>
  </si>
  <si>
    <t>Total volume supplied to measured household properties with meters above 20mm.</t>
  </si>
  <si>
    <t>P4.9</t>
  </si>
  <si>
    <t>Total volume supplied to household customers on measured basis.</t>
  </si>
  <si>
    <t>Tariffs: fixed charge measured household properties</t>
  </si>
  <si>
    <t>P4.10</t>
  </si>
  <si>
    <t>A1</t>
  </si>
  <si>
    <t>Tariff for fixed charge for household properties billed on a measured basis being charged for a meter size 20mm as of September of the reporting year.</t>
  </si>
  <si>
    <t>P4.11</t>
  </si>
  <si>
    <t>Tariff for fixed charge for household properties billed on a measured basis being charged for a meter size 25mm as of September of the reporting year.</t>
  </si>
  <si>
    <t>P4.12</t>
  </si>
  <si>
    <t>Tariff for household properties billed on a measured basis being charged for a meter size 40mm as of September of the reporting year.</t>
  </si>
  <si>
    <t>P4.13</t>
  </si>
  <si>
    <t>Tariff for household properties billed on a measured basis being charged for a meter size 50mm as of September of the reporting year.</t>
  </si>
  <si>
    <t>Tariffs: volumetric charge measured household properties</t>
  </si>
  <si>
    <t>P4.14</t>
  </si>
  <si>
    <r>
      <rPr>
        <sz val="12"/>
        <color rgb="FF000000"/>
        <rFont val="Arial"/>
        <family val="2"/>
      </rPr>
      <t>First 25m</t>
    </r>
    <r>
      <rPr>
        <vertAlign val="superscript"/>
        <sz val="12"/>
        <color rgb="FF000000"/>
        <rFont val="Arial"/>
        <family val="2"/>
      </rPr>
      <t>3</t>
    </r>
    <r>
      <rPr>
        <sz val="12"/>
        <color rgb="FF000000"/>
        <rFont val="Arial"/>
        <family val="2"/>
      </rPr>
      <t xml:space="preserve"> pa, 20mm meters </t>
    </r>
  </si>
  <si>
    <t>£/m3</t>
  </si>
  <si>
    <t>The base tariff for the first 25m³ pa for 20mm meters.</t>
  </si>
  <si>
    <t>P4.15</t>
  </si>
  <si>
    <r>
      <rPr>
        <sz val="12"/>
        <color rgb="FF000000"/>
        <rFont val="Arial"/>
        <family val="2"/>
      </rPr>
      <t>Volumes over 25m</t>
    </r>
    <r>
      <rPr>
        <vertAlign val="superscript"/>
        <sz val="12"/>
        <color rgb="FF000000"/>
        <rFont val="Arial"/>
        <family val="2"/>
      </rPr>
      <t>3</t>
    </r>
    <r>
      <rPr>
        <sz val="12"/>
        <color rgb="FF000000"/>
        <rFont val="Arial"/>
        <family val="2"/>
      </rPr>
      <t xml:space="preserve"> pa, 20mm meters</t>
    </r>
  </si>
  <si>
    <t>The tariff for volumes above the first 25m³ pa for 20mm meters.</t>
  </si>
  <si>
    <t>P4.16</t>
  </si>
  <si>
    <t>Tariff for meters above 20mm for report year.</t>
  </si>
  <si>
    <t>Revenue - measured household properties</t>
  </si>
  <si>
    <t>P4.17</t>
  </si>
  <si>
    <t>Fixed charges</t>
  </si>
  <si>
    <t>Revenue from fixed charges for household properties charged on a measured basis.</t>
  </si>
  <si>
    <t>P4.18</t>
  </si>
  <si>
    <r>
      <rPr>
        <sz val="12"/>
        <color rgb="FF000000"/>
        <rFont val="Arial"/>
        <family val="2"/>
      </rPr>
      <t>20mm meters, annual volume &lt;= 25m</t>
    </r>
    <r>
      <rPr>
        <vertAlign val="superscript"/>
        <sz val="12"/>
        <color rgb="FF000000"/>
        <rFont val="Arial"/>
        <family val="2"/>
      </rPr>
      <t>3</t>
    </r>
  </si>
  <si>
    <t>Revenue from volumetric charges for household properties for volumes up to 25m³ per annum for meters up to and including 20mm.</t>
  </si>
  <si>
    <t>P4.19</t>
  </si>
  <si>
    <r>
      <rPr>
        <sz val="12"/>
        <color rgb="FF000000"/>
        <rFont val="Arial"/>
        <family val="2"/>
      </rPr>
      <t>20mm meters, annual volume &gt; 25m</t>
    </r>
    <r>
      <rPr>
        <vertAlign val="superscript"/>
        <sz val="12"/>
        <color rgb="FF000000"/>
        <rFont val="Arial"/>
        <family val="2"/>
      </rPr>
      <t>3</t>
    </r>
  </si>
  <si>
    <t>Revenue from volumetric charges for household properties for volumes above the first 25m³ pa for meters up to and including 20mm.</t>
  </si>
  <si>
    <t>P4.20</t>
  </si>
  <si>
    <t>Revenue from volumetric charges to household properties with meters larger than 20mm.</t>
  </si>
  <si>
    <t>P4.21</t>
  </si>
  <si>
    <t>Total revenue from household properties supplied on a measured basis.</t>
  </si>
  <si>
    <t>Prepared by:   ……………………………………………...…..</t>
  </si>
  <si>
    <t>Checked by:   ……………………………………………...…..</t>
  </si>
  <si>
    <t>Table P5: Wastewater retail charges from unmeasured households</t>
  </si>
  <si>
    <t>Forecast year 2025-26</t>
  </si>
  <si>
    <t>Tariff multipliers: number of dwellings with an unmetered wastewater connection</t>
  </si>
  <si>
    <t>P5.1</t>
  </si>
  <si>
    <t>P5.2</t>
  </si>
  <si>
    <t>P5.3</t>
  </si>
  <si>
    <t>P5.4</t>
  </si>
  <si>
    <t>P5.5</t>
  </si>
  <si>
    <t>P5.6</t>
  </si>
  <si>
    <t>P5.7</t>
  </si>
  <si>
    <t>P5.8</t>
  </si>
  <si>
    <t>P5.9</t>
  </si>
  <si>
    <t>P5.10</t>
  </si>
  <si>
    <t>P5.11</t>
  </si>
  <si>
    <t>P5.12</t>
  </si>
  <si>
    <t>P5.13</t>
  </si>
  <si>
    <t>P5.14</t>
  </si>
  <si>
    <t>P5.15</t>
  </si>
  <si>
    <t>P5.16</t>
  </si>
  <si>
    <t>P5.17</t>
  </si>
  <si>
    <t>Total properties with unmeasured wastewater</t>
  </si>
  <si>
    <t>P5.18</t>
  </si>
  <si>
    <t>Total number of properties with unmeasured wastewater connection</t>
  </si>
  <si>
    <t>P5.19</t>
  </si>
  <si>
    <t>P5.20</t>
  </si>
  <si>
    <t>Tariff multipliers: Number of Band D equivalent dwellings - before the application of discounts, exemptions and WCRS - with an unmetered wastewater connection</t>
  </si>
  <si>
    <t>P5.21</t>
  </si>
  <si>
    <t>P5.22</t>
  </si>
  <si>
    <t xml:space="preserve">Number of Band D equivalent dwellings (before application of discounts, reductions and WCRS), with a wastewater connection not receiving council tax reduction / water charges reduction scheme. </t>
  </si>
  <si>
    <t>P5.23</t>
  </si>
  <si>
    <t xml:space="preserve">Number of Band D equivalent dwellings (before application of discounts, reductions and WCRS), with a wastewater connection classed as second homes - these do not qualify for CTR/WCRS and full water and wastewater charges apply.  </t>
  </si>
  <si>
    <t>P5.24</t>
  </si>
  <si>
    <t xml:space="preserve">Number of Band D equivalent dwellings (before application of discounts, reductions and WCRS), with a wastewater connection classed as long term vacant - these do not qualify for CTR/WCRS and full water and wastewater charges apply.  </t>
  </si>
  <si>
    <t>P5.25</t>
  </si>
  <si>
    <t>Number of Band D equivalent dwellings (before application of discounts, reductions and WCRS), with a wastewater connection receiving partial council tax reduction/partial water charges reduction scheme</t>
  </si>
  <si>
    <t>P5.26</t>
  </si>
  <si>
    <t>Number of Band D equivalent dwellings (before application of discounts, reductions and WCRS), with a wastewater connection receiving full council tax reduction/full water charges reduction scheme</t>
  </si>
  <si>
    <t>P5.27</t>
  </si>
  <si>
    <t>Number of Band D equivalent dwellings (before application of discounts, reductions and WCRS), with a wastewater connection on a single-person discount, which are not receiving council tax reduction/water charges reduction scheme</t>
  </si>
  <si>
    <t>P5.28</t>
  </si>
  <si>
    <t>Number of Band D equivalent dwellings (before application of discounts, reductions and WCRS), with a wastewater connection on a single-person discount, which are receiving partial council tax reduction of more than 71.4%/partial water charges reduction scheme</t>
  </si>
  <si>
    <t>P5.29</t>
  </si>
  <si>
    <t>Number of Band D equivalent dwellings (before application of discounts, reductions and WCRS), with a wastewater connection on a single-person discount, which are receiving partial council tax reduction of less than 71.4%/no water charges reduction scheme</t>
  </si>
  <si>
    <t>P5.30</t>
  </si>
  <si>
    <t>Number of Band D equivalent dwellings (before application of discounts, reductions and WCRS), with a wastewater connection on a single-person discount, which are receiving full council tax reduction/full water charges reduction scheme</t>
  </si>
  <si>
    <t>P5.31</t>
  </si>
  <si>
    <t>Number of Band D equivalent dwellings (before application of discounts, reductions and WCRS), with a wastewater connection on a 50% discount, which are not receiving council tax reduction/water charges reduction scheme</t>
  </si>
  <si>
    <t>P5.32</t>
  </si>
  <si>
    <t xml:space="preserve">Number of Band D equivalent dwellings (before application of discounts, reductions and WCRS), with a wastewater connection on a 50% discount, which are receiving partial council tax reduction - but do not receive any water charges reduction support (35% total limit) </t>
  </si>
  <si>
    <t>P5.33</t>
  </si>
  <si>
    <t xml:space="preserve">Number of Band D equivalent dwellings (before application of discounts, reductions and WCRS), with a wastewater connection on a 50% discount, which are receiving full council tax reduction - but do not receive any WCRS support (35% total limit) </t>
  </si>
  <si>
    <t>P5.34</t>
  </si>
  <si>
    <t>Number of Band D equivalent dwellings (before application of discounts, reductions and WCRS), with a wastewater connection exempt from charges. This includes properties entirely occupied by individuals that are exempt from Council Tax, such as full time students.</t>
  </si>
  <si>
    <t>P5.35</t>
  </si>
  <si>
    <t>Number of Band D equivalent dwellings (before application of discounts, reductions and WCRS), with a wastewater connection exempt from charges - most significant group is short term empty where the dwelling is exempt for 6 months if the dwelling is unoccupied and unfurnished</t>
  </si>
  <si>
    <t>P5.36</t>
  </si>
  <si>
    <t xml:space="preserve">Number of Band D equivalent dwellings (before application of discounts, reductions and WCRS), with a wastewater connection </t>
  </si>
  <si>
    <t>P5.37</t>
  </si>
  <si>
    <t>P5.38</t>
  </si>
  <si>
    <t>P5.39</t>
  </si>
  <si>
    <t>P5.40</t>
  </si>
  <si>
    <t>P5.41</t>
  </si>
  <si>
    <t>P5.42</t>
  </si>
  <si>
    <t>P5.43</t>
  </si>
  <si>
    <t>P5.44</t>
  </si>
  <si>
    <t>P5.45</t>
  </si>
  <si>
    <t>P5.46</t>
  </si>
  <si>
    <t xml:space="preserve">Full CTR /maximum WCRS </t>
  </si>
  <si>
    <t>P5.47</t>
  </si>
  <si>
    <t>No CTR /no WCRS</t>
  </si>
  <si>
    <t>P5.48</t>
  </si>
  <si>
    <t>P5.49</t>
  </si>
  <si>
    <t>P5.50</t>
  </si>
  <si>
    <t>P5.51</t>
  </si>
  <si>
    <t xml:space="preserve">Tariff multipliers: Number of Band D equivalent dwellings (net of discounts, exemptions and WCRS) with an unmetered wastewater connection </t>
  </si>
  <si>
    <t>P5.52</t>
  </si>
  <si>
    <t>Homes with no CTR /no WCRS</t>
  </si>
  <si>
    <t>P5.53</t>
  </si>
  <si>
    <t xml:space="preserve">Number of Band D equivalent dwellings (net of discounts, reductions and WCRS), with a wastewater connection not receiving council tax reduction/water charges reduction scheme. </t>
  </si>
  <si>
    <t>P5.54</t>
  </si>
  <si>
    <t xml:space="preserve">Number of Band D equivalent dwellings (net of discounts, reductions and WCRS), with a wastewater connection classed as second homes - these do not qualify for CTR/WCRS and full water and wastewater charges apply.  </t>
  </si>
  <si>
    <t>P5.55</t>
  </si>
  <si>
    <t xml:space="preserve">Number of Band D equivalent dwellings (net of discounts, reductions and WCRS), with a wastewater connection classed as long term vacant - these do not qualify for CTR/WCRS and full water and wastewater charges apply.  </t>
  </si>
  <si>
    <t>P5.56</t>
  </si>
  <si>
    <t>Number of Band D equivalent dwellings (net of discounts, reductions and WCRS), with a wastewater connection receiving partial council tax reduction/partial water charges reduction scheme</t>
  </si>
  <si>
    <t>P5.57</t>
  </si>
  <si>
    <t>Number of Band D equivalent dwellings (net of discounts, reductions and WCRS), with a wastewater connection receiving full council tax reduction/full water charges reduction scheme</t>
  </si>
  <si>
    <t>P5.58</t>
  </si>
  <si>
    <t>Number of Band D equivalent dwellings (net of discounts, reductions and WCRS), with a wastewater connection on a single-person discount, which are not receiving council tax reduction/water charges reduction scheme</t>
  </si>
  <si>
    <t>P5.59</t>
  </si>
  <si>
    <t>Partial CTR (&lt;71.4% /no WCRS</t>
  </si>
  <si>
    <t>Number of Band D equivalent dwellings (net of discounts, reductions and WCRS), with a wastewater connection on a single-person discount, which are receiving partial council tax reduction of more than 71.4%/partial water charges reduction scheme</t>
  </si>
  <si>
    <t>P5.60</t>
  </si>
  <si>
    <t>Number of Band D equivalent dwellings (net of discounts, reductions and WCRS), with a wastewater connection a single-person discount, which are receiving partial council tax reduction of less than 71.4%/no water charges reduction scheme</t>
  </si>
  <si>
    <t>P5.61</t>
  </si>
  <si>
    <t>Number of Band D equivalent dwellings (net of discounts, reductions and WCRS), with a wastewater connection on a single-person discount, which are receiving full council tax reduction/full water charges reduction scheme</t>
  </si>
  <si>
    <t>P5.62</t>
  </si>
  <si>
    <t>Number of Band D equivalent dwellings (net of discounts, reductions and WCRS), with a wastewater connection on a 50% discount, which are not receiving council tax reduction/water charges reduction scheme</t>
  </si>
  <si>
    <t>P5.63</t>
  </si>
  <si>
    <t xml:space="preserve">Number of Band D equivalent dwellings (net of discounts, reductions and WCRS), with a wastewater connection on a 50% discount, which are receiving partial council tax reduction - but do not receive any water charges reduction support (35% total limit) </t>
  </si>
  <si>
    <t>P5.64</t>
  </si>
  <si>
    <t xml:space="preserve">Number of Band D equivalent dwellings (net of discounts, reductions and WCRS), with a wastewater connection on a 50% discount, which are receiving full council tax reduction - but do not receive any WCRS support (35% total limit) </t>
  </si>
  <si>
    <t>P5.65</t>
  </si>
  <si>
    <t>Number of Band D equivalent dwellings (net of discounts, reductions and WCRS), with a wastewater connection exempt from charges. This includes properties entirely occupied by individuals that are exempt from Council Tax, such as full time students.</t>
  </si>
  <si>
    <t>P5.66</t>
  </si>
  <si>
    <t>Number of Band D equivalent dwellings (net of discounts, reductions and WCRS), with a wastewater connection exempt from charges - most significant group is short term empty where the dwelling is exempt for 6 months if the dwelling is unoccupied and unfurnished</t>
  </si>
  <si>
    <t>P5.67</t>
  </si>
  <si>
    <t xml:space="preserve">Number of Band D equivalent dwellings (net of discounts, reductions and WCRS), with a wastewater connection </t>
  </si>
  <si>
    <t>P5.68</t>
  </si>
  <si>
    <t>Annualised revenue from dwellings (at 30 September in the report year) with an unmetered wastewater connection</t>
  </si>
  <si>
    <t>P5.69</t>
  </si>
  <si>
    <t>P5.70</t>
  </si>
  <si>
    <t xml:space="preserve">Annualised revenue (based on reported data at 30 September of the report year) for dwellings not receiving council tax reduction/water charges reduction scheme. </t>
  </si>
  <si>
    <t>P5.71</t>
  </si>
  <si>
    <t>P5.72</t>
  </si>
  <si>
    <t>P5.73</t>
  </si>
  <si>
    <t>P5.74</t>
  </si>
  <si>
    <t>P5.75</t>
  </si>
  <si>
    <t>P5.76</t>
  </si>
  <si>
    <t>P5.77</t>
  </si>
  <si>
    <t>Annualised revenue (based on reported data at 30 September of the report year) for dwellings a single-person discount, which are receiving partial council tax reduction of less than 71.4%/no water charges reduction scheme</t>
  </si>
  <si>
    <t>P5.78</t>
  </si>
  <si>
    <t>P5.79</t>
  </si>
  <si>
    <t>P5.80</t>
  </si>
  <si>
    <t>P5.81</t>
  </si>
  <si>
    <t>P5.82</t>
  </si>
  <si>
    <t>P5.83</t>
  </si>
  <si>
    <t>Total revenue from properties with unmeasured wastewater</t>
  </si>
  <si>
    <t>P5.84</t>
  </si>
  <si>
    <t>Annualised revenue (based on reported data at 30 September of the report year) for dwellings with a wastewater connection</t>
  </si>
  <si>
    <t>P5.85</t>
  </si>
  <si>
    <t>The share of the revenue (net of discounts, exemptions and WCRS) from dwellings in each council tax band with a wastewater connection in relation to the revenue from all dwellings with a wastewater connection in all bands</t>
  </si>
  <si>
    <t xml:space="preserve">Authorised by:  </t>
  </si>
  <si>
    <t>Table P6: Wastewater retail charges from measured households</t>
  </si>
  <si>
    <t>Foul sewerage</t>
  </si>
  <si>
    <t>P6.1</t>
  </si>
  <si>
    <t>P6.2</t>
  </si>
  <si>
    <t>P6.3</t>
  </si>
  <si>
    <t>Number of household 40mm meters billed as of September of the reporting year</t>
  </si>
  <si>
    <t>P6.4</t>
  </si>
  <si>
    <t>P6.5</t>
  </si>
  <si>
    <t>P6.6</t>
  </si>
  <si>
    <t>First 23.75m³ pa, meters &lt;= 20mm</t>
  </si>
  <si>
    <t>Total volume discharged at the base tariff for the first 23.75m³ pa for meters &lt;=20mm.</t>
  </si>
  <si>
    <t>P6.7</t>
  </si>
  <si>
    <t>Volume over 23.75m³ pa, meters &lt;= 20mm</t>
  </si>
  <si>
    <t>Total volume discharged at the tariff for volumes above the first 23.75m³ pa for meters &lt;=20mm.</t>
  </si>
  <si>
    <t>P6.8</t>
  </si>
  <si>
    <t>Total volume discharged to measured household properties with meters above 20mm.</t>
  </si>
  <si>
    <t>P6.9</t>
  </si>
  <si>
    <t>Total volume discharged to household customers on measured basis.</t>
  </si>
  <si>
    <t>P6.10</t>
  </si>
  <si>
    <t xml:space="preserve"> A1 </t>
  </si>
  <si>
    <t>P6.11</t>
  </si>
  <si>
    <t>P6.12</t>
  </si>
  <si>
    <t>P6.13</t>
  </si>
  <si>
    <t>Tariffs: volumetric charges: measured household properties</t>
  </si>
  <si>
    <t>P6.14</t>
  </si>
  <si>
    <t>First 23.75m³ pa, 20mm meters</t>
  </si>
  <si>
    <t>The base tariff for the first 23.75m³ pa for 20mm meters.</t>
  </si>
  <si>
    <t>P6.15</t>
  </si>
  <si>
    <t>Volume over 23.75m³ pa, 20mm meters</t>
  </si>
  <si>
    <t>The tariff for volumes above the first 23.75m³ pa for 20mm meters.</t>
  </si>
  <si>
    <t>P6.16</t>
  </si>
  <si>
    <t>Revenue: measured household properties</t>
  </si>
  <si>
    <t>P6.17</t>
  </si>
  <si>
    <t>P6.18</t>
  </si>
  <si>
    <t>20mm meters, annual volume &lt;= 23.75m³</t>
  </si>
  <si>
    <t>Revenue from volumetric charges for household properties for volumes up to 23.75m³ per annum for meters up to and including 20mm.</t>
  </si>
  <si>
    <t>P6.19</t>
  </si>
  <si>
    <t>20mm meters, annual volume &gt; 23.75m³</t>
  </si>
  <si>
    <t>Revenue from volumetric charges for household properties for volumes above the first 23.75m³ pa for meters up to and including 20mm.</t>
  </si>
  <si>
    <t>P6.20</t>
  </si>
  <si>
    <t>P6.21</t>
  </si>
  <si>
    <t>Property drainage</t>
  </si>
  <si>
    <t>Tariff multipliers: property drainage for household properties billed measured</t>
  </si>
  <si>
    <t>P6.22</t>
  </si>
  <si>
    <t>Number of Band "A*" properties, paying full charge</t>
  </si>
  <si>
    <t xml:space="preserve"> A2 </t>
  </si>
  <si>
    <t xml:space="preserve"> A3 </t>
  </si>
  <si>
    <t>Number of billed unmeasured household properties in the band, as of September of the reporting year, not receiving discounts. This row excludes voids.</t>
  </si>
  <si>
    <t>P6.23</t>
  </si>
  <si>
    <t>Number of Band "A" properties, paying full charge</t>
  </si>
  <si>
    <t>P6.24</t>
  </si>
  <si>
    <t>Number of Band "B" properties, paying full charge</t>
  </si>
  <si>
    <t>P6.25</t>
  </si>
  <si>
    <t>Number of Band "C" properties, paying full charge</t>
  </si>
  <si>
    <t>P6.26</t>
  </si>
  <si>
    <t>Number of Band "D" properties, paying full charge</t>
  </si>
  <si>
    <t>P6.27</t>
  </si>
  <si>
    <t>Number of Band "E" properties, paying full charge</t>
  </si>
  <si>
    <t>P6.28</t>
  </si>
  <si>
    <t>Number of Band "F" properties, paying full charge</t>
  </si>
  <si>
    <t>P6.29</t>
  </si>
  <si>
    <t>Number of Band "G" properties, paying full charge</t>
  </si>
  <si>
    <t>P6.30</t>
  </si>
  <si>
    <t>Number of Band "H" properties, paying full charge</t>
  </si>
  <si>
    <t>P6.31</t>
  </si>
  <si>
    <t>A2</t>
  </si>
  <si>
    <t>Number of billed metered household properties as of September of the reporting year. This row excludes voids.</t>
  </si>
  <si>
    <t>P6.32</t>
  </si>
  <si>
    <t>Number of Band "D" equivalent properties</t>
  </si>
  <si>
    <t>The total number of properties in each band weighted by the ratio of the charge for the band relative to Band D and the applicable discounts.</t>
  </si>
  <si>
    <t>Tariffs: property drainage for household properties billed measured</t>
  </si>
  <si>
    <t>P6.33</t>
  </si>
  <si>
    <t>Band D charge</t>
  </si>
  <si>
    <t>Revenue: property drainage for household properties billed measured</t>
  </si>
  <si>
    <t>P6.34</t>
  </si>
  <si>
    <t>Total revenue received from unmeasured household property drainage.</t>
  </si>
  <si>
    <t>Roads drainage</t>
  </si>
  <si>
    <t>Tariff multipliers: roads drainage for household properties billed measured</t>
  </si>
  <si>
    <t>P6.35</t>
  </si>
  <si>
    <t>P6.36</t>
  </si>
  <si>
    <t>P6.37</t>
  </si>
  <si>
    <t>P6.38</t>
  </si>
  <si>
    <t>P6.39</t>
  </si>
  <si>
    <t>P6.40</t>
  </si>
  <si>
    <t>P6.41</t>
  </si>
  <si>
    <t>P6.42</t>
  </si>
  <si>
    <t>P6.43</t>
  </si>
  <si>
    <t>P6.44</t>
  </si>
  <si>
    <t>P6.45</t>
  </si>
  <si>
    <t>Tariffs: roads drainage for household properties billed measured</t>
  </si>
  <si>
    <t>P6.46</t>
  </si>
  <si>
    <t>Revenue: roads drainage for household properties billed measured</t>
  </si>
  <si>
    <t>P6.47</t>
  </si>
  <si>
    <t>Total revenue received from unmeasured household surface water drainage.</t>
  </si>
  <si>
    <t>2024-25</t>
  </si>
  <si>
    <t>2025-26</t>
  </si>
  <si>
    <t xml:space="preserve">Authorised by:   </t>
  </si>
  <si>
    <t>Report year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</si>
</sst>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0;&quot;-&quot;#0;#0;_(@_)"/>
    <numFmt numFmtId="165" formatCode="#,##0.000000;&quot;-&quot;#,##0.000000;#,##0.000000;_(@_)"/>
    <numFmt numFmtId="166" formatCode="* #,##0.000000;* &quot;-&quot;#,##0.000000;* &quot;—&quot;;_(@_)"/>
    <numFmt numFmtId="167" formatCode="#,##0.000000;&quot;-&quot;#,##0.000000;&quot;—&quot;;_(@_)"/>
    <numFmt numFmtId="168" formatCode="#0.000000;&quot;-&quot;#0.000000;#0.000000;_(@_)"/>
    <numFmt numFmtId="169" formatCode="&quot;&quot;* #,##0.000000_);&quot;&quot;* \(#,##0.000000\);&quot;&quot;* #,##0.000000_);_(@_)"/>
    <numFmt numFmtId="170" formatCode="#,##0;&quot;-&quot;#,##0;#,##0;_(@_)"/>
    <numFmt numFmtId="171" formatCode="* #,##0;* &quot;-&quot;#,##0;* &quot;—&quot;;_(@_)"/>
    <numFmt numFmtId="172" formatCode="#,##0;&quot;-&quot;#,##0;&quot;—&quot;;_(@_)"/>
    <numFmt numFmtId="173" formatCode="#,##0.00;&quot;-&quot;#,##0.00;#,##0.00;_(@_)"/>
    <numFmt numFmtId="174" formatCode="#0.00;&quot;-&quot;#0.00;#0.00;_(@_)"/>
    <numFmt numFmtId="175" formatCode="#0.000%;&quot;-&quot;#0.000%;&quot;-&quot;\%;_(@_)"/>
    <numFmt numFmtId="176" formatCode="#0.000_)%;\(#0.000\)%;#0.000_)%;_(@_)"/>
    <numFmt numFmtId="177" formatCode="&quot;&quot;* #,##0_);&quot;&quot;* \(#,##0\);&quot;&quot;* #,##0_);_(@_)"/>
    <numFmt numFmtId="178" formatCode="* #,##0.0000;* &quot;-&quot;#,##0.0000;* &quot;—&quot;;_(@_)"/>
    <numFmt numFmtId="179" formatCode="#0.0000;&quot;-&quot;#0.0000;#0.0000;_(@_)"/>
    <numFmt numFmtId="180" formatCode="#0.00%;&quot;-&quot;#0.00%;&quot;-&quot;\%;_(@_)"/>
    <numFmt numFmtId="181" formatCode="#0.00_)%;\(#0.00\)%;#0.00_)%;_(@_)"/>
    <numFmt numFmtId="182" formatCode="* #,##0.0;* &quot;-&quot;#,##0.0;* &quot;—&quot;;_(@_)"/>
    <numFmt numFmtId="183" formatCode="* #,##0.00;* &quot;-&quot;#,##0.00;* &quot;—&quot;;_(@_)"/>
    <numFmt numFmtId="184" formatCode="#0.#######################;&quot;-&quot;#0.#######################;#0.#######################;_(@_)"/>
    <numFmt numFmtId="185" formatCode="#,##0.0000;&quot;-&quot;#,##0.0000;#,##0.0000;_(@_)"/>
    <numFmt numFmtId="186" formatCode="#0.000000_)%;\(#0.000000\)%;#0.000000_)%;_(@_)"/>
    <numFmt numFmtId="187" formatCode="#0_)%;\(#0\)%;#0_)%;_(@_)"/>
    <numFmt numFmtId="188" formatCode="#0.0%;&quot;-&quot;#0.0%;&quot;-&quot;\%;_(@_)"/>
    <numFmt numFmtId="189" formatCode="#0.#######################%;&quot;-&quot;#0.#######################%;&quot;-&quot;\%;_(@_)"/>
    <numFmt numFmtId="190" formatCode="0.0000"/>
  </numFmts>
  <fonts count="33"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sz val="11"/>
      <color rgb="FF000000"/>
      <name val="Arial"/>
      <family val="2"/>
    </font>
    <font>
      <b/>
      <sz val="12"/>
      <color rgb="FF000000"/>
      <name val="Arial"/>
      <family val="2"/>
    </font>
    <font>
      <i/>
      <sz val="11"/>
      <color rgb="FF000000"/>
      <name val="Arial"/>
      <family val="2"/>
    </font>
    <font>
      <strike/>
      <sz val="11"/>
      <color rgb="FF000000"/>
      <name val="Arial"/>
      <family val="2"/>
    </font>
    <font>
      <i/>
      <strike/>
      <sz val="11"/>
      <color rgb="FF000000"/>
      <name val="Arial"/>
      <family val="2"/>
    </font>
    <font>
      <strike/>
      <sz val="10"/>
      <color rgb="FF000000"/>
      <name val="Arial"/>
      <family val="2"/>
    </font>
    <font>
      <b/>
      <sz val="48"/>
      <color rgb="FF000000"/>
      <name val="Arial"/>
      <family val="2"/>
    </font>
    <font>
      <b/>
      <sz val="12"/>
      <color rgb="FFFF0000"/>
      <name val="Arial"/>
      <family val="2"/>
    </font>
    <font>
      <strike/>
      <sz val="12"/>
      <color rgb="FF000000"/>
      <name val="Arial"/>
      <family val="2"/>
    </font>
    <font>
      <b/>
      <sz val="14"/>
      <color rgb="FF000000"/>
      <name val="Arial"/>
      <family val="2"/>
    </font>
    <font>
      <sz val="12"/>
      <color rgb="FF000000"/>
      <name val="Calibri"/>
      <family val="2"/>
    </font>
    <font>
      <sz val="11"/>
      <color rgb="FF000000"/>
      <name val="Calibri"/>
      <family val="2"/>
    </font>
    <font>
      <strike/>
      <sz val="11"/>
      <color rgb="FF000000"/>
      <name val="Calibri"/>
      <family val="2"/>
    </font>
    <font>
      <b/>
      <strike/>
      <sz val="16"/>
      <color rgb="FF000000"/>
      <name val="Arial"/>
      <family val="2"/>
    </font>
    <font>
      <b/>
      <sz val="48"/>
      <color rgb="FFFF0000"/>
      <name val="Arial"/>
      <family val="2"/>
    </font>
    <font>
      <b/>
      <sz val="11"/>
      <color rgb="FF000000"/>
      <name val="Arial"/>
      <family val="2"/>
    </font>
    <font>
      <sz val="16"/>
      <color rgb="FF000000"/>
      <name val="Arial"/>
      <family val="2"/>
    </font>
    <font>
      <sz val="10"/>
      <color rgb="FF000000"/>
      <name val="Calibri"/>
      <family val="2"/>
    </font>
    <font>
      <b/>
      <sz val="16"/>
      <color rgb="FF3366FF"/>
      <name val="Arial"/>
      <family val="2"/>
    </font>
    <font>
      <b/>
      <sz val="12"/>
      <color rgb="FF3366FF"/>
      <name val="Arial"/>
      <family val="2"/>
    </font>
    <font>
      <sz val="11"/>
      <color rgb="FFFFFFFF"/>
      <name val="Calibri"/>
      <family val="2"/>
    </font>
    <font>
      <vertAlign val="superscript"/>
      <sz val="12"/>
      <color rgb="FF000000"/>
      <name val="Arial"/>
      <family val="2"/>
    </font>
    <font>
      <sz val="10"/>
      <name val="Arial"/>
      <family val="2"/>
    </font>
    <font>
      <b/>
      <sz val="16"/>
      <name val="Arial"/>
      <family val="2"/>
    </font>
    <font>
      <sz val="11"/>
      <color rgb="FF242424"/>
      <name val="Aptos Narrow"/>
      <family val="2"/>
    </font>
    <font>
      <b/>
      <sz val="12"/>
      <name val="Arial"/>
      <family val="2"/>
    </font>
  </fonts>
  <fills count="7">
    <fill>
      <patternFill patternType="none"/>
    </fill>
    <fill>
      <patternFill patternType="gray125"/>
    </fill>
    <fill>
      <patternFill patternType="solid">
        <fgColor rgb="FFFFFF99"/>
        <bgColor indexed="64"/>
      </patternFill>
    </fill>
    <fill>
      <patternFill patternType="solid">
        <fgColor rgb="FFFF99CC"/>
        <bgColor indexed="64"/>
      </patternFill>
    </fill>
    <fill>
      <patternFill patternType="solid">
        <fgColor rgb="FFCCFFFF"/>
        <bgColor indexed="64"/>
      </patternFill>
    </fill>
    <fill>
      <patternFill patternType="solid">
        <fgColor rgb="FFFFFF00"/>
        <bgColor indexed="64"/>
      </patternFill>
    </fill>
    <fill>
      <patternFill patternType="solid">
        <fgColor rgb="FFFFFFFF"/>
        <bgColor indexed="64"/>
      </patternFill>
    </fill>
  </fills>
  <borders count="7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style="medium">
        <color rgb="FF000000"/>
      </top>
      <bottom style="thin">
        <color rgb="FF000000"/>
      </bottom>
      <diagonal/>
    </border>
    <border>
      <left/>
      <right/>
      <top style="medium">
        <color rgb="FF000000"/>
      </top>
      <bottom/>
      <diagonal/>
    </border>
    <border>
      <left style="medium">
        <color rgb="FF000000"/>
      </left>
      <right/>
      <top style="medium">
        <color rgb="FF000000"/>
      </top>
      <bottom style="medium">
        <color rgb="FF000000"/>
      </bottom>
      <diagonal/>
    </border>
    <border>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29" fillId="0" borderId="0"/>
  </cellStyleXfs>
  <cellXfs count="531">
    <xf numFmtId="0" fontId="0" fillId="0" borderId="0" xfId="0"/>
    <xf numFmtId="0" fontId="1" fillId="0" borderId="0" xfId="1">
      <alignment wrapText="1"/>
    </xf>
    <xf numFmtId="0" fontId="1" fillId="0" borderId="2" xfId="0" applyFont="1" applyBorder="1" applyAlignment="1">
      <alignment horizontal="center" vertical="center" wrapText="1"/>
    </xf>
    <xf numFmtId="0" fontId="1" fillId="0" borderId="6" xfId="0" applyFont="1" applyBorder="1" applyAlignment="1">
      <alignment wrapText="1"/>
    </xf>
    <xf numFmtId="0" fontId="1" fillId="0" borderId="7" xfId="0" applyFont="1" applyBorder="1" applyAlignment="1">
      <alignment wrapText="1"/>
    </xf>
    <xf numFmtId="0" fontId="1" fillId="0" borderId="8" xfId="0" applyFont="1" applyBorder="1" applyAlignment="1">
      <alignment wrapText="1"/>
    </xf>
    <xf numFmtId="0" fontId="7" fillId="0" borderId="0" xfId="0" applyFont="1" applyAlignment="1">
      <alignment wrapText="1"/>
    </xf>
    <xf numFmtId="0" fontId="6" fillId="0" borderId="0" xfId="0" applyFont="1" applyAlignment="1">
      <alignment wrapText="1"/>
    </xf>
    <xf numFmtId="0" fontId="7" fillId="0" borderId="11" xfId="0" applyFont="1" applyBorder="1" applyAlignment="1">
      <alignment wrapText="1"/>
    </xf>
    <xf numFmtId="0" fontId="8" fillId="2" borderId="2" xfId="0" applyFont="1" applyFill="1" applyBorder="1" applyAlignment="1">
      <alignment horizontal="left" vertical="top" wrapText="1"/>
    </xf>
    <xf numFmtId="0" fontId="7" fillId="0" borderId="2" xfId="0" applyFont="1" applyBorder="1" applyAlignment="1">
      <alignment wrapText="1"/>
    </xf>
    <xf numFmtId="165" fontId="2" fillId="3" borderId="2" xfId="0" applyNumberFormat="1" applyFont="1" applyFill="1" applyBorder="1" applyAlignment="1">
      <alignment horizontal="right" vertical="center" wrapText="1"/>
    </xf>
    <xf numFmtId="166" fontId="2" fillId="3" borderId="2" xfId="0" applyNumberFormat="1" applyFont="1" applyFill="1" applyBorder="1" applyAlignment="1">
      <alignment vertical="center" wrapText="1"/>
    </xf>
    <xf numFmtId="165" fontId="2" fillId="4" borderId="2" xfId="0" applyNumberFormat="1" applyFont="1" applyFill="1" applyBorder="1" applyAlignment="1">
      <alignment horizontal="right" vertical="center" wrapText="1"/>
    </xf>
    <xf numFmtId="167" fontId="2" fillId="4" borderId="2" xfId="0" applyNumberFormat="1" applyFont="1" applyFill="1" applyBorder="1" applyAlignment="1">
      <alignment horizontal="right" vertical="center" wrapText="1"/>
    </xf>
    <xf numFmtId="0" fontId="2" fillId="4" borderId="2" xfId="0" applyFont="1" applyFill="1" applyBorder="1" applyAlignment="1">
      <alignment horizontal="right" vertical="center" wrapText="1"/>
    </xf>
    <xf numFmtId="168" fontId="2" fillId="3" borderId="2" xfId="0" applyNumberFormat="1" applyFont="1" applyFill="1" applyBorder="1" applyAlignment="1">
      <alignment horizontal="right" vertical="center" wrapText="1"/>
    </xf>
    <xf numFmtId="168" fontId="9" fillId="0" borderId="2" xfId="0" applyNumberFormat="1" applyFont="1" applyBorder="1" applyAlignment="1">
      <alignment wrapText="1"/>
    </xf>
    <xf numFmtId="166" fontId="9" fillId="0" borderId="2" xfId="0" applyNumberFormat="1" applyFont="1" applyBorder="1" applyAlignment="1">
      <alignment wrapText="1"/>
    </xf>
    <xf numFmtId="167" fontId="9" fillId="0" borderId="2" xfId="0" applyNumberFormat="1" applyFont="1" applyBorder="1" applyAlignment="1">
      <alignment wrapText="1"/>
    </xf>
    <xf numFmtId="165" fontId="9" fillId="0" borderId="7" xfId="0" applyNumberFormat="1" applyFont="1" applyBorder="1" applyAlignment="1">
      <alignment wrapText="1"/>
    </xf>
    <xf numFmtId="168" fontId="9" fillId="0" borderId="7" xfId="0" applyNumberFormat="1" applyFont="1" applyBorder="1" applyAlignment="1">
      <alignment wrapText="1"/>
    </xf>
    <xf numFmtId="166" fontId="9" fillId="0" borderId="7" xfId="0" applyNumberFormat="1" applyFont="1" applyBorder="1" applyAlignment="1">
      <alignment wrapText="1"/>
    </xf>
    <xf numFmtId="169" fontId="9" fillId="0" borderId="7" xfId="0" applyNumberFormat="1" applyFont="1" applyBorder="1" applyAlignment="1">
      <alignment wrapText="1"/>
    </xf>
    <xf numFmtId="0" fontId="8" fillId="2" borderId="4" xfId="0" applyFont="1" applyFill="1" applyBorder="1" applyAlignment="1">
      <alignment horizontal="left" vertical="top" wrapText="1"/>
    </xf>
    <xf numFmtId="170" fontId="2" fillId="3" borderId="2" xfId="0" applyNumberFormat="1" applyFont="1" applyFill="1" applyBorder="1" applyAlignment="1">
      <alignment horizontal="right" vertical="center" wrapText="1"/>
    </xf>
    <xf numFmtId="171" fontId="2" fillId="3" borderId="2" xfId="0" applyNumberFormat="1" applyFont="1" applyFill="1" applyBorder="1" applyAlignment="1">
      <alignment vertical="center" wrapText="1"/>
    </xf>
    <xf numFmtId="168" fontId="2" fillId="4" borderId="2" xfId="0" applyNumberFormat="1" applyFont="1" applyFill="1" applyBorder="1" applyAlignment="1">
      <alignment horizontal="right" vertical="center" wrapText="1"/>
    </xf>
    <xf numFmtId="166" fontId="2" fillId="4" borderId="2" xfId="0" applyNumberFormat="1" applyFont="1" applyFill="1" applyBorder="1" applyAlignment="1">
      <alignment vertical="center" wrapText="1"/>
    </xf>
    <xf numFmtId="165" fontId="9" fillId="0" borderId="2" xfId="0" applyNumberFormat="1" applyFont="1" applyBorder="1" applyAlignment="1">
      <alignment wrapText="1"/>
    </xf>
    <xf numFmtId="165" fontId="9" fillId="0" borderId="2" xfId="0" applyNumberFormat="1" applyFont="1" applyBorder="1" applyAlignment="1">
      <alignment horizontal="right" wrapText="1"/>
    </xf>
    <xf numFmtId="0" fontId="8" fillId="2" borderId="2" xfId="0" applyFont="1" applyFill="1" applyBorder="1" applyAlignment="1">
      <alignment horizontal="center" vertical="top" wrapText="1"/>
    </xf>
    <xf numFmtId="164" fontId="2" fillId="4" borderId="2" xfId="0" applyNumberFormat="1" applyFont="1" applyFill="1" applyBorder="1" applyAlignment="1">
      <alignment horizontal="right" vertical="center" wrapText="1"/>
    </xf>
    <xf numFmtId="170" fontId="2" fillId="4" borderId="2" xfId="0" applyNumberFormat="1" applyFont="1" applyFill="1" applyBorder="1" applyAlignment="1">
      <alignment horizontal="right" vertical="center" wrapText="1"/>
    </xf>
    <xf numFmtId="171" fontId="2" fillId="4" borderId="2" xfId="0" applyNumberFormat="1" applyFont="1" applyFill="1" applyBorder="1" applyAlignment="1">
      <alignment vertical="center" wrapText="1"/>
    </xf>
    <xf numFmtId="172" fontId="2" fillId="4" borderId="2" xfId="0" applyNumberFormat="1" applyFont="1" applyFill="1" applyBorder="1" applyAlignment="1">
      <alignment horizontal="right" vertical="center" wrapText="1"/>
    </xf>
    <xf numFmtId="170" fontId="9" fillId="0" borderId="2" xfId="0" applyNumberFormat="1" applyFont="1" applyBorder="1" applyAlignment="1">
      <alignment horizontal="right" wrapText="1"/>
    </xf>
    <xf numFmtId="170" fontId="9" fillId="0" borderId="2" xfId="0" applyNumberFormat="1" applyFont="1" applyBorder="1" applyAlignment="1">
      <alignment wrapText="1"/>
    </xf>
    <xf numFmtId="173" fontId="9" fillId="0" borderId="7" xfId="0" applyNumberFormat="1" applyFont="1" applyBorder="1" applyAlignment="1">
      <alignment wrapText="1"/>
    </xf>
    <xf numFmtId="174" fontId="9" fillId="0" borderId="7" xfId="0" applyNumberFormat="1" applyFont="1" applyBorder="1" applyAlignment="1">
      <alignment wrapText="1"/>
    </xf>
    <xf numFmtId="0" fontId="7" fillId="0" borderId="8" xfId="0" applyFont="1" applyBorder="1" applyAlignment="1">
      <alignment wrapText="1"/>
    </xf>
    <xf numFmtId="0" fontId="1" fillId="0" borderId="14" xfId="0" applyFont="1" applyBorder="1" applyAlignment="1">
      <alignment horizontal="left" wrapText="1"/>
    </xf>
    <xf numFmtId="0" fontId="1" fillId="0" borderId="0" xfId="0" applyFont="1" applyAlignment="1">
      <alignment horizontal="left" wrapText="1"/>
    </xf>
    <xf numFmtId="0" fontId="4" fillId="0" borderId="8" xfId="0" applyFont="1" applyBorder="1" applyAlignment="1">
      <alignment wrapText="1"/>
    </xf>
    <xf numFmtId="0" fontId="10" fillId="0" borderId="14" xfId="0" applyFont="1" applyBorder="1" applyAlignment="1">
      <alignment wrapText="1"/>
    </xf>
    <xf numFmtId="0" fontId="7" fillId="0" borderId="17" xfId="0" applyFont="1" applyBorder="1" applyAlignment="1">
      <alignment wrapText="1"/>
    </xf>
    <xf numFmtId="0" fontId="2" fillId="0" borderId="6"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2" fillId="2" borderId="1" xfId="0" applyFont="1" applyFill="1" applyBorder="1" applyAlignment="1">
      <alignment wrapText="1"/>
    </xf>
    <xf numFmtId="0" fontId="9" fillId="0" borderId="8" xfId="0" applyFont="1" applyBorder="1" applyAlignment="1">
      <alignment wrapText="1"/>
    </xf>
    <xf numFmtId="0" fontId="11" fillId="0" borderId="8" xfId="0" applyFont="1" applyBorder="1" applyAlignment="1">
      <alignment horizontal="right" wrapText="1"/>
    </xf>
    <xf numFmtId="0" fontId="11" fillId="0" borderId="8" xfId="0" applyFont="1" applyBorder="1" applyAlignment="1">
      <alignment wrapText="1"/>
    </xf>
    <xf numFmtId="0" fontId="1" fillId="0" borderId="12" xfId="0" applyFont="1" applyBorder="1" applyAlignment="1">
      <alignment wrapText="1"/>
    </xf>
    <xf numFmtId="0" fontId="12" fillId="0" borderId="18" xfId="0" applyFont="1" applyBorder="1" applyAlignment="1">
      <alignment wrapText="1"/>
    </xf>
    <xf numFmtId="0" fontId="12" fillId="0" borderId="15" xfId="0" applyFont="1" applyBorder="1" applyAlignment="1">
      <alignment wrapText="1"/>
    </xf>
    <xf numFmtId="0" fontId="1" fillId="0" borderId="14" xfId="0" applyFont="1" applyBorder="1" applyAlignment="1">
      <alignment wrapText="1"/>
    </xf>
    <xf numFmtId="0" fontId="1" fillId="0" borderId="13" xfId="0" applyFont="1" applyBorder="1" applyAlignment="1">
      <alignment wrapText="1"/>
    </xf>
    <xf numFmtId="0" fontId="1" fillId="0" borderId="18" xfId="0" applyFont="1" applyBorder="1" applyAlignment="1">
      <alignment wrapText="1"/>
    </xf>
    <xf numFmtId="0" fontId="2" fillId="0" borderId="0" xfId="0" applyFont="1" applyAlignment="1">
      <alignment horizontal="right" wrapText="1" indent="1"/>
    </xf>
    <xf numFmtId="0" fontId="2" fillId="0" borderId="11" xfId="0" applyFont="1" applyBorder="1" applyAlignment="1">
      <alignment horizontal="right" wrapText="1" indent="1"/>
    </xf>
    <xf numFmtId="0" fontId="8" fillId="2" borderId="2" xfId="0" applyFont="1" applyFill="1" applyBorder="1" applyAlignment="1">
      <alignment horizontal="right" vertical="top" wrapText="1" indent="1"/>
    </xf>
    <xf numFmtId="0" fontId="2" fillId="0" borderId="2" xfId="0" applyFont="1" applyBorder="1" applyAlignment="1">
      <alignment horizontal="left" wrapText="1"/>
    </xf>
    <xf numFmtId="0" fontId="2" fillId="0" borderId="2" xfId="0" applyFont="1" applyBorder="1" applyAlignment="1">
      <alignment horizontal="center" vertical="center" wrapText="1"/>
    </xf>
    <xf numFmtId="171" fontId="2" fillId="3" borderId="2" xfId="0" applyNumberFormat="1" applyFont="1" applyFill="1" applyBorder="1" applyAlignment="1">
      <alignment vertical="center" wrapText="1" indent="1"/>
    </xf>
    <xf numFmtId="0" fontId="2" fillId="0" borderId="0" xfId="0" applyFont="1" applyAlignment="1">
      <alignment wrapText="1"/>
    </xf>
    <xf numFmtId="0" fontId="2" fillId="0" borderId="7" xfId="0" applyFont="1" applyBorder="1" applyAlignment="1">
      <alignment horizontal="right" vertical="center" wrapText="1" indent="1"/>
    </xf>
    <xf numFmtId="175" fontId="2" fillId="3" borderId="2" xfId="0" applyNumberFormat="1" applyFont="1" applyFill="1" applyBorder="1" applyAlignment="1">
      <alignment horizontal="right" vertical="center" wrapText="1" indent="1"/>
    </xf>
    <xf numFmtId="176" fontId="2" fillId="3" borderId="2" xfId="0" applyNumberFormat="1" applyFont="1" applyFill="1" applyBorder="1" applyAlignment="1">
      <alignment horizontal="right" vertical="center" wrapText="1" indent="1"/>
    </xf>
    <xf numFmtId="0" fontId="2" fillId="0" borderId="7" xfId="0" applyFont="1" applyBorder="1" applyAlignment="1">
      <alignment horizontal="right" wrapText="1" indent="1"/>
    </xf>
    <xf numFmtId="177" fontId="2" fillId="3" borderId="2" xfId="0" applyNumberFormat="1" applyFont="1" applyFill="1" applyBorder="1" applyAlignment="1">
      <alignment vertical="center" wrapText="1" indent="1"/>
    </xf>
    <xf numFmtId="0" fontId="2" fillId="0" borderId="2" xfId="0" applyFont="1" applyBorder="1" applyAlignment="1">
      <alignment wrapText="1"/>
    </xf>
    <xf numFmtId="0" fontId="2" fillId="0" borderId="8" xfId="0" applyFont="1" applyBorder="1" applyAlignment="1">
      <alignment horizontal="right" wrapText="1" indent="1"/>
    </xf>
    <xf numFmtId="0" fontId="8" fillId="0" borderId="11" xfId="0" applyFont="1" applyBorder="1" applyAlignment="1">
      <alignment horizontal="left" wrapText="1"/>
    </xf>
    <xf numFmtId="0" fontId="2" fillId="0" borderId="2" xfId="0" applyFont="1" applyBorder="1" applyAlignment="1">
      <alignment horizontal="left" vertical="top" wrapText="1"/>
    </xf>
    <xf numFmtId="0" fontId="2" fillId="0" borderId="2" xfId="0" applyFont="1" applyBorder="1" applyAlignment="1">
      <alignment horizontal="center" vertical="top" wrapText="1"/>
    </xf>
    <xf numFmtId="171" fontId="2" fillId="4" borderId="2" xfId="0" applyNumberFormat="1" applyFont="1" applyFill="1" applyBorder="1" applyAlignment="1">
      <alignment vertical="center" wrapText="1" indent="1"/>
    </xf>
    <xf numFmtId="0" fontId="2" fillId="0" borderId="2" xfId="0" applyFont="1" applyBorder="1" applyAlignment="1">
      <alignment horizontal="left" vertical="center" wrapText="1"/>
    </xf>
    <xf numFmtId="0" fontId="2" fillId="4" borderId="2" xfId="0" applyFont="1" applyFill="1" applyBorder="1" applyAlignment="1">
      <alignment horizontal="right" vertical="center" wrapText="1" indent="1"/>
    </xf>
    <xf numFmtId="173" fontId="2" fillId="4" borderId="2" xfId="0" applyNumberFormat="1" applyFont="1" applyFill="1" applyBorder="1" applyAlignment="1">
      <alignment horizontal="right" vertical="center" wrapText="1" indent="1"/>
    </xf>
    <xf numFmtId="0" fontId="8" fillId="2" borderId="2" xfId="0" applyFont="1" applyFill="1" applyBorder="1" applyAlignment="1">
      <alignment horizontal="left" wrapText="1"/>
    </xf>
    <xf numFmtId="0" fontId="2" fillId="0" borderId="20" xfId="0" applyFont="1" applyBorder="1" applyAlignment="1">
      <alignment horizontal="right" wrapText="1" indent="1"/>
    </xf>
    <xf numFmtId="170" fontId="2" fillId="4" borderId="2" xfId="0" applyNumberFormat="1" applyFont="1" applyFill="1" applyBorder="1" applyAlignment="1">
      <alignment horizontal="right" vertical="center" wrapText="1" indent="1"/>
    </xf>
    <xf numFmtId="170" fontId="2" fillId="3" borderId="2" xfId="0" applyNumberFormat="1" applyFont="1" applyFill="1" applyBorder="1" applyAlignment="1">
      <alignment horizontal="right" vertical="center" wrapText="1" indent="1"/>
    </xf>
    <xf numFmtId="0" fontId="2" fillId="0" borderId="11" xfId="0" applyFont="1" applyBorder="1" applyAlignment="1">
      <alignment horizontal="right" vertical="center" wrapText="1" indent="1"/>
    </xf>
    <xf numFmtId="178" fontId="2" fillId="4" borderId="2" xfId="0" applyNumberFormat="1" applyFont="1" applyFill="1" applyBorder="1" applyAlignment="1">
      <alignment vertical="center" wrapText="1" indent="1"/>
    </xf>
    <xf numFmtId="179" fontId="2" fillId="4" borderId="2" xfId="0" applyNumberFormat="1" applyFont="1" applyFill="1" applyBorder="1" applyAlignment="1">
      <alignment horizontal="right" vertical="center" wrapText="1" indent="1"/>
    </xf>
    <xf numFmtId="0" fontId="2" fillId="0" borderId="8" xfId="0" applyFont="1" applyBorder="1" applyAlignment="1">
      <alignment horizontal="right" vertical="center" wrapText="1" indent="1"/>
    </xf>
    <xf numFmtId="180" fontId="2" fillId="3" borderId="2" xfId="0" applyNumberFormat="1" applyFont="1" applyFill="1" applyBorder="1" applyAlignment="1">
      <alignment horizontal="right" vertical="center" wrapText="1" indent="1"/>
    </xf>
    <xf numFmtId="181" fontId="2" fillId="3" borderId="2" xfId="0" applyNumberFormat="1" applyFont="1" applyFill="1" applyBorder="1" applyAlignment="1">
      <alignment horizontal="right" vertical="center" wrapText="1" indent="1"/>
    </xf>
    <xf numFmtId="182" fontId="2" fillId="4" borderId="2" xfId="0" applyNumberFormat="1" applyFont="1" applyFill="1" applyBorder="1" applyAlignment="1">
      <alignment vertical="center" wrapText="1" indent="1"/>
    </xf>
    <xf numFmtId="164" fontId="2" fillId="4" borderId="2" xfId="0" applyNumberFormat="1" applyFont="1" applyFill="1" applyBorder="1" applyAlignment="1">
      <alignment horizontal="right" vertical="center" wrapText="1" indent="1"/>
    </xf>
    <xf numFmtId="172" fontId="2" fillId="4" borderId="2" xfId="0" applyNumberFormat="1" applyFont="1" applyFill="1" applyBorder="1" applyAlignment="1">
      <alignment horizontal="right" vertical="center" wrapText="1" indent="1"/>
    </xf>
    <xf numFmtId="183" fontId="2" fillId="4" borderId="2" xfId="0" applyNumberFormat="1" applyFont="1" applyFill="1" applyBorder="1" applyAlignment="1">
      <alignment vertical="center" wrapText="1" indent="1"/>
    </xf>
    <xf numFmtId="184" fontId="2" fillId="0" borderId="8" xfId="0" applyNumberFormat="1" applyFont="1" applyBorder="1" applyAlignment="1">
      <alignment horizontal="right" wrapText="1" indent="1"/>
    </xf>
    <xf numFmtId="185" fontId="2" fillId="4" borderId="2" xfId="0" applyNumberFormat="1" applyFont="1" applyFill="1" applyBorder="1" applyAlignment="1">
      <alignment horizontal="right" vertical="center" wrapText="1" indent="1"/>
    </xf>
    <xf numFmtId="0" fontId="2" fillId="0" borderId="1" xfId="0" applyFont="1" applyBorder="1" applyAlignment="1">
      <alignment wrapText="1"/>
    </xf>
    <xf numFmtId="0" fontId="2" fillId="0" borderId="4" xfId="0" applyFont="1" applyBorder="1" applyAlignment="1">
      <alignment horizontal="center" vertical="center" wrapText="1"/>
    </xf>
    <xf numFmtId="171" fontId="2" fillId="5" borderId="2" xfId="0" applyNumberFormat="1" applyFont="1" applyFill="1" applyBorder="1" applyAlignment="1">
      <alignment vertical="center" wrapText="1" indent="1"/>
    </xf>
    <xf numFmtId="0" fontId="2" fillId="0" borderId="9" xfId="0" applyFont="1" applyBorder="1" applyAlignment="1">
      <alignment horizontal="right" wrapText="1" indent="1"/>
    </xf>
    <xf numFmtId="0" fontId="4" fillId="0" borderId="8" xfId="0" applyFont="1" applyBorder="1" applyAlignment="1">
      <alignment horizontal="left" wrapText="1"/>
    </xf>
    <xf numFmtId="0" fontId="2" fillId="0" borderId="14" xfId="0" applyFont="1" applyBorder="1" applyAlignment="1">
      <alignment wrapText="1"/>
    </xf>
    <xf numFmtId="0" fontId="7" fillId="0" borderId="21" xfId="0" applyFont="1" applyBorder="1" applyAlignment="1">
      <alignment horizontal="left" wrapText="1"/>
    </xf>
    <xf numFmtId="0" fontId="13" fillId="0" borderId="21" xfId="0" applyFont="1" applyBorder="1" applyAlignment="1">
      <alignment wrapText="1"/>
    </xf>
    <xf numFmtId="0" fontId="2" fillId="0" borderId="5" xfId="0" applyFont="1" applyBorder="1" applyAlignment="1">
      <alignment wrapText="1"/>
    </xf>
    <xf numFmtId="0" fontId="2" fillId="0" borderId="7" xfId="0" applyFont="1" applyBorder="1" applyAlignment="1">
      <alignment horizontal="left" wrapText="1"/>
    </xf>
    <xf numFmtId="0" fontId="2" fillId="0" borderId="7" xfId="0" applyFont="1" applyBorder="1" applyAlignment="1">
      <alignment wrapText="1"/>
    </xf>
    <xf numFmtId="0" fontId="2" fillId="0" borderId="7" xfId="0" applyFont="1" applyBorder="1" applyAlignment="1">
      <alignment horizontal="center" vertical="center" wrapText="1"/>
    </xf>
    <xf numFmtId="0" fontId="2" fillId="0" borderId="8"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8" fillId="2" borderId="1" xfId="0" applyFont="1" applyFill="1" applyBorder="1" applyAlignment="1">
      <alignment horizontal="left" vertical="top" wrapText="1"/>
    </xf>
    <xf numFmtId="0" fontId="14" fillId="0" borderId="6" xfId="0" applyFont="1" applyBorder="1" applyAlignment="1">
      <alignment horizontal="left" vertical="top" wrapText="1"/>
    </xf>
    <xf numFmtId="0" fontId="2" fillId="0" borderId="7" xfId="0" applyFont="1" applyBorder="1" applyAlignment="1">
      <alignment horizontal="left" vertical="center" wrapText="1"/>
    </xf>
    <xf numFmtId="0" fontId="2" fillId="0" borderId="10" xfId="0" applyFont="1" applyBorder="1" applyAlignment="1">
      <alignment horizontal="center" wrapText="1"/>
    </xf>
    <xf numFmtId="0" fontId="2" fillId="0" borderId="8" xfId="0" applyFont="1" applyBorder="1" applyAlignment="1">
      <alignment horizontal="center" vertical="center" wrapText="1"/>
    </xf>
    <xf numFmtId="0" fontId="8" fillId="0" borderId="10" xfId="0" applyFont="1" applyBorder="1" applyAlignment="1">
      <alignment horizontal="center" wrapText="1"/>
    </xf>
    <xf numFmtId="0" fontId="8" fillId="0" borderId="7" xfId="0" applyFont="1" applyBorder="1" applyAlignment="1">
      <alignment horizontal="left" vertical="top" wrapText="1"/>
    </xf>
    <xf numFmtId="0" fontId="8" fillId="0" borderId="8" xfId="0" applyFont="1" applyBorder="1" applyAlignment="1">
      <alignment horizontal="center" vertical="top" wrapText="1"/>
    </xf>
    <xf numFmtId="0" fontId="2" fillId="0" borderId="10" xfId="0" applyFont="1" applyBorder="1" applyAlignment="1">
      <alignment horizontal="center" vertical="center" wrapText="1"/>
    </xf>
    <xf numFmtId="0" fontId="2" fillId="0" borderId="7" xfId="0" applyFont="1" applyBorder="1" applyAlignment="1">
      <alignment horizontal="center" wrapText="1"/>
    </xf>
    <xf numFmtId="0" fontId="8" fillId="0" borderId="7" xfId="0" applyFont="1" applyBorder="1" applyAlignment="1">
      <alignment horizontal="left"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2" fillId="0" borderId="23" xfId="0" applyFont="1" applyBorder="1" applyAlignment="1">
      <alignment wrapText="1"/>
    </xf>
    <xf numFmtId="0" fontId="15" fillId="0" borderId="8" xfId="0" applyFont="1" applyBorder="1" applyAlignment="1">
      <alignment horizontal="right" wrapText="1" indent="1"/>
    </xf>
    <xf numFmtId="0" fontId="2" fillId="0" borderId="18" xfId="0" applyFont="1" applyBorder="1" applyAlignment="1">
      <alignment wrapText="1"/>
    </xf>
    <xf numFmtId="0" fontId="16" fillId="0" borderId="11" xfId="0" applyFont="1" applyBorder="1" applyAlignment="1">
      <alignment horizontal="left" wrapText="1"/>
    </xf>
    <xf numFmtId="0" fontId="8" fillId="2" borderId="4" xfId="0" applyFont="1" applyFill="1" applyBorder="1" applyAlignment="1">
      <alignment horizontal="left" wrapText="1"/>
    </xf>
    <xf numFmtId="0" fontId="2" fillId="0" borderId="2" xfId="0" applyFont="1" applyBorder="1" applyAlignment="1">
      <alignment horizontal="center" wrapText="1"/>
    </xf>
    <xf numFmtId="179" fontId="2" fillId="4" borderId="2" xfId="0" applyNumberFormat="1" applyFont="1" applyFill="1" applyBorder="1" applyAlignment="1">
      <alignment horizontal="right" vertical="center" wrapText="1"/>
    </xf>
    <xf numFmtId="186" fontId="2" fillId="3" borderId="2" xfId="0" applyNumberFormat="1" applyFont="1" applyFill="1" applyBorder="1" applyAlignment="1">
      <alignment horizontal="right" vertical="center" wrapText="1"/>
    </xf>
    <xf numFmtId="0" fontId="2" fillId="3" borderId="2" xfId="0" applyFont="1" applyFill="1" applyBorder="1" applyAlignment="1">
      <alignment horizontal="right" vertical="center" wrapText="1"/>
    </xf>
    <xf numFmtId="185" fontId="2" fillId="4" borderId="2" xfId="0" applyNumberFormat="1" applyFont="1" applyFill="1" applyBorder="1" applyAlignment="1">
      <alignment horizontal="right" vertical="center" wrapText="1"/>
    </xf>
    <xf numFmtId="183" fontId="2" fillId="3" borderId="2" xfId="0" applyNumberFormat="1" applyFont="1" applyFill="1" applyBorder="1" applyAlignment="1">
      <alignment vertical="center" wrapText="1"/>
    </xf>
    <xf numFmtId="178" fontId="2" fillId="4" borderId="2" xfId="0" applyNumberFormat="1" applyFont="1" applyFill="1" applyBorder="1" applyAlignment="1">
      <alignment vertical="center" wrapText="1"/>
    </xf>
    <xf numFmtId="187" fontId="2" fillId="4" borderId="2" xfId="0" applyNumberFormat="1" applyFont="1" applyFill="1" applyBorder="1" applyAlignment="1">
      <alignment horizontal="right" vertical="center" wrapText="1"/>
    </xf>
    <xf numFmtId="171" fontId="17" fillId="4" borderId="2" xfId="0" applyNumberFormat="1" applyFont="1" applyFill="1" applyBorder="1" applyAlignment="1">
      <alignment vertical="center" wrapText="1"/>
    </xf>
    <xf numFmtId="166" fontId="17" fillId="4" borderId="2" xfId="0" applyNumberFormat="1" applyFont="1" applyFill="1" applyBorder="1" applyAlignment="1">
      <alignment vertical="center" wrapText="1"/>
    </xf>
    <xf numFmtId="171" fontId="17" fillId="3" borderId="2" xfId="0" applyNumberFormat="1" applyFont="1" applyFill="1" applyBorder="1" applyAlignment="1">
      <alignment vertical="center" wrapText="1"/>
    </xf>
    <xf numFmtId="0" fontId="2" fillId="6" borderId="2" xfId="0" applyFont="1" applyFill="1" applyBorder="1" applyAlignment="1">
      <alignment wrapText="1"/>
    </xf>
    <xf numFmtId="186" fontId="17" fillId="3" borderId="2" xfId="0" applyNumberFormat="1" applyFont="1" applyFill="1" applyBorder="1" applyAlignment="1">
      <alignment horizontal="right" vertical="center" wrapText="1"/>
    </xf>
    <xf numFmtId="166" fontId="17" fillId="3" borderId="2" xfId="0" applyNumberFormat="1" applyFont="1" applyFill="1" applyBorder="1" applyAlignment="1">
      <alignment vertical="center" wrapText="1"/>
    </xf>
    <xf numFmtId="0" fontId="18" fillId="2" borderId="8" xfId="0" applyFont="1" applyFill="1" applyBorder="1" applyAlignment="1">
      <alignment wrapText="1"/>
    </xf>
    <xf numFmtId="0" fontId="19" fillId="2" borderId="8" xfId="0" applyFont="1" applyFill="1" applyBorder="1" applyAlignment="1">
      <alignment wrapText="1"/>
    </xf>
    <xf numFmtId="0" fontId="19" fillId="2" borderId="9" xfId="0" applyFont="1" applyFill="1" applyBorder="1" applyAlignment="1">
      <alignment wrapText="1"/>
    </xf>
    <xf numFmtId="0" fontId="19" fillId="0" borderId="6" xfId="0" applyFont="1" applyBorder="1" applyAlignment="1">
      <alignment wrapText="1"/>
    </xf>
    <xf numFmtId="0" fontId="4" fillId="2" borderId="11" xfId="0" applyFont="1" applyFill="1" applyBorder="1" applyAlignment="1">
      <alignment horizontal="left" wrapText="1"/>
    </xf>
    <xf numFmtId="0" fontId="20" fillId="2" borderId="11" xfId="0" applyFont="1" applyFill="1" applyBorder="1" applyAlignment="1">
      <alignment horizontal="left" wrapText="1"/>
    </xf>
    <xf numFmtId="0" fontId="20" fillId="2" borderId="20" xfId="0" applyFont="1" applyFill="1" applyBorder="1" applyAlignment="1">
      <alignment horizontal="left" wrapText="1"/>
    </xf>
    <xf numFmtId="0" fontId="18" fillId="0" borderId="8" xfId="0" applyFont="1" applyBorder="1" applyAlignment="1">
      <alignment wrapText="1"/>
    </xf>
    <xf numFmtId="0" fontId="21" fillId="0" borderId="8" xfId="0" applyFont="1" applyBorder="1" applyAlignment="1">
      <alignment wrapText="1"/>
    </xf>
    <xf numFmtId="0" fontId="15" fillId="0" borderId="8" xfId="0" applyFont="1" applyBorder="1" applyAlignment="1">
      <alignment wrapText="1"/>
    </xf>
    <xf numFmtId="0" fontId="2" fillId="0" borderId="8" xfId="0" applyFont="1" applyBorder="1" applyAlignment="1">
      <alignment horizontal="right" vertical="center" wrapText="1"/>
    </xf>
    <xf numFmtId="0" fontId="18" fillId="0" borderId="7" xfId="0" applyFont="1" applyBorder="1" applyAlignment="1">
      <alignment wrapText="1"/>
    </xf>
    <xf numFmtId="0" fontId="18" fillId="0" borderId="4" xfId="0" applyFont="1" applyBorder="1" applyAlignment="1">
      <alignment wrapText="1"/>
    </xf>
    <xf numFmtId="0" fontId="2" fillId="0" borderId="3" xfId="0" applyFont="1" applyBorder="1" applyAlignment="1">
      <alignment horizontal="center" vertical="center" wrapText="1"/>
    </xf>
    <xf numFmtId="0" fontId="1" fillId="0" borderId="8" xfId="0" applyFont="1" applyBorder="1" applyAlignment="1">
      <alignment horizontal="center" wrapText="1"/>
    </xf>
    <xf numFmtId="0" fontId="2" fillId="0" borderId="2" xfId="0" applyFont="1" applyBorder="1" applyAlignment="1">
      <alignment horizontal="right" vertical="center" wrapText="1"/>
    </xf>
    <xf numFmtId="0" fontId="18" fillId="0" borderId="10" xfId="0" applyFont="1" applyBorder="1" applyAlignment="1">
      <alignment wrapText="1"/>
    </xf>
    <xf numFmtId="0" fontId="2" fillId="0" borderId="7" xfId="0" applyFont="1" applyBorder="1" applyAlignment="1">
      <alignment horizontal="right" vertical="center" wrapText="1"/>
    </xf>
    <xf numFmtId="0" fontId="17" fillId="4" borderId="2" xfId="0" applyFont="1" applyFill="1" applyBorder="1" applyAlignment="1">
      <alignment horizontal="right" vertical="center" wrapText="1"/>
    </xf>
    <xf numFmtId="0" fontId="17" fillId="0" borderId="8" xfId="0" applyFont="1" applyBorder="1" applyAlignment="1">
      <alignment wrapText="1"/>
    </xf>
    <xf numFmtId="0" fontId="18" fillId="0" borderId="23" xfId="0" applyFont="1" applyBorder="1" applyAlignment="1">
      <alignment wrapText="1"/>
    </xf>
    <xf numFmtId="0" fontId="1" fillId="0" borderId="15" xfId="0" applyFont="1" applyBorder="1" applyAlignment="1">
      <alignment wrapText="1"/>
    </xf>
    <xf numFmtId="0" fontId="18" fillId="0" borderId="14" xfId="0" applyFont="1" applyBorder="1" applyAlignment="1">
      <alignment wrapText="1"/>
    </xf>
    <xf numFmtId="0" fontId="18" fillId="0" borderId="18" xfId="0" applyFont="1" applyBorder="1" applyAlignment="1">
      <alignment wrapText="1"/>
    </xf>
    <xf numFmtId="0" fontId="8" fillId="2" borderId="27" xfId="0" applyFont="1" applyFill="1" applyBorder="1" applyAlignment="1">
      <alignment wrapText="1"/>
    </xf>
    <xf numFmtId="0" fontId="8" fillId="2" borderId="28" xfId="0" applyFont="1" applyFill="1" applyBorder="1" applyAlignment="1">
      <alignment horizontal="center" wrapText="1"/>
    </xf>
    <xf numFmtId="0" fontId="8" fillId="2" borderId="29" xfId="0" applyFont="1" applyFill="1" applyBorder="1" applyAlignment="1">
      <alignment horizontal="center" wrapText="1"/>
    </xf>
    <xf numFmtId="0" fontId="8" fillId="2" borderId="30" xfId="0" applyFont="1" applyFill="1" applyBorder="1" applyAlignment="1">
      <alignment horizontal="center" wrapText="1"/>
    </xf>
    <xf numFmtId="164" fontId="2" fillId="0" borderId="25" xfId="0" applyNumberFormat="1" applyFont="1" applyBorder="1" applyAlignment="1">
      <alignment horizontal="center" wrapText="1"/>
    </xf>
    <xf numFmtId="0" fontId="8" fillId="2" borderId="21" xfId="0" applyFont="1" applyFill="1" applyBorder="1" applyAlignment="1">
      <alignment wrapText="1"/>
    </xf>
    <xf numFmtId="0" fontId="7" fillId="0" borderId="25" xfId="0" applyFont="1" applyBorder="1" applyAlignment="1">
      <alignment wrapText="1"/>
    </xf>
    <xf numFmtId="0" fontId="7" fillId="0" borderId="25" xfId="0" applyFont="1" applyBorder="1" applyAlignment="1">
      <alignment horizontal="center" wrapText="1"/>
    </xf>
    <xf numFmtId="0" fontId="7" fillId="0" borderId="25" xfId="0" applyFont="1" applyBorder="1" applyAlignment="1">
      <alignment horizontal="center" vertical="center" wrapText="1"/>
    </xf>
    <xf numFmtId="171" fontId="7" fillId="4" borderId="2" xfId="0" applyNumberFormat="1" applyFont="1" applyFill="1" applyBorder="1" applyAlignment="1">
      <alignment wrapText="1"/>
    </xf>
    <xf numFmtId="171" fontId="7" fillId="3" borderId="2" xfId="0" applyNumberFormat="1" applyFont="1" applyFill="1" applyBorder="1" applyAlignment="1">
      <alignment wrapText="1"/>
    </xf>
    <xf numFmtId="187" fontId="7" fillId="3" borderId="2" xfId="0" applyNumberFormat="1" applyFont="1" applyFill="1" applyBorder="1" applyAlignment="1">
      <alignment wrapText="1"/>
    </xf>
    <xf numFmtId="0" fontId="7" fillId="4" borderId="2" xfId="0" applyFont="1" applyFill="1" applyBorder="1" applyAlignment="1">
      <alignment horizontal="center" wrapText="1"/>
    </xf>
    <xf numFmtId="0" fontId="7" fillId="0" borderId="2" xfId="0" applyFont="1" applyBorder="1" applyAlignment="1">
      <alignment horizontal="center" wrapText="1"/>
    </xf>
    <xf numFmtId="0" fontId="7" fillId="0" borderId="2" xfId="0" applyFont="1" applyBorder="1" applyAlignment="1">
      <alignment horizontal="center" vertical="center" wrapText="1"/>
    </xf>
    <xf numFmtId="188" fontId="7" fillId="4" borderId="2" xfId="0" applyNumberFormat="1" applyFont="1" applyFill="1" applyBorder="1" applyAlignment="1">
      <alignment wrapText="1"/>
    </xf>
    <xf numFmtId="0" fontId="7" fillId="3" borderId="2" xfId="0" applyFont="1" applyFill="1" applyBorder="1" applyAlignment="1">
      <alignment wrapText="1"/>
    </xf>
    <xf numFmtId="0" fontId="22" fillId="2" borderId="21" xfId="0" applyFont="1" applyFill="1" applyBorder="1" applyAlignment="1">
      <alignment wrapText="1"/>
    </xf>
    <xf numFmtId="0" fontId="22" fillId="2" borderId="24" xfId="0" applyFont="1" applyFill="1" applyBorder="1" applyAlignment="1">
      <alignment horizontal="center" wrapText="1"/>
    </xf>
    <xf numFmtId="0" fontId="22" fillId="2" borderId="25" xfId="0" applyFont="1" applyFill="1" applyBorder="1" applyAlignment="1">
      <alignment horizontal="center" wrapText="1"/>
    </xf>
    <xf numFmtId="0" fontId="22" fillId="2" borderId="26" xfId="0" applyFont="1" applyFill="1" applyBorder="1" applyAlignment="1">
      <alignment horizontal="center" wrapText="1"/>
    </xf>
    <xf numFmtId="164" fontId="7" fillId="4" borderId="2" xfId="0" applyNumberFormat="1" applyFont="1" applyFill="1" applyBorder="1" applyAlignment="1">
      <alignment wrapText="1"/>
    </xf>
    <xf numFmtId="174" fontId="7" fillId="3" borderId="2" xfId="0" applyNumberFormat="1" applyFont="1" applyFill="1" applyBorder="1" applyAlignment="1">
      <alignment wrapText="1"/>
    </xf>
    <xf numFmtId="0" fontId="22" fillId="2" borderId="28" xfId="0" applyFont="1" applyFill="1" applyBorder="1" applyAlignment="1">
      <alignment horizontal="center" wrapText="1"/>
    </xf>
    <xf numFmtId="0" fontId="22" fillId="2" borderId="29" xfId="0" applyFont="1" applyFill="1" applyBorder="1" applyAlignment="1">
      <alignment horizontal="center" wrapText="1"/>
    </xf>
    <xf numFmtId="0" fontId="22" fillId="2" borderId="30" xfId="0" applyFont="1" applyFill="1" applyBorder="1" applyAlignment="1">
      <alignment horizontal="center" wrapText="1"/>
    </xf>
    <xf numFmtId="171" fontId="7" fillId="3" borderId="25" xfId="0" applyNumberFormat="1" applyFont="1" applyFill="1" applyBorder="1" applyAlignment="1">
      <alignment wrapText="1"/>
    </xf>
    <xf numFmtId="187" fontId="7" fillId="3" borderId="25" xfId="0" applyNumberFormat="1" applyFont="1" applyFill="1" applyBorder="1" applyAlignment="1">
      <alignment wrapText="1"/>
    </xf>
    <xf numFmtId="187" fontId="7" fillId="4" borderId="25" xfId="0" applyNumberFormat="1" applyFont="1" applyFill="1" applyBorder="1" applyAlignment="1">
      <alignment wrapText="1"/>
    </xf>
    <xf numFmtId="187" fontId="7" fillId="4" borderId="2" xfId="0" applyNumberFormat="1" applyFont="1" applyFill="1" applyBorder="1" applyAlignment="1">
      <alignment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30" xfId="0" applyFont="1" applyFill="1" applyBorder="1" applyAlignment="1">
      <alignment horizontal="center" vertical="center" wrapText="1"/>
    </xf>
    <xf numFmtId="183" fontId="7" fillId="3" borderId="25" xfId="0" applyNumberFormat="1" applyFont="1" applyFill="1" applyBorder="1" applyAlignment="1">
      <alignment wrapText="1"/>
    </xf>
    <xf numFmtId="174" fontId="7" fillId="4" borderId="25" xfId="0" applyNumberFormat="1" applyFont="1" applyFill="1" applyBorder="1" applyAlignment="1">
      <alignment wrapText="1"/>
    </xf>
    <xf numFmtId="184" fontId="7" fillId="4" borderId="25" xfId="0" applyNumberFormat="1" applyFont="1" applyFill="1" applyBorder="1" applyAlignment="1">
      <alignment wrapText="1"/>
    </xf>
    <xf numFmtId="0" fontId="4" fillId="0" borderId="8" xfId="0" applyFont="1" applyBorder="1" applyAlignment="1">
      <alignment horizontal="center" wrapText="1"/>
    </xf>
    <xf numFmtId="0" fontId="23" fillId="0" borderId="8" xfId="0" applyFont="1" applyBorder="1" applyAlignment="1">
      <alignment horizontal="center" wrapText="1"/>
    </xf>
    <xf numFmtId="0" fontId="23" fillId="0" borderId="8" xfId="0" applyFont="1" applyBorder="1" applyAlignment="1">
      <alignment wrapText="1"/>
    </xf>
    <xf numFmtId="0" fontId="6" fillId="0" borderId="8" xfId="0" applyFont="1" applyBorder="1" applyAlignment="1">
      <alignment wrapText="1"/>
    </xf>
    <xf numFmtId="0" fontId="8" fillId="0" borderId="8" xfId="0" applyFont="1" applyBorder="1" applyAlignment="1">
      <alignment wrapText="1"/>
    </xf>
    <xf numFmtId="0" fontId="23" fillId="0" borderId="14" xfId="0" applyFont="1" applyBorder="1" applyAlignment="1">
      <alignment wrapText="1"/>
    </xf>
    <xf numFmtId="0" fontId="8" fillId="0" borderId="21" xfId="0" applyFont="1" applyBorder="1" applyAlignment="1">
      <alignment wrapText="1"/>
    </xf>
    <xf numFmtId="0" fontId="6" fillId="0" borderId="21" xfId="0" applyFont="1" applyBorder="1" applyAlignment="1">
      <alignment wrapText="1"/>
    </xf>
    <xf numFmtId="0" fontId="6" fillId="0" borderId="21" xfId="0" applyFont="1" applyBorder="1" applyAlignment="1">
      <alignment horizontal="center" wrapText="1"/>
    </xf>
    <xf numFmtId="0" fontId="7" fillId="0" borderId="32" xfId="0" applyFont="1" applyBorder="1" applyAlignment="1">
      <alignment vertical="center" wrapText="1"/>
    </xf>
    <xf numFmtId="0" fontId="6" fillId="0" borderId="32" xfId="0" applyFont="1" applyBorder="1" applyAlignment="1">
      <alignment wrapText="1"/>
    </xf>
    <xf numFmtId="0" fontId="2" fillId="0" borderId="32" xfId="0" applyFont="1" applyBorder="1" applyAlignment="1">
      <alignment wrapText="1"/>
    </xf>
    <xf numFmtId="0" fontId="6" fillId="0" borderId="35" xfId="0" applyFont="1" applyBorder="1" applyAlignment="1">
      <alignment wrapText="1"/>
    </xf>
    <xf numFmtId="0" fontId="6" fillId="0" borderId="18" xfId="0" applyFont="1" applyBorder="1" applyAlignment="1">
      <alignment wrapText="1"/>
    </xf>
    <xf numFmtId="0" fontId="2" fillId="0" borderId="32" xfId="0" applyFont="1" applyBorder="1" applyAlignment="1">
      <alignment vertical="center" wrapText="1"/>
    </xf>
    <xf numFmtId="0" fontId="8" fillId="0" borderId="32" xfId="0" applyFont="1" applyBorder="1" applyAlignment="1">
      <alignment wrapText="1"/>
    </xf>
    <xf numFmtId="0" fontId="2" fillId="0" borderId="21" xfId="0" applyFont="1" applyBorder="1" applyAlignment="1">
      <alignment wrapText="1"/>
    </xf>
    <xf numFmtId="0" fontId="2" fillId="0" borderId="21" xfId="0" applyFont="1" applyBorder="1" applyAlignment="1">
      <alignment horizontal="center" wrapText="1"/>
    </xf>
    <xf numFmtId="0" fontId="7" fillId="0" borderId="5" xfId="0" applyFont="1" applyBorder="1" applyAlignment="1">
      <alignment wrapText="1"/>
    </xf>
    <xf numFmtId="0" fontId="7" fillId="0" borderId="3" xfId="0" applyFont="1" applyBorder="1" applyAlignment="1">
      <alignment wrapText="1"/>
    </xf>
    <xf numFmtId="0" fontId="7" fillId="0" borderId="23" xfId="0" applyFont="1" applyBorder="1" applyAlignment="1">
      <alignment wrapText="1"/>
    </xf>
    <xf numFmtId="0" fontId="7" fillId="0" borderId="23" xfId="0" applyFont="1" applyBorder="1" applyAlignment="1">
      <alignment horizontal="center" wrapText="1"/>
    </xf>
    <xf numFmtId="0" fontId="7" fillId="0" borderId="32" xfId="0" applyFont="1" applyBorder="1" applyAlignment="1">
      <alignment wrapText="1"/>
    </xf>
    <xf numFmtId="0" fontId="7" fillId="0" borderId="14" xfId="0" applyFont="1" applyBorder="1" applyAlignment="1">
      <alignment wrapText="1"/>
    </xf>
    <xf numFmtId="0" fontId="7" fillId="0" borderId="39" xfId="0" applyFont="1" applyBorder="1" applyAlignment="1">
      <alignment wrapText="1"/>
    </xf>
    <xf numFmtId="0" fontId="7" fillId="0" borderId="40" xfId="0" applyFont="1" applyBorder="1" applyAlignment="1">
      <alignment wrapText="1"/>
    </xf>
    <xf numFmtId="0" fontId="7" fillId="2" borderId="19" xfId="0" applyFont="1" applyFill="1" applyBorder="1" applyAlignment="1">
      <alignment wrapText="1"/>
    </xf>
    <xf numFmtId="0" fontId="7" fillId="2" borderId="21" xfId="0" applyFont="1" applyFill="1" applyBorder="1" applyAlignment="1">
      <alignment horizontal="center" wrapText="1"/>
    </xf>
    <xf numFmtId="0" fontId="7" fillId="2" borderId="22" xfId="0" applyFont="1" applyFill="1" applyBorder="1" applyAlignment="1">
      <alignment horizontal="center" wrapText="1"/>
    </xf>
    <xf numFmtId="0" fontId="7" fillId="0" borderId="8" xfId="0" applyFont="1" applyBorder="1" applyAlignment="1">
      <alignment horizontal="center" wrapText="1"/>
    </xf>
    <xf numFmtId="0" fontId="7" fillId="0" borderId="18" xfId="0" applyFont="1" applyBorder="1" applyAlignment="1">
      <alignment wrapText="1"/>
    </xf>
    <xf numFmtId="0" fontId="7" fillId="0" borderId="18" xfId="0" applyFont="1" applyBorder="1" applyAlignment="1">
      <alignment horizontal="center" wrapText="1"/>
    </xf>
    <xf numFmtId="164" fontId="1" fillId="0" borderId="41" xfId="0" applyNumberFormat="1" applyFont="1" applyBorder="1" applyAlignment="1">
      <alignment horizontal="center" vertical="center" wrapText="1"/>
    </xf>
    <xf numFmtId="0" fontId="8" fillId="2" borderId="42" xfId="0" applyFont="1" applyFill="1" applyBorder="1" applyAlignment="1">
      <alignment horizontal="left" wrapText="1"/>
    </xf>
    <xf numFmtId="0" fontId="8" fillId="2" borderId="43" xfId="0" applyFont="1" applyFill="1" applyBorder="1" applyAlignment="1">
      <alignment horizontal="left" wrapText="1"/>
    </xf>
    <xf numFmtId="0" fontId="8" fillId="2" borderId="43" xfId="0" applyFont="1" applyFill="1" applyBorder="1" applyAlignment="1">
      <alignment horizontal="center" wrapText="1"/>
    </xf>
    <xf numFmtId="0" fontId="8" fillId="2" borderId="44" xfId="0" applyFont="1" applyFill="1" applyBorder="1" applyAlignment="1">
      <alignment horizontal="center" wrapText="1"/>
    </xf>
    <xf numFmtId="0" fontId="8" fillId="2" borderId="45" xfId="0" applyFont="1" applyFill="1" applyBorder="1" applyAlignment="1">
      <alignment horizontal="left" wrapText="1"/>
    </xf>
    <xf numFmtId="0" fontId="8" fillId="2" borderId="46" xfId="0" applyFont="1" applyFill="1" applyBorder="1" applyAlignment="1">
      <alignment horizontal="center" vertical="top" wrapText="1"/>
    </xf>
    <xf numFmtId="0" fontId="8" fillId="2" borderId="14"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8" fillId="2" borderId="21" xfId="0" applyFont="1" applyFill="1" applyBorder="1" applyAlignment="1">
      <alignment horizontal="left" wrapText="1"/>
    </xf>
    <xf numFmtId="0" fontId="2" fillId="0" borderId="24" xfId="0" applyFont="1" applyBorder="1" applyAlignment="1">
      <alignment horizontal="left"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7" fillId="4" borderId="2" xfId="0" applyFont="1" applyFill="1" applyBorder="1" applyAlignment="1">
      <alignment horizontal="center" wrapText="1"/>
    </xf>
    <xf numFmtId="0" fontId="1" fillId="0" borderId="0" xfId="0" applyFont="1" applyAlignment="1">
      <alignment wrapText="1"/>
    </xf>
    <xf numFmtId="0" fontId="2" fillId="0" borderId="33" xfId="0" applyFont="1" applyBorder="1" applyAlignment="1">
      <alignment horizontal="left" wrapText="1"/>
    </xf>
    <xf numFmtId="0" fontId="2" fillId="0" borderId="34" xfId="0" applyFont="1" applyBorder="1" applyAlignment="1">
      <alignment horizontal="center" vertical="center" wrapText="1"/>
    </xf>
    <xf numFmtId="0" fontId="2" fillId="0" borderId="36" xfId="0" applyFont="1" applyBorder="1" applyAlignment="1">
      <alignment horizontal="left" wrapText="1"/>
    </xf>
    <xf numFmtId="0" fontId="2" fillId="0" borderId="37" xfId="0" applyFont="1" applyBorder="1" applyAlignment="1">
      <alignment horizontal="left"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5" xfId="0" applyFont="1" applyBorder="1" applyAlignment="1">
      <alignment horizontal="left" wrapText="1"/>
    </xf>
    <xf numFmtId="0" fontId="2" fillId="0" borderId="37" xfId="0" applyFont="1" applyBorder="1" applyAlignment="1">
      <alignment horizontal="left" wrapText="1"/>
    </xf>
    <xf numFmtId="0" fontId="2" fillId="0" borderId="37" xfId="0" applyFont="1" applyBorder="1" applyAlignment="1">
      <alignment wrapText="1"/>
    </xf>
    <xf numFmtId="0" fontId="25" fillId="0" borderId="8" xfId="0" applyFont="1" applyBorder="1" applyAlignment="1">
      <alignment wrapText="1"/>
    </xf>
    <xf numFmtId="0" fontId="18" fillId="2" borderId="18" xfId="0" applyFont="1" applyFill="1" applyBorder="1" applyAlignment="1">
      <alignment wrapText="1"/>
    </xf>
    <xf numFmtId="0" fontId="18" fillId="2" borderId="15" xfId="0" applyFont="1" applyFill="1" applyBorder="1" applyAlignment="1">
      <alignment wrapText="1"/>
    </xf>
    <xf numFmtId="0" fontId="8" fillId="0" borderId="18" xfId="0" applyFont="1" applyBorder="1" applyAlignment="1">
      <alignment horizontal="left" wrapText="1"/>
    </xf>
    <xf numFmtId="0" fontId="26" fillId="0" borderId="18" xfId="0" applyFont="1" applyBorder="1" applyAlignment="1">
      <alignment wrapText="1"/>
    </xf>
    <xf numFmtId="0" fontId="1" fillId="0" borderId="4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8" fillId="0" borderId="32" xfId="0" applyFont="1" applyBorder="1" applyAlignment="1">
      <alignment vertical="center" wrapText="1"/>
    </xf>
    <xf numFmtId="0" fontId="8"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14" xfId="0" applyFont="1" applyBorder="1" applyAlignment="1">
      <alignment wrapText="1"/>
    </xf>
    <xf numFmtId="0" fontId="8" fillId="2" borderId="5" xfId="0" applyFont="1" applyFill="1" applyBorder="1" applyAlignment="1">
      <alignment horizontal="left" wrapText="1"/>
    </xf>
    <xf numFmtId="0" fontId="8" fillId="2" borderId="5" xfId="0" applyFont="1" applyFill="1" applyBorder="1" applyAlignment="1">
      <alignment horizontal="center" vertical="top" wrapText="1"/>
    </xf>
    <xf numFmtId="0" fontId="18" fillId="2" borderId="49" xfId="0" applyFont="1" applyFill="1" applyBorder="1" applyAlignment="1">
      <alignment wrapText="1"/>
    </xf>
    <xf numFmtId="0" fontId="8" fillId="2" borderId="47" xfId="0" applyFont="1" applyFill="1" applyBorder="1" applyAlignment="1">
      <alignment horizontal="left" wrapText="1"/>
    </xf>
    <xf numFmtId="0" fontId="1" fillId="2" borderId="50" xfId="0" applyFont="1" applyFill="1" applyBorder="1" applyAlignment="1">
      <alignment horizontal="center" wrapText="1"/>
    </xf>
    <xf numFmtId="0" fontId="8" fillId="2" borderId="50" xfId="0" applyFont="1" applyFill="1" applyBorder="1" applyAlignment="1">
      <alignment horizontal="center" wrapText="1"/>
    </xf>
    <xf numFmtId="0" fontId="8" fillId="2" borderId="51" xfId="0" applyFont="1" applyFill="1" applyBorder="1" applyAlignment="1">
      <alignment horizontal="center" wrapText="1"/>
    </xf>
    <xf numFmtId="0" fontId="1" fillId="0" borderId="21" xfId="0" applyFont="1" applyBorder="1" applyAlignment="1">
      <alignment horizontal="center" vertical="top" wrapText="1"/>
    </xf>
    <xf numFmtId="0" fontId="1" fillId="0" borderId="18" xfId="0" applyFont="1" applyBorder="1" applyAlignment="1">
      <alignment horizontal="center" vertical="top" wrapText="1"/>
    </xf>
    <xf numFmtId="0" fontId="8" fillId="2" borderId="19" xfId="0" applyFont="1" applyFill="1" applyBorder="1" applyAlignment="1">
      <alignment horizontal="left" wrapText="1"/>
    </xf>
    <xf numFmtId="0" fontId="8" fillId="0" borderId="21" xfId="0" applyFont="1" applyBorder="1" applyAlignment="1">
      <alignment horizontal="left" wrapText="1"/>
    </xf>
    <xf numFmtId="0" fontId="2" fillId="0" borderId="21" xfId="0" applyFont="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8" fillId="2" borderId="28" xfId="0" applyFont="1" applyFill="1" applyBorder="1" applyAlignment="1">
      <alignment wrapText="1"/>
    </xf>
    <xf numFmtId="0" fontId="6" fillId="0" borderId="6" xfId="0" applyFont="1" applyBorder="1" applyAlignment="1">
      <alignment wrapText="1"/>
    </xf>
    <xf numFmtId="0" fontId="2" fillId="0" borderId="25" xfId="0" applyFont="1" applyBorder="1" applyAlignment="1">
      <alignment wrapText="1"/>
    </xf>
    <xf numFmtId="0" fontId="2" fillId="0" borderId="25" xfId="0" applyFont="1" applyBorder="1" applyAlignment="1">
      <alignment horizontal="center" wrapText="1"/>
    </xf>
    <xf numFmtId="171" fontId="2" fillId="4" borderId="2" xfId="0" applyNumberFormat="1" applyFont="1" applyFill="1" applyBorder="1" applyAlignment="1">
      <alignment wrapText="1"/>
    </xf>
    <xf numFmtId="171" fontId="2" fillId="3" borderId="2" xfId="0" applyNumberFormat="1" applyFont="1" applyFill="1" applyBorder="1" applyAlignment="1">
      <alignment wrapText="1"/>
    </xf>
    <xf numFmtId="187" fontId="2" fillId="3" borderId="2" xfId="0" applyNumberFormat="1" applyFont="1" applyFill="1" applyBorder="1" applyAlignment="1">
      <alignment wrapText="1"/>
    </xf>
    <xf numFmtId="180" fontId="2" fillId="4" borderId="2" xfId="0" applyNumberFormat="1" applyFont="1" applyFill="1" applyBorder="1" applyAlignment="1">
      <alignment wrapText="1"/>
    </xf>
    <xf numFmtId="189" fontId="2" fillId="4" borderId="2" xfId="0" applyNumberFormat="1" applyFont="1" applyFill="1" applyBorder="1" applyAlignment="1">
      <alignment wrapText="1"/>
    </xf>
    <xf numFmtId="0" fontId="8" fillId="2" borderId="24" xfId="0" applyFont="1" applyFill="1" applyBorder="1" applyAlignment="1">
      <alignment horizontal="center" wrapText="1"/>
    </xf>
    <xf numFmtId="0" fontId="8" fillId="2" borderId="25" xfId="0" applyFont="1" applyFill="1" applyBorder="1" applyAlignment="1">
      <alignment horizontal="center" wrapText="1"/>
    </xf>
    <xf numFmtId="0" fontId="8" fillId="2" borderId="26" xfId="0" applyFont="1" applyFill="1" applyBorder="1" applyAlignment="1">
      <alignment horizontal="center" wrapText="1"/>
    </xf>
    <xf numFmtId="164" fontId="2" fillId="4" borderId="2" xfId="0" applyNumberFormat="1" applyFont="1" applyFill="1" applyBorder="1" applyAlignment="1">
      <alignment wrapText="1"/>
    </xf>
    <xf numFmtId="174" fontId="2" fillId="3" borderId="2" xfId="0" applyNumberFormat="1" applyFont="1" applyFill="1" applyBorder="1" applyAlignment="1">
      <alignment wrapText="1"/>
    </xf>
    <xf numFmtId="171" fontId="2" fillId="3" borderId="25" xfId="0" applyNumberFormat="1" applyFont="1" applyFill="1" applyBorder="1" applyAlignment="1">
      <alignment wrapText="1"/>
    </xf>
    <xf numFmtId="187" fontId="2" fillId="3" borderId="25" xfId="0" applyNumberFormat="1" applyFont="1" applyFill="1" applyBorder="1" applyAlignment="1">
      <alignment wrapText="1"/>
    </xf>
    <xf numFmtId="187" fontId="2" fillId="4" borderId="25" xfId="0" applyNumberFormat="1" applyFont="1" applyFill="1" applyBorder="1" applyAlignment="1">
      <alignment wrapText="1"/>
    </xf>
    <xf numFmtId="187" fontId="2" fillId="4" borderId="2" xfId="0" applyNumberFormat="1" applyFont="1" applyFill="1" applyBorder="1" applyAlignment="1">
      <alignment wrapText="1"/>
    </xf>
    <xf numFmtId="0" fontId="8" fillId="2" borderId="21" xfId="0" applyFont="1" applyFill="1" applyBorder="1" applyAlignment="1">
      <alignment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wrapText="1"/>
    </xf>
    <xf numFmtId="183" fontId="2" fillId="3" borderId="25" xfId="0" applyNumberFormat="1" applyFont="1" applyFill="1" applyBorder="1" applyAlignment="1">
      <alignment wrapText="1"/>
    </xf>
    <xf numFmtId="184" fontId="2" fillId="4" borderId="25" xfId="0" applyNumberFormat="1" applyFont="1" applyFill="1" applyBorder="1" applyAlignment="1">
      <alignment wrapText="1"/>
    </xf>
    <xf numFmtId="0" fontId="7" fillId="2" borderId="18" xfId="0" applyFont="1" applyFill="1" applyBorder="1" applyAlignment="1">
      <alignment horizontal="center" wrapText="1"/>
    </xf>
    <xf numFmtId="0" fontId="7" fillId="2" borderId="15" xfId="0" applyFont="1" applyFill="1" applyBorder="1" applyAlignment="1">
      <alignment horizontal="center" wrapText="1"/>
    </xf>
    <xf numFmtId="0" fontId="7" fillId="2" borderId="31" xfId="0" applyFont="1" applyFill="1" applyBorder="1" applyAlignment="1">
      <alignment horizontal="center" wrapText="1"/>
    </xf>
    <xf numFmtId="0" fontId="7" fillId="2" borderId="16" xfId="0" applyFont="1" applyFill="1" applyBorder="1" applyAlignment="1">
      <alignment horizontal="center" wrapText="1"/>
    </xf>
    <xf numFmtId="0" fontId="8" fillId="0" borderId="14" xfId="0" applyFont="1" applyBorder="1" applyAlignment="1">
      <alignment wrapText="1"/>
    </xf>
    <xf numFmtId="0" fontId="2" fillId="2" borderId="19" xfId="0" applyFont="1" applyFill="1" applyBorder="1" applyAlignment="1">
      <alignment wrapText="1"/>
    </xf>
    <xf numFmtId="0" fontId="2" fillId="2" borderId="21" xfId="0" applyFont="1" applyFill="1" applyBorder="1" applyAlignment="1">
      <alignment horizontal="center" wrapText="1"/>
    </xf>
    <xf numFmtId="0" fontId="2" fillId="2" borderId="22" xfId="0" applyFont="1" applyFill="1" applyBorder="1" applyAlignment="1">
      <alignment horizontal="center" wrapText="1"/>
    </xf>
    <xf numFmtId="0" fontId="2" fillId="3" borderId="2" xfId="0" applyFont="1" applyFill="1" applyBorder="1" applyAlignment="1">
      <alignment wrapText="1"/>
    </xf>
    <xf numFmtId="0" fontId="2" fillId="0" borderId="3" xfId="0" applyFont="1" applyBorder="1" applyAlignment="1">
      <alignment wrapText="1"/>
    </xf>
    <xf numFmtId="0" fontId="2" fillId="0" borderId="23" xfId="0" applyFont="1" applyBorder="1" applyAlignment="1">
      <alignment horizontal="center" wrapText="1"/>
    </xf>
    <xf numFmtId="0" fontId="2" fillId="0" borderId="17" xfId="0" applyFont="1" applyBorder="1" applyAlignment="1">
      <alignment wrapText="1"/>
    </xf>
    <xf numFmtId="0" fontId="2" fillId="0" borderId="39" xfId="0" applyFont="1" applyBorder="1" applyAlignment="1">
      <alignment wrapText="1"/>
    </xf>
    <xf numFmtId="0" fontId="2" fillId="0" borderId="40" xfId="0" applyFont="1" applyBorder="1" applyAlignment="1">
      <alignment wrapText="1"/>
    </xf>
    <xf numFmtId="0" fontId="8" fillId="2" borderId="22" xfId="0" applyFont="1" applyFill="1" applyBorder="1" applyAlignment="1">
      <alignment vertical="center" wrapText="1"/>
    </xf>
    <xf numFmtId="0" fontId="8" fillId="2" borderId="14" xfId="0" applyFont="1" applyFill="1" applyBorder="1" applyAlignment="1">
      <alignment vertical="center" wrapText="1"/>
    </xf>
    <xf numFmtId="0" fontId="8" fillId="2" borderId="21" xfId="0" applyFont="1" applyFill="1" applyBorder="1" applyAlignment="1">
      <alignment horizontal="left" vertical="top" wrapText="1"/>
    </xf>
    <xf numFmtId="0" fontId="6" fillId="2" borderId="21" xfId="0" applyFont="1" applyFill="1" applyBorder="1" applyAlignment="1">
      <alignment horizontal="left" wrapText="1"/>
    </xf>
    <xf numFmtId="0" fontId="1" fillId="0" borderId="24" xfId="0" applyFont="1" applyBorder="1" applyAlignment="1">
      <alignment horizontal="left" wrapText="1"/>
    </xf>
    <xf numFmtId="0" fontId="1" fillId="0" borderId="25" xfId="0" applyFont="1" applyBorder="1" applyAlignment="1">
      <alignment horizontal="left"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3" xfId="0" applyFont="1" applyBorder="1" applyAlignment="1">
      <alignment horizontal="left" wrapText="1"/>
    </xf>
    <xf numFmtId="0" fontId="1" fillId="0" borderId="2" xfId="0" applyFont="1" applyBorder="1" applyAlignment="1">
      <alignment horizontal="left" vertical="center" wrapText="1"/>
    </xf>
    <xf numFmtId="0" fontId="1" fillId="0" borderId="34" xfId="0" applyFont="1" applyBorder="1" applyAlignment="1">
      <alignment horizontal="center" vertical="center" wrapText="1"/>
    </xf>
    <xf numFmtId="0" fontId="1" fillId="0" borderId="36" xfId="0" applyFont="1" applyBorder="1" applyAlignment="1">
      <alignment horizontal="left" wrapText="1"/>
    </xf>
    <xf numFmtId="0" fontId="1" fillId="0" borderId="37" xfId="0" applyFont="1" applyBorder="1" applyAlignment="1">
      <alignment horizontal="left"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5" xfId="0" applyFont="1" applyBorder="1" applyAlignment="1">
      <alignment horizontal="left" wrapText="1"/>
    </xf>
    <xf numFmtId="0" fontId="1" fillId="0" borderId="2" xfId="0" applyFont="1" applyBorder="1" applyAlignment="1">
      <alignment horizontal="left" wrapText="1"/>
    </xf>
    <xf numFmtId="0" fontId="1" fillId="0" borderId="37" xfId="0" applyFont="1" applyBorder="1" applyAlignment="1">
      <alignment horizontal="left" wrapText="1"/>
    </xf>
    <xf numFmtId="0" fontId="1" fillId="0" borderId="37" xfId="0" applyFont="1" applyBorder="1" applyAlignment="1">
      <alignment wrapText="1"/>
    </xf>
    <xf numFmtId="0" fontId="1" fillId="0" borderId="24" xfId="0" applyFont="1" applyBorder="1" applyAlignment="1">
      <alignment wrapText="1"/>
    </xf>
    <xf numFmtId="0" fontId="1" fillId="0" borderId="25" xfId="0" applyFont="1" applyBorder="1" applyAlignment="1">
      <alignment vertical="center" wrapText="1"/>
    </xf>
    <xf numFmtId="183" fontId="1" fillId="0" borderId="0" xfId="0" applyNumberFormat="1" applyFont="1" applyAlignment="1">
      <alignment wrapText="1"/>
    </xf>
    <xf numFmtId="0" fontId="1" fillId="0" borderId="33" xfId="0" applyFont="1" applyBorder="1" applyAlignment="1">
      <alignment wrapText="1"/>
    </xf>
    <xf numFmtId="0" fontId="1" fillId="0" borderId="2" xfId="0" applyFont="1" applyBorder="1" applyAlignment="1">
      <alignment vertical="center" wrapText="1"/>
    </xf>
    <xf numFmtId="0" fontId="1" fillId="0" borderId="36" xfId="0" applyFont="1" applyBorder="1" applyAlignment="1">
      <alignment wrapText="1"/>
    </xf>
    <xf numFmtId="0" fontId="1" fillId="0" borderId="37" xfId="0" applyFont="1" applyBorder="1" applyAlignment="1">
      <alignment vertical="center" wrapText="1"/>
    </xf>
    <xf numFmtId="0" fontId="1" fillId="0" borderId="28" xfId="0" applyFont="1" applyBorder="1" applyAlignment="1">
      <alignment wrapText="1"/>
    </xf>
    <xf numFmtId="0" fontId="1" fillId="0" borderId="29" xfId="0" applyFont="1" applyBorder="1" applyAlignment="1">
      <alignment horizontal="left"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4" fillId="0" borderId="18" xfId="0" applyFont="1" applyBorder="1" applyAlignment="1">
      <alignment wrapText="1"/>
    </xf>
    <xf numFmtId="0" fontId="25" fillId="0" borderId="18" xfId="0" applyFont="1" applyBorder="1" applyAlignment="1">
      <alignment wrapText="1"/>
    </xf>
    <xf numFmtId="0" fontId="23" fillId="0" borderId="18" xfId="0" applyFont="1" applyBorder="1" applyAlignment="1">
      <alignment wrapText="1"/>
    </xf>
    <xf numFmtId="0" fontId="1" fillId="0" borderId="21" xfId="0" applyFont="1" applyBorder="1" applyAlignment="1">
      <alignment wrapText="1"/>
    </xf>
    <xf numFmtId="0" fontId="2" fillId="2" borderId="19"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21" xfId="0" applyFont="1" applyFill="1" applyBorder="1" applyAlignment="1">
      <alignment wrapText="1"/>
    </xf>
    <xf numFmtId="0" fontId="2" fillId="2" borderId="22" xfId="0" applyFont="1" applyFill="1" applyBorder="1" applyAlignment="1">
      <alignment horizontal="center" vertical="top" wrapText="1"/>
    </xf>
    <xf numFmtId="0" fontId="1" fillId="0" borderId="14" xfId="0" applyFont="1" applyBorder="1" applyAlignment="1">
      <alignment horizontal="center" vertical="top" wrapText="1"/>
    </xf>
    <xf numFmtId="0" fontId="6" fillId="2" borderId="19" xfId="0" applyFont="1" applyFill="1" applyBorder="1" applyAlignment="1">
      <alignment horizontal="left" wrapText="1"/>
    </xf>
    <xf numFmtId="0" fontId="1" fillId="2" borderId="21" xfId="0" applyFont="1" applyFill="1" applyBorder="1" applyAlignment="1">
      <alignment horizontal="center" vertical="top" wrapText="1"/>
    </xf>
    <xf numFmtId="0" fontId="1" fillId="2" borderId="22" xfId="0" applyFont="1" applyFill="1" applyBorder="1" applyAlignment="1">
      <alignment horizontal="center" vertical="top" wrapText="1"/>
    </xf>
    <xf numFmtId="0" fontId="6" fillId="0" borderId="21" xfId="0" applyFont="1" applyBorder="1" applyAlignment="1">
      <alignment horizontal="left" wrapText="1"/>
    </xf>
    <xf numFmtId="0" fontId="1" fillId="0" borderId="21" xfId="0" applyFont="1" applyBorder="1" applyAlignment="1">
      <alignment horizontal="center" wrapText="1"/>
    </xf>
    <xf numFmtId="0" fontId="1" fillId="0" borderId="21" xfId="0" applyFont="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0" borderId="14" xfId="0" applyFont="1" applyBorder="1" applyAlignment="1">
      <alignment horizontal="center" vertical="center" wrapText="1"/>
    </xf>
    <xf numFmtId="1" fontId="0" fillId="0" borderId="0" xfId="0" applyNumberFormat="1"/>
    <xf numFmtId="0" fontId="30" fillId="0" borderId="52" xfId="0" applyFont="1" applyBorder="1"/>
    <xf numFmtId="0" fontId="4" fillId="0" borderId="0" xfId="0" applyFont="1" applyAlignment="1">
      <alignment horizontal="left"/>
    </xf>
    <xf numFmtId="0" fontId="2" fillId="0" borderId="0" xfId="0" applyFont="1" applyAlignment="1">
      <alignment horizontal="center" wrapText="1"/>
    </xf>
    <xf numFmtId="0" fontId="0" fillId="0" borderId="60" xfId="0" applyBorder="1"/>
    <xf numFmtId="0" fontId="0" fillId="0" borderId="62" xfId="0" applyBorder="1"/>
    <xf numFmtId="0" fontId="1" fillId="0" borderId="56" xfId="0" applyFont="1" applyBorder="1"/>
    <xf numFmtId="0" fontId="1" fillId="0" borderId="57" xfId="0" applyFont="1" applyBorder="1"/>
    <xf numFmtId="0" fontId="0" fillId="0" borderId="58" xfId="0" applyBorder="1"/>
    <xf numFmtId="0" fontId="1" fillId="0" borderId="59" xfId="0" applyFont="1" applyBorder="1" applyAlignment="1">
      <alignment horizontal="left"/>
    </xf>
    <xf numFmtId="0" fontId="1" fillId="0" borderId="0" xfId="0" applyFont="1" applyAlignment="1">
      <alignment horizontal="left"/>
    </xf>
    <xf numFmtId="0" fontId="1" fillId="0" borderId="59" xfId="0" applyFont="1" applyBorder="1"/>
    <xf numFmtId="0" fontId="31" fillId="0" borderId="0" xfId="0" applyFont="1"/>
    <xf numFmtId="14" fontId="0" fillId="0" borderId="0" xfId="0" applyNumberFormat="1"/>
    <xf numFmtId="0" fontId="1" fillId="0" borderId="61" xfId="0" applyFont="1" applyBorder="1"/>
    <xf numFmtId="0" fontId="2" fillId="0" borderId="63" xfId="0" applyFont="1" applyBorder="1"/>
    <xf numFmtId="0" fontId="8" fillId="2" borderId="21" xfId="0" applyFont="1" applyFill="1" applyBorder="1"/>
    <xf numFmtId="0" fontId="1" fillId="0" borderId="0" xfId="0" applyFont="1" applyAlignment="1">
      <alignment horizontal="right" vertical="center" wrapText="1"/>
    </xf>
    <xf numFmtId="164" fontId="27" fillId="0" borderId="0" xfId="0" applyNumberFormat="1" applyFont="1" applyAlignment="1">
      <alignment wrapText="1"/>
    </xf>
    <xf numFmtId="171" fontId="1" fillId="4" borderId="64" xfId="0" applyNumberFormat="1" applyFont="1" applyFill="1" applyBorder="1" applyAlignment="1">
      <alignment vertical="center" wrapText="1"/>
    </xf>
    <xf numFmtId="0" fontId="17" fillId="4" borderId="65" xfId="0" applyFont="1" applyFill="1" applyBorder="1" applyAlignment="1">
      <alignment horizontal="center" wrapText="1"/>
    </xf>
    <xf numFmtId="171" fontId="1" fillId="4" borderId="66" xfId="0" applyNumberFormat="1" applyFont="1" applyFill="1" applyBorder="1" applyAlignment="1">
      <alignment vertical="center" wrapText="1"/>
    </xf>
    <xf numFmtId="0" fontId="17" fillId="4" borderId="67" xfId="0" applyFont="1" applyFill="1" applyBorder="1" applyAlignment="1">
      <alignment horizontal="center" wrapText="1"/>
    </xf>
    <xf numFmtId="171" fontId="1" fillId="3" borderId="66" xfId="0" applyNumberFormat="1" applyFont="1" applyFill="1" applyBorder="1" applyAlignment="1">
      <alignment vertical="center" wrapText="1"/>
    </xf>
    <xf numFmtId="171" fontId="1" fillId="3" borderId="68" xfId="0" applyNumberFormat="1" applyFont="1" applyFill="1" applyBorder="1" applyAlignment="1">
      <alignment vertical="center" wrapText="1"/>
    </xf>
    <xf numFmtId="0" fontId="17" fillId="4" borderId="69" xfId="0" applyFont="1" applyFill="1" applyBorder="1" applyAlignment="1">
      <alignment horizontal="center" wrapText="1"/>
    </xf>
    <xf numFmtId="183" fontId="1" fillId="4" borderId="70" xfId="0" applyNumberFormat="1" applyFont="1" applyFill="1" applyBorder="1" applyAlignment="1">
      <alignment vertical="center" wrapText="1"/>
    </xf>
    <xf numFmtId="0" fontId="17" fillId="4" borderId="71" xfId="0" applyFont="1" applyFill="1" applyBorder="1" applyAlignment="1">
      <alignment horizontal="center" wrapText="1"/>
    </xf>
    <xf numFmtId="171" fontId="1" fillId="3" borderId="70" xfId="0" applyNumberFormat="1" applyFont="1" applyFill="1" applyBorder="1" applyAlignment="1">
      <alignment vertical="center" wrapText="1"/>
    </xf>
    <xf numFmtId="0" fontId="24" fillId="0" borderId="0" xfId="0" applyFont="1" applyAlignment="1">
      <alignment wrapText="1"/>
    </xf>
    <xf numFmtId="0" fontId="24" fillId="0" borderId="56" xfId="0" applyFont="1" applyBorder="1"/>
    <xf numFmtId="0" fontId="24" fillId="0" borderId="57" xfId="0" applyFont="1" applyBorder="1"/>
    <xf numFmtId="0" fontId="24" fillId="0" borderId="58" xfId="0" applyFont="1" applyBorder="1"/>
    <xf numFmtId="0" fontId="24" fillId="0" borderId="59" xfId="0" applyFont="1" applyBorder="1"/>
    <xf numFmtId="0" fontId="24" fillId="0" borderId="61" xfId="0" applyFont="1" applyBorder="1"/>
    <xf numFmtId="0" fontId="1" fillId="0" borderId="62" xfId="0" applyFont="1" applyBorder="1" applyAlignment="1">
      <alignment horizontal="left"/>
    </xf>
    <xf numFmtId="0" fontId="0" fillId="0" borderId="63" xfId="0" applyBorder="1"/>
    <xf numFmtId="0" fontId="6" fillId="2" borderId="27" xfId="0" applyFont="1" applyFill="1" applyBorder="1"/>
    <xf numFmtId="0" fontId="6" fillId="0" borderId="18" xfId="0" applyFont="1" applyBorder="1"/>
    <xf numFmtId="0" fontId="1" fillId="0" borderId="0" xfId="0" applyFont="1"/>
    <xf numFmtId="183" fontId="1" fillId="4" borderId="64" xfId="0" applyNumberFormat="1" applyFont="1" applyFill="1" applyBorder="1" applyAlignment="1">
      <alignment vertical="center" wrapText="1"/>
    </xf>
    <xf numFmtId="183" fontId="1" fillId="4" borderId="66" xfId="0" applyNumberFormat="1" applyFont="1" applyFill="1" applyBorder="1" applyAlignment="1">
      <alignment vertical="center" wrapText="1"/>
    </xf>
    <xf numFmtId="183" fontId="1" fillId="4" borderId="68" xfId="0" applyNumberFormat="1" applyFont="1" applyFill="1" applyBorder="1" applyAlignment="1">
      <alignment vertical="center" wrapText="1"/>
    </xf>
    <xf numFmtId="178" fontId="1" fillId="4" borderId="64" xfId="0" applyNumberFormat="1" applyFont="1" applyFill="1" applyBorder="1" applyAlignment="1">
      <alignment vertical="center" wrapText="1"/>
    </xf>
    <xf numFmtId="178" fontId="1" fillId="4" borderId="66" xfId="0" applyNumberFormat="1" applyFont="1" applyFill="1" applyBorder="1" applyAlignment="1">
      <alignment vertical="center" wrapText="1"/>
    </xf>
    <xf numFmtId="178" fontId="1" fillId="4" borderId="68" xfId="0" applyNumberFormat="1" applyFont="1" applyFill="1" applyBorder="1" applyAlignment="1">
      <alignment vertical="center" wrapText="1"/>
    </xf>
    <xf numFmtId="171" fontId="1" fillId="3" borderId="64" xfId="0" applyNumberFormat="1" applyFont="1" applyFill="1" applyBorder="1" applyAlignment="1">
      <alignment vertical="center" wrapText="1"/>
    </xf>
    <xf numFmtId="0" fontId="2" fillId="0" borderId="0" xfId="0" applyFont="1" applyAlignment="1">
      <alignment horizontal="right" vertical="center" wrapText="1"/>
    </xf>
    <xf numFmtId="1" fontId="2" fillId="0" borderId="0" xfId="0" applyNumberFormat="1" applyFont="1" applyAlignment="1">
      <alignment horizontal="right" vertical="center" wrapText="1"/>
    </xf>
    <xf numFmtId="1" fontId="2" fillId="4" borderId="64" xfId="0" applyNumberFormat="1" applyFont="1" applyFill="1" applyBorder="1" applyAlignment="1">
      <alignment vertical="center"/>
    </xf>
    <xf numFmtId="1" fontId="2" fillId="4" borderId="66" xfId="0" applyNumberFormat="1" applyFont="1" applyFill="1" applyBorder="1" applyAlignment="1">
      <alignment vertical="center" wrapText="1"/>
    </xf>
    <xf numFmtId="1" fontId="2" fillId="3" borderId="68" xfId="0" applyNumberFormat="1" applyFont="1" applyFill="1" applyBorder="1" applyAlignment="1">
      <alignment vertical="center" wrapText="1"/>
    </xf>
    <xf numFmtId="1" fontId="2" fillId="4" borderId="64" xfId="0" applyNumberFormat="1" applyFont="1" applyFill="1" applyBorder="1" applyAlignment="1">
      <alignment vertical="center" wrapText="1"/>
    </xf>
    <xf numFmtId="3" fontId="2" fillId="4" borderId="64" xfId="0" applyNumberFormat="1" applyFont="1" applyFill="1" applyBorder="1" applyAlignment="1">
      <alignment vertical="center" wrapText="1"/>
    </xf>
    <xf numFmtId="3" fontId="2" fillId="4" borderId="66" xfId="0" applyNumberFormat="1" applyFont="1" applyFill="1" applyBorder="1" applyAlignment="1">
      <alignment vertical="center" wrapText="1"/>
    </xf>
    <xf numFmtId="3" fontId="2" fillId="3" borderId="68" xfId="0" applyNumberFormat="1" applyFont="1" applyFill="1" applyBorder="1" applyAlignment="1">
      <alignment vertical="center" wrapText="1"/>
    </xf>
    <xf numFmtId="2" fontId="2" fillId="4" borderId="64" xfId="0" applyNumberFormat="1" applyFont="1" applyFill="1" applyBorder="1" applyAlignment="1">
      <alignment vertical="center" wrapText="1"/>
    </xf>
    <xf numFmtId="2" fontId="2" fillId="4" borderId="66" xfId="0" applyNumberFormat="1" applyFont="1" applyFill="1" applyBorder="1" applyAlignment="1">
      <alignment vertical="center" wrapText="1"/>
    </xf>
    <xf numFmtId="2" fontId="2" fillId="4" borderId="68" xfId="0" applyNumberFormat="1" applyFont="1" applyFill="1" applyBorder="1" applyAlignment="1">
      <alignment vertical="center" wrapText="1"/>
    </xf>
    <xf numFmtId="190" fontId="2" fillId="4" borderId="64" xfId="0" applyNumberFormat="1" applyFont="1" applyFill="1" applyBorder="1" applyAlignment="1">
      <alignment vertical="center" wrapText="1"/>
    </xf>
    <xf numFmtId="190" fontId="2" fillId="4" borderId="66" xfId="0" applyNumberFormat="1" applyFont="1" applyFill="1" applyBorder="1" applyAlignment="1">
      <alignment vertical="center" wrapText="1"/>
    </xf>
    <xf numFmtId="190" fontId="2" fillId="4" borderId="68" xfId="0" applyNumberFormat="1" applyFont="1" applyFill="1" applyBorder="1" applyAlignment="1">
      <alignment vertical="center" wrapText="1"/>
    </xf>
    <xf numFmtId="3" fontId="2" fillId="3" borderId="64" xfId="0" applyNumberFormat="1" applyFont="1" applyFill="1" applyBorder="1" applyAlignment="1">
      <alignment vertical="center" wrapText="1"/>
    </xf>
    <xf numFmtId="3" fontId="2" fillId="3" borderId="66" xfId="0" applyNumberFormat="1" applyFont="1" applyFill="1" applyBorder="1" applyAlignment="1">
      <alignment vertical="center" wrapText="1"/>
    </xf>
    <xf numFmtId="0" fontId="1" fillId="0" borderId="58" xfId="0" applyFont="1" applyBorder="1"/>
    <xf numFmtId="0" fontId="8" fillId="2" borderId="27" xfId="0" applyFont="1" applyFill="1" applyBorder="1"/>
    <xf numFmtId="0" fontId="7" fillId="0" borderId="0" xfId="0" applyFont="1"/>
    <xf numFmtId="0" fontId="7" fillId="0" borderId="12" xfId="0" applyFont="1" applyBorder="1"/>
    <xf numFmtId="0" fontId="7" fillId="0" borderId="18" xfId="0" applyFont="1" applyBorder="1"/>
    <xf numFmtId="0" fontId="7" fillId="0" borderId="15" xfId="0" applyFont="1" applyBorder="1"/>
    <xf numFmtId="0" fontId="7" fillId="0" borderId="14" xfId="0" applyFont="1" applyBorder="1" applyAlignment="1">
      <alignment horizontal="left"/>
    </xf>
    <xf numFmtId="0" fontId="7" fillId="0" borderId="0" xfId="0" applyFont="1" applyAlignment="1">
      <alignment horizontal="left"/>
    </xf>
    <xf numFmtId="0" fontId="7" fillId="0" borderId="14" xfId="0" applyFont="1" applyBorder="1"/>
    <xf numFmtId="0" fontId="7" fillId="0" borderId="13" xfId="0" applyFont="1" applyBorder="1"/>
    <xf numFmtId="0" fontId="4" fillId="2" borderId="3" xfId="0" applyFont="1" applyFill="1" applyBorder="1" applyAlignment="1">
      <alignment horizontal="left"/>
    </xf>
    <xf numFmtId="0" fontId="4" fillId="2" borderId="10" xfId="0" applyFont="1" applyFill="1" applyBorder="1" applyAlignment="1">
      <alignment horizontal="left"/>
    </xf>
    <xf numFmtId="0" fontId="8" fillId="2" borderId="2" xfId="0" applyFont="1" applyFill="1" applyBorder="1" applyAlignment="1">
      <alignment horizontal="left" vertical="top"/>
    </xf>
    <xf numFmtId="0" fontId="2" fillId="0" borderId="8" xfId="0" applyFont="1" applyBorder="1" applyAlignment="1">
      <alignment horizontal="left" vertical="center"/>
    </xf>
    <xf numFmtId="0" fontId="2" fillId="0" borderId="0" xfId="0" applyFont="1"/>
    <xf numFmtId="0" fontId="2" fillId="0" borderId="9" xfId="0" applyFont="1" applyBorder="1" applyAlignment="1">
      <alignment horizontal="left"/>
    </xf>
    <xf numFmtId="0" fontId="2" fillId="0" borderId="0" xfId="0" applyFont="1" applyAlignment="1">
      <alignment horizontal="left"/>
    </xf>
    <xf numFmtId="0" fontId="2" fillId="0" borderId="0" xfId="0" applyFont="1" applyAlignment="1">
      <alignment horizontal="left" vertical="center"/>
    </xf>
    <xf numFmtId="0" fontId="15" fillId="0" borderId="0" xfId="0" applyFont="1" applyAlignment="1">
      <alignment horizontal="right" wrapText="1" indent="1"/>
    </xf>
    <xf numFmtId="0" fontId="1" fillId="0" borderId="0" xfId="0" applyFont="1" applyAlignment="1">
      <alignment horizontal="right" wrapText="1" indent="1"/>
    </xf>
    <xf numFmtId="0" fontId="2" fillId="0" borderId="56" xfId="0" applyFont="1" applyBorder="1" applyAlignment="1">
      <alignment wrapText="1"/>
    </xf>
    <xf numFmtId="0" fontId="2" fillId="0" borderId="57" xfId="0" applyFont="1" applyBorder="1" applyAlignment="1">
      <alignment wrapText="1"/>
    </xf>
    <xf numFmtId="0" fontId="15" fillId="0" borderId="57" xfId="0" applyFont="1" applyBorder="1" applyAlignment="1">
      <alignment horizontal="right" wrapText="1" indent="1"/>
    </xf>
    <xf numFmtId="0" fontId="15" fillId="0" borderId="58" xfId="0" applyFont="1" applyBorder="1" applyAlignment="1">
      <alignment horizontal="right" wrapText="1" indent="1"/>
    </xf>
    <xf numFmtId="0" fontId="2" fillId="0" borderId="59" xfId="0" applyFont="1" applyBorder="1" applyAlignment="1">
      <alignment horizontal="left" wrapText="1"/>
    </xf>
    <xf numFmtId="0" fontId="2" fillId="0" borderId="59" xfId="0" applyFont="1" applyBorder="1" applyAlignment="1">
      <alignment wrapText="1"/>
    </xf>
    <xf numFmtId="0" fontId="2" fillId="0" borderId="61" xfId="0" applyFont="1" applyBorder="1" applyAlignment="1">
      <alignment wrapText="1"/>
    </xf>
    <xf numFmtId="0" fontId="1" fillId="0" borderId="62" xfId="0" applyFont="1" applyBorder="1" applyAlignment="1">
      <alignment horizontal="right" wrapText="1" indent="1"/>
    </xf>
    <xf numFmtId="0" fontId="7" fillId="0" borderId="2" xfId="0" applyFont="1" applyBorder="1"/>
    <xf numFmtId="0" fontId="9" fillId="0" borderId="2" xfId="0" applyFont="1" applyBorder="1"/>
    <xf numFmtId="0" fontId="9" fillId="0" borderId="7" xfId="0" applyFont="1" applyBorder="1" applyAlignment="1">
      <alignment horizontal="left"/>
    </xf>
    <xf numFmtId="0" fontId="4" fillId="0" borderId="8" xfId="0" applyFont="1" applyBorder="1"/>
    <xf numFmtId="0" fontId="7" fillId="0" borderId="17" xfId="0" applyFont="1" applyBorder="1"/>
    <xf numFmtId="0" fontId="8" fillId="2" borderId="4" xfId="0" applyFont="1" applyFill="1" applyBorder="1" applyAlignment="1">
      <alignment horizontal="left" vertical="top"/>
    </xf>
    <xf numFmtId="0" fontId="9" fillId="0" borderId="8" xfId="0" applyFont="1" applyBorder="1"/>
    <xf numFmtId="0" fontId="1" fillId="0" borderId="12" xfId="0" applyFont="1" applyBorder="1"/>
    <xf numFmtId="0" fontId="1" fillId="0" borderId="14" xfId="0" applyFont="1" applyBorder="1" applyAlignment="1">
      <alignment horizontal="left"/>
    </xf>
    <xf numFmtId="0" fontId="1" fillId="0" borderId="14" xfId="0" applyFont="1" applyBorder="1"/>
    <xf numFmtId="0" fontId="1" fillId="0" borderId="13" xfId="0" applyFont="1" applyBorder="1"/>
    <xf numFmtId="0" fontId="1" fillId="0" borderId="18" xfId="0" applyFont="1" applyBorder="1"/>
    <xf numFmtId="0" fontId="4" fillId="0" borderId="0" xfId="0" applyFont="1" applyAlignment="1">
      <alignment horizontal="left" wrapText="1"/>
    </xf>
    <xf numFmtId="0" fontId="0" fillId="0" borderId="0" xfId="0"/>
    <xf numFmtId="0" fontId="4" fillId="0" borderId="11" xfId="0" applyFont="1" applyBorder="1" applyAlignment="1">
      <alignment wrapText="1"/>
    </xf>
    <xf numFmtId="0" fontId="4" fillId="2" borderId="12" xfId="0" applyFont="1" applyFill="1" applyBorder="1" applyAlignment="1">
      <alignment wrapText="1"/>
    </xf>
    <xf numFmtId="0" fontId="4" fillId="2" borderId="15" xfId="0" applyFont="1" applyFill="1" applyBorder="1" applyAlignment="1">
      <alignment wrapText="1"/>
    </xf>
    <xf numFmtId="0" fontId="4" fillId="2" borderId="13" xfId="0" applyFont="1" applyFill="1" applyBorder="1" applyAlignment="1">
      <alignment vertical="center" wrapText="1"/>
    </xf>
    <xf numFmtId="0" fontId="4" fillId="2" borderId="16" xfId="0" applyFont="1" applyFill="1" applyBorder="1" applyAlignment="1">
      <alignment vertical="center" wrapText="1"/>
    </xf>
    <xf numFmtId="0" fontId="2" fillId="0" borderId="18" xfId="0" applyFont="1" applyBorder="1" applyAlignment="1">
      <alignment horizontal="left" wrapText="1"/>
    </xf>
    <xf numFmtId="0" fontId="2" fillId="0" borderId="0" xfId="0" applyFont="1" applyAlignment="1">
      <alignment horizontal="left" wrapText="1"/>
    </xf>
    <xf numFmtId="0" fontId="0" fillId="0" borderId="0" xfId="0" applyAlignment="1">
      <alignment wrapText="1"/>
    </xf>
    <xf numFmtId="0" fontId="4" fillId="2" borderId="12" xfId="0" applyFont="1" applyFill="1" applyBorder="1" applyAlignment="1">
      <alignment horizontal="left" wrapText="1"/>
    </xf>
    <xf numFmtId="0" fontId="4" fillId="2" borderId="15" xfId="0" applyFont="1" applyFill="1" applyBorder="1" applyAlignment="1">
      <alignment horizontal="left" wrapText="1"/>
    </xf>
    <xf numFmtId="0" fontId="4" fillId="2" borderId="13"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8" fillId="2" borderId="19" xfId="0" applyFont="1" applyFill="1" applyBorder="1" applyAlignment="1">
      <alignment horizontal="left" vertical="top" wrapText="1"/>
    </xf>
    <xf numFmtId="0" fontId="8" fillId="2" borderId="22" xfId="0" applyFont="1" applyFill="1" applyBorder="1" applyAlignment="1">
      <alignment horizontal="left" vertical="top" wrapText="1"/>
    </xf>
    <xf numFmtId="0" fontId="4" fillId="0" borderId="0" xfId="0" applyFont="1" applyAlignment="1">
      <alignment wrapText="1"/>
    </xf>
    <xf numFmtId="0" fontId="16" fillId="2" borderId="13" xfId="0" applyFont="1" applyFill="1" applyBorder="1" applyAlignment="1">
      <alignment vertical="center" wrapText="1"/>
    </xf>
    <xf numFmtId="0" fontId="16" fillId="2" borderId="31" xfId="0" applyFont="1" applyFill="1" applyBorder="1" applyAlignment="1">
      <alignment vertical="center" wrapText="1"/>
    </xf>
    <xf numFmtId="0" fontId="16" fillId="2" borderId="16" xfId="0" applyFont="1" applyFill="1" applyBorder="1" applyAlignment="1">
      <alignment vertical="center" wrapText="1"/>
    </xf>
    <xf numFmtId="0" fontId="4" fillId="2" borderId="18" xfId="0" applyFont="1" applyFill="1" applyBorder="1" applyAlignment="1">
      <alignment wrapText="1"/>
    </xf>
    <xf numFmtId="0" fontId="8" fillId="2" borderId="19" xfId="0" applyFont="1" applyFill="1" applyBorder="1" applyAlignment="1">
      <alignment horizontal="center" wrapText="1"/>
    </xf>
    <xf numFmtId="0" fontId="8" fillId="2" borderId="21" xfId="0" applyFont="1" applyFill="1" applyBorder="1" applyAlignment="1">
      <alignment horizontal="center" wrapText="1"/>
    </xf>
    <xf numFmtId="0" fontId="8" fillId="2" borderId="22" xfId="0" applyFont="1" applyFill="1" applyBorder="1" applyAlignment="1">
      <alignment horizontal="center" wrapText="1"/>
    </xf>
    <xf numFmtId="0" fontId="8" fillId="2" borderId="2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19" xfId="0" applyFont="1" applyFill="1" applyBorder="1" applyAlignment="1">
      <alignment wrapText="1"/>
    </xf>
    <xf numFmtId="0" fontId="8" fillId="2" borderId="21" xfId="0" applyFont="1" applyFill="1" applyBorder="1" applyAlignment="1">
      <alignment wrapText="1"/>
    </xf>
    <xf numFmtId="0" fontId="8" fillId="2" borderId="22" xfId="0" applyFont="1" applyFill="1" applyBorder="1" applyAlignment="1">
      <alignment wrapText="1"/>
    </xf>
    <xf numFmtId="0" fontId="32" fillId="2" borderId="53" xfId="0" applyFont="1" applyFill="1" applyBorder="1" applyAlignment="1">
      <alignment horizontal="center"/>
    </xf>
    <xf numFmtId="0" fontId="32" fillId="2" borderId="54" xfId="0" applyFont="1" applyFill="1" applyBorder="1" applyAlignment="1">
      <alignment horizontal="center"/>
    </xf>
    <xf numFmtId="0" fontId="32" fillId="2" borderId="55" xfId="0" applyFont="1" applyFill="1" applyBorder="1" applyAlignment="1">
      <alignment horizontal="center"/>
    </xf>
    <xf numFmtId="0" fontId="22" fillId="2" borderId="19" xfId="0" applyFont="1" applyFill="1" applyBorder="1" applyAlignment="1">
      <alignment wrapText="1"/>
    </xf>
    <xf numFmtId="0" fontId="22" fillId="2" borderId="21" xfId="0" applyFont="1" applyFill="1" applyBorder="1" applyAlignment="1">
      <alignment wrapText="1"/>
    </xf>
    <xf numFmtId="0" fontId="22" fillId="2" borderId="22" xfId="0" applyFont="1" applyFill="1" applyBorder="1" applyAlignment="1">
      <alignment wrapText="1"/>
    </xf>
    <xf numFmtId="0" fontId="22" fillId="2" borderId="19" xfId="0" applyFont="1" applyFill="1" applyBorder="1" applyAlignment="1">
      <alignment vertical="center" wrapText="1"/>
    </xf>
    <xf numFmtId="0" fontId="22" fillId="2" borderId="21" xfId="0" applyFont="1" applyFill="1" applyBorder="1" applyAlignment="1">
      <alignment vertical="center" wrapText="1"/>
    </xf>
    <xf numFmtId="0" fontId="22" fillId="2" borderId="22" xfId="0" applyFont="1" applyFill="1" applyBorder="1" applyAlignment="1">
      <alignment vertical="center" wrapText="1"/>
    </xf>
    <xf numFmtId="0" fontId="4" fillId="2" borderId="13" xfId="0" applyFont="1" applyFill="1" applyBorder="1" applyAlignment="1">
      <alignment horizontal="left" wrapText="1"/>
    </xf>
    <xf numFmtId="0" fontId="4" fillId="2" borderId="31" xfId="0" applyFont="1" applyFill="1" applyBorder="1" applyAlignment="1">
      <alignment horizontal="left" wrapText="1"/>
    </xf>
    <xf numFmtId="0" fontId="4" fillId="2" borderId="16" xfId="0" applyFont="1" applyFill="1" applyBorder="1" applyAlignment="1">
      <alignment horizontal="left" wrapText="1"/>
    </xf>
    <xf numFmtId="0" fontId="8" fillId="2" borderId="21" xfId="0" applyFont="1" applyFill="1" applyBorder="1" applyAlignment="1">
      <alignment horizontal="left" wrapText="1"/>
    </xf>
    <xf numFmtId="0" fontId="8" fillId="2" borderId="22" xfId="0" applyFont="1" applyFill="1" applyBorder="1" applyAlignment="1">
      <alignment horizontal="left" wrapText="1"/>
    </xf>
    <xf numFmtId="0" fontId="4" fillId="2" borderId="31" xfId="0" applyFont="1" applyFill="1" applyBorder="1" applyAlignment="1">
      <alignment vertical="center" wrapText="1"/>
    </xf>
    <xf numFmtId="0" fontId="4" fillId="2" borderId="13" xfId="0" applyFont="1" applyFill="1" applyBorder="1" applyAlignment="1">
      <alignment wrapText="1"/>
    </xf>
    <xf numFmtId="0" fontId="4" fillId="2" borderId="31" xfId="0" applyFont="1" applyFill="1" applyBorder="1" applyAlignment="1">
      <alignment wrapText="1"/>
    </xf>
    <xf numFmtId="0" fontId="4" fillId="2" borderId="16" xfId="0" applyFont="1" applyFill="1" applyBorder="1" applyAlignment="1">
      <alignment wrapText="1"/>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2 2" xfId="6" xr:uid="{2BE40483-EF2A-4A3D-A38A-E57A7717EFDF}"/>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5</xdr:col>
      <xdr:colOff>595630</xdr:colOff>
      <xdr:row>4</xdr:row>
      <xdr:rowOff>90170</xdr:rowOff>
    </xdr:to>
    <xdr:pic>
      <xdr:nvPicPr>
        <xdr:cNvPr id="2" name="Picture 1" descr="A picture containing text, light&#10;&#10;Description automatically generated">
          <a:extLst>
            <a:ext uri="{FF2B5EF4-FFF2-40B4-BE49-F238E27FC236}">
              <a16:creationId xmlns:a16="http://schemas.microsoft.com/office/drawing/2014/main" id="{A2A50A9D-F651-4EE9-B8F0-3172A849799B}"/>
            </a:ext>
          </a:extLst>
        </xdr:cNvPr>
        <xdr:cNvPicPr/>
      </xdr:nvPicPr>
      <xdr:blipFill>
        <a:blip xmlns:r="http://schemas.openxmlformats.org/officeDocument/2006/relationships" r:embed="rId1"/>
        <a:stretch>
          <a:fillRect/>
        </a:stretch>
      </xdr:blipFill>
      <xdr:spPr>
        <a:xfrm>
          <a:off x="8648700" y="571500"/>
          <a:ext cx="1919605" cy="585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614680</xdr:colOff>
      <xdr:row>3</xdr:row>
      <xdr:rowOff>188595</xdr:rowOff>
    </xdr:to>
    <xdr:pic>
      <xdr:nvPicPr>
        <xdr:cNvPr id="2" name="Picture 1" descr="A picture containing text, light&#10;&#10;Description automatically generated">
          <a:extLst>
            <a:ext uri="{FF2B5EF4-FFF2-40B4-BE49-F238E27FC236}">
              <a16:creationId xmlns:a16="http://schemas.microsoft.com/office/drawing/2014/main" id="{83271B47-0BAA-43CA-8F67-C1EE0AA3FE7B}"/>
            </a:ext>
          </a:extLst>
        </xdr:cNvPr>
        <xdr:cNvPicPr/>
      </xdr:nvPicPr>
      <xdr:blipFill>
        <a:blip xmlns:r="http://schemas.openxmlformats.org/officeDocument/2006/relationships" r:embed="rId1"/>
        <a:stretch>
          <a:fillRect/>
        </a:stretch>
      </xdr:blipFill>
      <xdr:spPr>
        <a:xfrm>
          <a:off x="13916025" y="285750"/>
          <a:ext cx="1919605" cy="585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852805</xdr:colOff>
      <xdr:row>3</xdr:row>
      <xdr:rowOff>13970</xdr:rowOff>
    </xdr:to>
    <xdr:pic>
      <xdr:nvPicPr>
        <xdr:cNvPr id="2" name="Picture 1" descr="A picture containing text, light&#10;&#10;Description automatically generated">
          <a:extLst>
            <a:ext uri="{FF2B5EF4-FFF2-40B4-BE49-F238E27FC236}">
              <a16:creationId xmlns:a16="http://schemas.microsoft.com/office/drawing/2014/main" id="{F92D9A03-3E85-4DE0-B4BF-712DE97D4F28}"/>
            </a:ext>
          </a:extLst>
        </xdr:cNvPr>
        <xdr:cNvPicPr/>
      </xdr:nvPicPr>
      <xdr:blipFill>
        <a:blip xmlns:r="http://schemas.openxmlformats.org/officeDocument/2006/relationships" r:embed="rId1"/>
        <a:stretch>
          <a:fillRect/>
        </a:stretch>
      </xdr:blipFill>
      <xdr:spPr>
        <a:xfrm>
          <a:off x="9286875" y="285750"/>
          <a:ext cx="1919605" cy="5854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5080</xdr:colOff>
      <xdr:row>3</xdr:row>
      <xdr:rowOff>4445</xdr:rowOff>
    </xdr:to>
    <xdr:pic>
      <xdr:nvPicPr>
        <xdr:cNvPr id="2" name="Picture 1" descr="A picture containing text, light&#10;&#10;Description automatically generated">
          <a:extLst>
            <a:ext uri="{FF2B5EF4-FFF2-40B4-BE49-F238E27FC236}">
              <a16:creationId xmlns:a16="http://schemas.microsoft.com/office/drawing/2014/main" id="{84B01483-3F48-4B25-A10B-77DCAA3C2099}"/>
            </a:ext>
          </a:extLst>
        </xdr:cNvPr>
        <xdr:cNvPicPr/>
      </xdr:nvPicPr>
      <xdr:blipFill>
        <a:blip xmlns:r="http://schemas.openxmlformats.org/officeDocument/2006/relationships" r:embed="rId1"/>
        <a:stretch>
          <a:fillRect/>
        </a:stretch>
      </xdr:blipFill>
      <xdr:spPr>
        <a:xfrm>
          <a:off x="6172200" y="285750"/>
          <a:ext cx="1919605" cy="5854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147955</xdr:colOff>
      <xdr:row>2</xdr:row>
      <xdr:rowOff>290195</xdr:rowOff>
    </xdr:to>
    <xdr:pic>
      <xdr:nvPicPr>
        <xdr:cNvPr id="2" name="Picture 1" descr="A picture containing text, light&#10;&#10;Description automatically generated">
          <a:extLst>
            <a:ext uri="{FF2B5EF4-FFF2-40B4-BE49-F238E27FC236}">
              <a16:creationId xmlns:a16="http://schemas.microsoft.com/office/drawing/2014/main" id="{834EDF12-7A47-4F0C-AA47-D204F87FE471}"/>
            </a:ext>
          </a:extLst>
        </xdr:cNvPr>
        <xdr:cNvPicPr/>
      </xdr:nvPicPr>
      <xdr:blipFill>
        <a:blip xmlns:r="http://schemas.openxmlformats.org/officeDocument/2006/relationships" r:embed="rId1"/>
        <a:stretch>
          <a:fillRect/>
        </a:stretch>
      </xdr:blipFill>
      <xdr:spPr>
        <a:xfrm>
          <a:off x="8162925" y="295275"/>
          <a:ext cx="1919605" cy="5854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6</xdr:col>
      <xdr:colOff>405130</xdr:colOff>
      <xdr:row>3</xdr:row>
      <xdr:rowOff>4445</xdr:rowOff>
    </xdr:to>
    <xdr:pic>
      <xdr:nvPicPr>
        <xdr:cNvPr id="2" name="Picture 1" descr="A picture containing text, light&#10;&#10;Description automatically generated">
          <a:extLst>
            <a:ext uri="{FF2B5EF4-FFF2-40B4-BE49-F238E27FC236}">
              <a16:creationId xmlns:a16="http://schemas.microsoft.com/office/drawing/2014/main" id="{AC0B72B3-A4B6-4468-BEAA-EEBDE06E76BD}"/>
            </a:ext>
          </a:extLst>
        </xdr:cNvPr>
        <xdr:cNvPicPr/>
      </xdr:nvPicPr>
      <xdr:blipFill>
        <a:blip xmlns:r="http://schemas.openxmlformats.org/officeDocument/2006/relationships" r:embed="rId1"/>
        <a:stretch>
          <a:fillRect/>
        </a:stretch>
      </xdr:blipFill>
      <xdr:spPr>
        <a:xfrm>
          <a:off x="7953375" y="285750"/>
          <a:ext cx="1919605" cy="5854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195580</xdr:colOff>
      <xdr:row>2</xdr:row>
      <xdr:rowOff>290195</xdr:rowOff>
    </xdr:to>
    <xdr:pic>
      <xdr:nvPicPr>
        <xdr:cNvPr id="2" name="Picture 1" descr="A picture containing text, light&#10;&#10;Description automatically generated">
          <a:extLst>
            <a:ext uri="{FF2B5EF4-FFF2-40B4-BE49-F238E27FC236}">
              <a16:creationId xmlns:a16="http://schemas.microsoft.com/office/drawing/2014/main" id="{B9081AA2-C6E9-4AC0-B7BF-4D2F3E9003E8}"/>
            </a:ext>
          </a:extLst>
        </xdr:cNvPr>
        <xdr:cNvPicPr/>
      </xdr:nvPicPr>
      <xdr:blipFill>
        <a:blip xmlns:r="http://schemas.openxmlformats.org/officeDocument/2006/relationships" r:embed="rId1"/>
        <a:stretch>
          <a:fillRect/>
        </a:stretch>
      </xdr:blipFill>
      <xdr:spPr>
        <a:xfrm>
          <a:off x="8248650" y="295275"/>
          <a:ext cx="1919605" cy="58547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3"/>
  <sheetViews>
    <sheetView tabSelected="1" zoomScaleNormal="100" workbookViewId="0">
      <selection sqref="A1:XFD1048576"/>
    </sheetView>
  </sheetViews>
  <sheetFormatPr defaultColWidth="13.7109375" defaultRowHeight="12.75" x14ac:dyDescent="0.2"/>
  <cols>
    <col min="1" max="1" width="10.28515625" customWidth="1"/>
    <col min="2" max="2" width="79.7109375" customWidth="1"/>
    <col min="3" max="25" width="19.7109375" customWidth="1"/>
    <col min="26" max="33" width="9.28515625" customWidth="1"/>
  </cols>
  <sheetData>
    <row r="1" spans="1:23" ht="22.5" customHeight="1" x14ac:dyDescent="0.3">
      <c r="A1" s="477" t="s">
        <v>0</v>
      </c>
      <c r="B1" s="478"/>
      <c r="V1" s="6"/>
    </row>
    <row r="2" spans="1:23" ht="22.5" customHeight="1" x14ac:dyDescent="0.2">
      <c r="V2" s="6"/>
    </row>
    <row r="3" spans="1:23" ht="22.5" customHeight="1" x14ac:dyDescent="0.3">
      <c r="A3" s="479" t="s">
        <v>1</v>
      </c>
      <c r="B3" s="478"/>
      <c r="V3" s="7"/>
    </row>
    <row r="4" spans="1:23" ht="16.899999999999999" customHeight="1" x14ac:dyDescent="0.3">
      <c r="A4" s="43"/>
      <c r="B4" s="468"/>
      <c r="V4" s="7"/>
    </row>
    <row r="5" spans="1:23" ht="16.899999999999999" customHeight="1" x14ac:dyDescent="0.2">
      <c r="V5" s="6"/>
    </row>
    <row r="6" spans="1:23" ht="20.85" customHeight="1" x14ac:dyDescent="0.3">
      <c r="A6" s="480" t="s">
        <v>2</v>
      </c>
      <c r="B6" s="481"/>
      <c r="C6" s="44"/>
      <c r="V6" s="6"/>
    </row>
    <row r="7" spans="1:23" ht="20.85" customHeight="1" x14ac:dyDescent="0.2">
      <c r="A7" s="482" t="s">
        <v>3</v>
      </c>
      <c r="B7" s="483"/>
      <c r="C7" s="44"/>
      <c r="V7" s="6"/>
    </row>
    <row r="8" spans="1:23" ht="15.75" customHeight="1" x14ac:dyDescent="0.2">
      <c r="A8" s="45"/>
      <c r="B8" s="469"/>
      <c r="V8" s="8"/>
    </row>
    <row r="9" spans="1:23" ht="17.649999999999999" customHeight="1" x14ac:dyDescent="0.2">
      <c r="A9" s="9" t="s">
        <v>4</v>
      </c>
      <c r="B9" s="449" t="s">
        <v>5</v>
      </c>
      <c r="C9" s="9" t="s">
        <v>6</v>
      </c>
      <c r="D9" s="9" t="s">
        <v>7</v>
      </c>
      <c r="E9" s="9" t="s">
        <v>8</v>
      </c>
      <c r="F9" s="9" t="s">
        <v>9</v>
      </c>
      <c r="G9" s="9" t="s">
        <v>10</v>
      </c>
      <c r="H9" s="9" t="s">
        <v>11</v>
      </c>
      <c r="I9" s="9" t="s">
        <v>12</v>
      </c>
      <c r="J9" s="9" t="s">
        <v>13</v>
      </c>
      <c r="K9" s="9" t="s">
        <v>14</v>
      </c>
      <c r="L9" s="9" t="s">
        <v>15</v>
      </c>
      <c r="M9" s="9" t="s">
        <v>16</v>
      </c>
      <c r="N9" s="9" t="s">
        <v>17</v>
      </c>
      <c r="O9" s="9" t="s">
        <v>18</v>
      </c>
      <c r="P9" s="9" t="s">
        <v>19</v>
      </c>
      <c r="Q9" s="9" t="s">
        <v>20</v>
      </c>
      <c r="R9" s="9" t="s">
        <v>21</v>
      </c>
      <c r="S9" s="9" t="s">
        <v>22</v>
      </c>
      <c r="T9" s="9" t="s">
        <v>23</v>
      </c>
      <c r="U9" s="9" t="s">
        <v>24</v>
      </c>
      <c r="V9" s="9" t="s">
        <v>25</v>
      </c>
      <c r="W9" s="46"/>
    </row>
    <row r="10" spans="1:23" ht="16.899999999999999" customHeight="1" x14ac:dyDescent="0.2">
      <c r="A10" s="10" t="s">
        <v>26</v>
      </c>
      <c r="B10" s="465" t="s">
        <v>27</v>
      </c>
      <c r="C10" s="11">
        <f>'P2'!D22/1000000</f>
        <v>309.21011227224903</v>
      </c>
      <c r="D10" s="11">
        <f>'P2'!E22/1000000</f>
        <v>297.38834788252967</v>
      </c>
      <c r="E10" s="11">
        <f>'P2'!F22/1000000</f>
        <v>300.09528498791491</v>
      </c>
      <c r="F10" s="11">
        <f>'P2'!G22/1000000</f>
        <v>298.05170362450679</v>
      </c>
      <c r="G10" s="11">
        <f>'P2'!H22/1000000</f>
        <v>293.9287599523459</v>
      </c>
      <c r="H10" s="11">
        <f>'P2'!I22/1000000</f>
        <v>301.50579999706031</v>
      </c>
      <c r="I10" s="11">
        <f>'P2'!J22/1000000</f>
        <v>304.02306095492366</v>
      </c>
      <c r="J10" s="11">
        <f>'P2'!K22/1000000</f>
        <v>326.49177708677735</v>
      </c>
      <c r="K10" s="11">
        <f>'P2'!L22/1000000</f>
        <v>336.69025931071315</v>
      </c>
      <c r="L10" s="11">
        <f>'P2'!M22/1000000</f>
        <v>345.18879325060527</v>
      </c>
      <c r="M10" s="11">
        <f>'P2'!N22/1000000</f>
        <v>341.30994856807979</v>
      </c>
      <c r="N10" s="11">
        <f>'P2'!O22/1000000</f>
        <v>329.52564747587888</v>
      </c>
      <c r="O10" s="11">
        <f>'P2'!P22/1000000</f>
        <v>326.79047576113004</v>
      </c>
      <c r="P10" s="11">
        <f>'P2'!Q22/1000000</f>
        <v>340.21442906044223</v>
      </c>
      <c r="Q10" s="11">
        <f>'P2'!R22/1000000</f>
        <v>339.81844994136515</v>
      </c>
      <c r="R10" s="11">
        <f>'P2'!S22/1000000</f>
        <v>362.46232905116648</v>
      </c>
      <c r="S10" s="11">
        <f>'P2'!T22/1000000</f>
        <v>361.91617923670168</v>
      </c>
      <c r="T10" s="11">
        <f>'P2'!U22/1000000</f>
        <v>387.0029574166735</v>
      </c>
      <c r="U10" s="12">
        <f>'P2'!V22/1000000</f>
        <v>380.6017946725936</v>
      </c>
      <c r="V10" s="12">
        <f>'P2'!W22/1000000</f>
        <v>414.2772880305161</v>
      </c>
      <c r="W10" s="47"/>
    </row>
    <row r="11" spans="1:23" ht="16.899999999999999" customHeight="1" x14ac:dyDescent="0.2">
      <c r="A11" s="10" t="s">
        <v>28</v>
      </c>
      <c r="B11" s="465" t="s">
        <v>29</v>
      </c>
      <c r="C11" s="13">
        <v>-0.25805026809999998</v>
      </c>
      <c r="D11" s="13">
        <v>-0.49458696479999897</v>
      </c>
      <c r="E11" s="13">
        <v>-0.54645536179999998</v>
      </c>
      <c r="F11" s="13">
        <v>-0.30381982169999999</v>
      </c>
      <c r="G11" s="13">
        <v>-0.82328915610000097</v>
      </c>
      <c r="H11" s="13">
        <v>-0.93647449469999999</v>
      </c>
      <c r="I11" s="13">
        <v>-0.54530987580000001</v>
      </c>
      <c r="J11" s="13">
        <v>-0.52559211559999996</v>
      </c>
      <c r="K11" s="13">
        <v>-0.476018701200001</v>
      </c>
      <c r="L11" s="13">
        <v>-0.85967300000000002</v>
      </c>
      <c r="M11" s="13">
        <v>-0.53837216200000004</v>
      </c>
      <c r="N11" s="13">
        <v>-1.5634999999999999</v>
      </c>
      <c r="O11" s="13">
        <v>-0.590036</v>
      </c>
      <c r="P11" s="13">
        <v>-0.37911400000000001</v>
      </c>
      <c r="Q11" s="13">
        <v>-0.54327700000000001</v>
      </c>
      <c r="R11" s="13">
        <v>-0.27062999999999998</v>
      </c>
      <c r="S11" s="13">
        <v>-0.44439332999999998</v>
      </c>
      <c r="T11" s="13">
        <v>-0.17292906999999999</v>
      </c>
      <c r="U11" s="14">
        <v>-0.44002000000000002</v>
      </c>
      <c r="V11" s="14">
        <v>-0.20612920000000001</v>
      </c>
      <c r="W11" s="47"/>
    </row>
    <row r="12" spans="1:23" ht="16.899999999999999" customHeight="1" x14ac:dyDescent="0.2">
      <c r="A12" s="10" t="s">
        <v>30</v>
      </c>
      <c r="B12" s="465" t="s">
        <v>31</v>
      </c>
      <c r="C12" s="15"/>
      <c r="D12" s="15"/>
      <c r="E12" s="15"/>
      <c r="F12" s="15"/>
      <c r="G12" s="15"/>
      <c r="H12" s="13">
        <v>9.0630555299983095E-2</v>
      </c>
      <c r="I12" s="13">
        <v>0.53414961540003403</v>
      </c>
      <c r="J12" s="13">
        <v>0.161218462199998</v>
      </c>
      <c r="K12" s="13">
        <v>0.186936052099999</v>
      </c>
      <c r="L12" s="13">
        <v>0.19081500000000001</v>
      </c>
      <c r="M12" s="13">
        <v>0.19887136</v>
      </c>
      <c r="N12" s="13">
        <v>0.15792830829999999</v>
      </c>
      <c r="O12" s="13">
        <v>0.173372</v>
      </c>
      <c r="P12" s="13">
        <v>0.176346</v>
      </c>
      <c r="Q12" s="13">
        <v>0.20666300000000001</v>
      </c>
      <c r="R12" s="13">
        <v>0.156113</v>
      </c>
      <c r="S12" s="13">
        <v>7.9971990000000007E-2</v>
      </c>
      <c r="T12" s="13">
        <v>0.18264238999999999</v>
      </c>
      <c r="U12" s="14">
        <v>0.23519999999999999</v>
      </c>
      <c r="V12" s="14">
        <v>5.6331399999999997E-2</v>
      </c>
      <c r="W12" s="47"/>
    </row>
    <row r="13" spans="1:23" ht="16.899999999999999" customHeight="1" x14ac:dyDescent="0.2">
      <c r="A13" s="10" t="s">
        <v>32</v>
      </c>
      <c r="B13" s="465" t="s">
        <v>33</v>
      </c>
      <c r="C13" s="13">
        <v>-0.35206200414882</v>
      </c>
      <c r="D13" s="13">
        <v>-0.29376091772962798</v>
      </c>
      <c r="E13" s="13">
        <v>0.55117037388521295</v>
      </c>
      <c r="F13" s="13">
        <v>-0.84788380280690501</v>
      </c>
      <c r="G13" s="13">
        <v>0.39452920375413197</v>
      </c>
      <c r="H13" s="13">
        <v>0.38704394233968697</v>
      </c>
      <c r="I13" s="13">
        <v>0.34809930547623902</v>
      </c>
      <c r="J13" s="13">
        <v>0.982596566622703</v>
      </c>
      <c r="K13" s="13">
        <f>337.82-K12-K11-K10</f>
        <v>1.4188233383868578</v>
      </c>
      <c r="L13" s="13">
        <f>344.78-SUM(L10:L12)</f>
        <v>0.26006474939470081</v>
      </c>
      <c r="M13" s="13">
        <f>341.94-SUM(M10:M12)</f>
        <v>0.96955223392018297</v>
      </c>
      <c r="N13" s="13">
        <f>329.38-SUM(N10:N12)</f>
        <v>1.2599242158211155</v>
      </c>
      <c r="O13" s="13">
        <v>0.84618823887001304</v>
      </c>
      <c r="P13" s="13">
        <v>0.67333893955776603</v>
      </c>
      <c r="Q13" s="13">
        <v>0.53416405863487204</v>
      </c>
      <c r="R13" s="13">
        <v>0.66618794883350996</v>
      </c>
      <c r="S13" s="13">
        <v>0.29866260329833899</v>
      </c>
      <c r="T13" s="13">
        <v>0.72432926332652403</v>
      </c>
      <c r="U13" s="14">
        <v>0.419929</v>
      </c>
      <c r="V13" s="14">
        <v>0.46250980000000003</v>
      </c>
      <c r="W13" s="47"/>
    </row>
    <row r="14" spans="1:23" ht="16.899999999999999" customHeight="1" x14ac:dyDescent="0.2">
      <c r="A14" s="10" t="s">
        <v>34</v>
      </c>
      <c r="B14" s="465" t="s">
        <v>35</v>
      </c>
      <c r="C14" s="13">
        <v>-5.1000000000000201</v>
      </c>
      <c r="D14" s="13">
        <v>-2.2000000000000499</v>
      </c>
      <c r="E14" s="13">
        <v>-4.8000000000000096</v>
      </c>
      <c r="F14" s="13">
        <v>-2.2999999999999501</v>
      </c>
      <c r="G14" s="13">
        <v>-1.19999999999999</v>
      </c>
      <c r="H14" s="13">
        <v>-1.5470000000000299</v>
      </c>
      <c r="I14" s="13">
        <v>-1.8600000000000101</v>
      </c>
      <c r="J14" s="13">
        <f>325.97-SUM(J10:J13)</f>
        <v>-1.1400000000000432</v>
      </c>
      <c r="K14" s="15"/>
      <c r="L14" s="15"/>
      <c r="M14" s="15"/>
      <c r="N14" s="15"/>
      <c r="O14" s="15"/>
      <c r="P14" s="15"/>
      <c r="Q14" s="15"/>
      <c r="R14" s="15"/>
      <c r="S14" s="15"/>
      <c r="T14" s="15"/>
      <c r="U14" s="15"/>
      <c r="V14" s="15"/>
      <c r="W14" s="47"/>
    </row>
    <row r="15" spans="1:23" ht="16.899999999999999" customHeight="1" x14ac:dyDescent="0.2">
      <c r="A15" s="10" t="s">
        <v>36</v>
      </c>
      <c r="B15" s="465" t="s">
        <v>37</v>
      </c>
      <c r="C15" s="15"/>
      <c r="D15" s="15"/>
      <c r="E15" s="15"/>
      <c r="F15" s="15"/>
      <c r="G15" s="15"/>
      <c r="H15" s="15"/>
      <c r="I15" s="15"/>
      <c r="J15" s="15"/>
      <c r="K15" s="15"/>
      <c r="L15" s="15"/>
      <c r="M15" s="15"/>
      <c r="N15" s="15"/>
      <c r="O15" s="15"/>
      <c r="P15" s="13">
        <v>0.73026999000000004</v>
      </c>
      <c r="Q15" s="13">
        <v>0</v>
      </c>
      <c r="R15" s="15"/>
      <c r="S15" s="15"/>
      <c r="T15" s="15"/>
      <c r="U15" s="15"/>
      <c r="V15" s="15"/>
      <c r="W15" s="47"/>
    </row>
    <row r="16" spans="1:23" ht="16.899999999999999" customHeight="1" x14ac:dyDescent="0.2">
      <c r="A16" s="10" t="s">
        <v>38</v>
      </c>
      <c r="B16" s="465" t="s">
        <v>39</v>
      </c>
      <c r="C16" s="13">
        <v>-3.9000000000000301</v>
      </c>
      <c r="D16" s="13">
        <v>-1.0999999999999699</v>
      </c>
      <c r="E16" s="13">
        <v>2.3999999999999799</v>
      </c>
      <c r="F16" s="13">
        <v>0.19999999999993201</v>
      </c>
      <c r="G16" s="13">
        <v>-1.4000000000000301</v>
      </c>
      <c r="H16" s="13">
        <v>-4</v>
      </c>
      <c r="I16" s="13">
        <v>-1.3999999999999799</v>
      </c>
      <c r="J16" s="13">
        <v>-4.2699999999999196</v>
      </c>
      <c r="K16" s="13">
        <f>327.1-2.19999999999999-SUM(K10:K13)</f>
        <v>-12.919999999999959</v>
      </c>
      <c r="L16" s="13">
        <f>330.18+9.6-SUM(L$10:L14)</f>
        <v>-4.9999999999999432</v>
      </c>
      <c r="M16" s="13">
        <f>330.18+9.6-SUM(M$10:M14)</f>
        <v>-2.1599999999999682</v>
      </c>
      <c r="N16" s="13">
        <f>21.088-16.5</f>
        <v>4.588000000000001</v>
      </c>
      <c r="O16" s="13">
        <v>6.798</v>
      </c>
      <c r="P16" s="13">
        <v>-6.58</v>
      </c>
      <c r="Q16" s="13">
        <v>-5.1580000000000004</v>
      </c>
      <c r="R16" s="13">
        <v>-2.113</v>
      </c>
      <c r="S16" s="13">
        <v>-0.94942049999997402</v>
      </c>
      <c r="T16" s="13">
        <v>-5.3410000000000002</v>
      </c>
      <c r="U16" s="14">
        <v>1.5790949999999999</v>
      </c>
      <c r="V16" s="14">
        <v>-4.0458616999999997</v>
      </c>
      <c r="W16" s="47"/>
    </row>
    <row r="17" spans="1:23" ht="16.899999999999999" customHeight="1" x14ac:dyDescent="0.2">
      <c r="A17" s="10" t="s">
        <v>40</v>
      </c>
      <c r="B17" s="465" t="s">
        <v>41</v>
      </c>
      <c r="C17" s="13">
        <v>0</v>
      </c>
      <c r="D17" s="13">
        <v>-0.4</v>
      </c>
      <c r="E17" s="13">
        <v>-1.5</v>
      </c>
      <c r="F17" s="13">
        <v>-2.5</v>
      </c>
      <c r="G17" s="13">
        <v>-2.8</v>
      </c>
      <c r="H17" s="13">
        <v>-4.5999999999999996</v>
      </c>
      <c r="I17" s="13">
        <v>-3.5</v>
      </c>
      <c r="J17" s="13">
        <v>-1.7</v>
      </c>
      <c r="K17" s="13">
        <v>-2</v>
      </c>
      <c r="L17" s="13">
        <v>-2.0299999999999998</v>
      </c>
      <c r="M17" s="13">
        <v>-2.0299999999999998</v>
      </c>
      <c r="N17" s="13">
        <v>-1.446</v>
      </c>
      <c r="O17" s="13">
        <v>-1.446</v>
      </c>
      <c r="P17" s="13">
        <v>-1.591</v>
      </c>
      <c r="Q17" s="13">
        <v>-1.591</v>
      </c>
      <c r="R17" s="13">
        <v>-1.901</v>
      </c>
      <c r="S17" s="13">
        <v>-1.901</v>
      </c>
      <c r="T17" s="13">
        <v>-0.31617000000000001</v>
      </c>
      <c r="U17" s="14">
        <v>-0.31617000000000001</v>
      </c>
      <c r="V17" s="14">
        <v>-0.1341735</v>
      </c>
      <c r="W17" s="47"/>
    </row>
    <row r="18" spans="1:23" ht="16.899999999999999" customHeight="1" x14ac:dyDescent="0.2">
      <c r="A18" s="10" t="s">
        <v>42</v>
      </c>
      <c r="B18" s="465" t="s">
        <v>43</v>
      </c>
      <c r="C18" s="13">
        <v>2.8</v>
      </c>
      <c r="D18" s="13">
        <v>1.8</v>
      </c>
      <c r="E18" s="13">
        <v>0.5</v>
      </c>
      <c r="F18" s="13">
        <v>1.3</v>
      </c>
      <c r="G18" s="13">
        <v>1.1000000000000001</v>
      </c>
      <c r="H18" s="13">
        <v>0.6</v>
      </c>
      <c r="I18" s="13">
        <v>0.7</v>
      </c>
      <c r="J18" s="13">
        <v>0.5</v>
      </c>
      <c r="K18" s="13">
        <v>0.7</v>
      </c>
      <c r="L18" s="13">
        <v>0.49</v>
      </c>
      <c r="M18" s="13">
        <v>0.49</v>
      </c>
      <c r="N18" s="13">
        <v>0.20899999999999999</v>
      </c>
      <c r="O18" s="13">
        <v>0.20899999999999999</v>
      </c>
      <c r="P18" s="13">
        <v>0.23799999999999999</v>
      </c>
      <c r="Q18" s="13">
        <v>0.23799999999999999</v>
      </c>
      <c r="R18" s="13">
        <v>0.16800000000000001</v>
      </c>
      <c r="S18" s="13">
        <v>0.16800000000000001</v>
      </c>
      <c r="T18" s="13">
        <v>0.12823999999999999</v>
      </c>
      <c r="U18" s="14">
        <v>0.12823999999999999</v>
      </c>
      <c r="V18" s="14">
        <v>0.11703520000000001</v>
      </c>
      <c r="W18" s="47"/>
    </row>
    <row r="19" spans="1:23" ht="16.899999999999999" customHeight="1" x14ac:dyDescent="0.2">
      <c r="A19" s="10" t="s">
        <v>44</v>
      </c>
      <c r="B19" s="465" t="s">
        <v>45</v>
      </c>
      <c r="C19" s="16">
        <f t="shared" ref="C19:V19" si="0">SUM(C10:C18)</f>
        <v>302.40000000000015</v>
      </c>
      <c r="D19" s="16">
        <f t="shared" si="0"/>
        <v>294.70000000000005</v>
      </c>
      <c r="E19" s="16">
        <f t="shared" si="0"/>
        <v>296.7000000000001</v>
      </c>
      <c r="F19" s="16">
        <f t="shared" si="0"/>
        <v>293.59999999999985</v>
      </c>
      <c r="G19" s="16">
        <f t="shared" si="0"/>
        <v>289.20000000000005</v>
      </c>
      <c r="H19" s="16">
        <f t="shared" si="0"/>
        <v>291.49999999999994</v>
      </c>
      <c r="I19" s="16">
        <f t="shared" si="0"/>
        <v>298.29999999999995</v>
      </c>
      <c r="J19" s="16">
        <f t="shared" si="0"/>
        <v>320.50000000000011</v>
      </c>
      <c r="K19" s="16">
        <f t="shared" si="0"/>
        <v>323.60000000000002</v>
      </c>
      <c r="L19" s="16">
        <f t="shared" si="0"/>
        <v>338.24000000000007</v>
      </c>
      <c r="M19" s="16">
        <f t="shared" si="0"/>
        <v>338.24000000000007</v>
      </c>
      <c r="N19" s="16">
        <f t="shared" si="0"/>
        <v>332.73099999999999</v>
      </c>
      <c r="O19" s="16">
        <f t="shared" si="0"/>
        <v>332.78100000000001</v>
      </c>
      <c r="P19" s="16">
        <f t="shared" si="0"/>
        <v>333.48226999000002</v>
      </c>
      <c r="Q19" s="16">
        <f t="shared" si="0"/>
        <v>333.505</v>
      </c>
      <c r="R19" s="16">
        <f t="shared" si="0"/>
        <v>359.16800000000001</v>
      </c>
      <c r="S19" s="12">
        <f t="shared" si="0"/>
        <v>359.16800000000001</v>
      </c>
      <c r="T19" s="12">
        <f t="shared" si="0"/>
        <v>382.20807000000002</v>
      </c>
      <c r="U19" s="12">
        <f t="shared" si="0"/>
        <v>382.20806867259364</v>
      </c>
      <c r="V19" s="12">
        <f t="shared" si="0"/>
        <v>410.52700003051609</v>
      </c>
      <c r="W19" s="47"/>
    </row>
    <row r="20" spans="1:23" ht="15.75" customHeight="1" x14ac:dyDescent="0.2">
      <c r="A20" s="10" t="s">
        <v>46</v>
      </c>
      <c r="B20" s="466" t="s">
        <v>47</v>
      </c>
      <c r="C20" s="17">
        <v>302.404</v>
      </c>
      <c r="D20" s="17">
        <v>294.70600000000002</v>
      </c>
      <c r="E20" s="17">
        <v>296.66300000000001</v>
      </c>
      <c r="F20" s="17">
        <v>293.63299999999998</v>
      </c>
      <c r="G20" s="17">
        <v>289.20600000000002</v>
      </c>
      <c r="H20" s="17">
        <v>291.50200000000001</v>
      </c>
      <c r="I20" s="17">
        <v>298.27300000000002</v>
      </c>
      <c r="J20" s="17">
        <v>320.476</v>
      </c>
      <c r="K20" s="17">
        <v>323.56799999999998</v>
      </c>
      <c r="L20" s="17">
        <v>338.24</v>
      </c>
      <c r="M20" s="17">
        <v>338.24</v>
      </c>
      <c r="N20" s="17">
        <v>332.78100000000001</v>
      </c>
      <c r="O20" s="18">
        <v>332.78100000000001</v>
      </c>
      <c r="P20" s="18">
        <v>333.505</v>
      </c>
      <c r="Q20" s="18">
        <v>333.505</v>
      </c>
      <c r="R20" s="18">
        <v>359.16800000000001</v>
      </c>
      <c r="S20" s="18">
        <v>359.16800000000001</v>
      </c>
      <c r="T20" s="18">
        <v>382.20800000000003</v>
      </c>
      <c r="U20" s="19">
        <v>382.20800000000003</v>
      </c>
      <c r="V20" s="19">
        <v>410.52699999999999</v>
      </c>
      <c r="W20" s="47"/>
    </row>
    <row r="21" spans="1:23" ht="15.75" customHeight="1" x14ac:dyDescent="0.2">
      <c r="A21" s="48"/>
      <c r="B21" s="467" t="s">
        <v>48</v>
      </c>
      <c r="C21" s="20">
        <f t="shared" ref="C21:N21" si="1">C20-C19</f>
        <v>3.9999999998485691E-3</v>
      </c>
      <c r="D21" s="21">
        <f t="shared" si="1"/>
        <v>5.9999999999718057E-3</v>
      </c>
      <c r="E21" s="21">
        <f t="shared" si="1"/>
        <v>-3.7000000000091404E-2</v>
      </c>
      <c r="F21" s="21">
        <f t="shared" si="1"/>
        <v>3.3000000000129148E-2</v>
      </c>
      <c r="G21" s="21">
        <f t="shared" si="1"/>
        <v>5.9999999999718057E-3</v>
      </c>
      <c r="H21" s="21">
        <f t="shared" si="1"/>
        <v>2.0000000000663931E-3</v>
      </c>
      <c r="I21" s="21">
        <f t="shared" si="1"/>
        <v>-2.6999999999929969E-2</v>
      </c>
      <c r="J21" s="21">
        <f t="shared" si="1"/>
        <v>-2.4000000000114596E-2</v>
      </c>
      <c r="K21" s="21">
        <f t="shared" si="1"/>
        <v>-3.2000000000039108E-2</v>
      </c>
      <c r="L21" s="21">
        <f t="shared" si="1"/>
        <v>0</v>
      </c>
      <c r="M21" s="21">
        <f t="shared" si="1"/>
        <v>0</v>
      </c>
      <c r="N21" s="21">
        <f t="shared" si="1"/>
        <v>5.0000000000011369E-2</v>
      </c>
      <c r="O21" s="22">
        <v>0</v>
      </c>
      <c r="P21" s="22">
        <v>2.2730009999975199E-2</v>
      </c>
      <c r="Q21" s="22">
        <v>0</v>
      </c>
      <c r="R21" s="22">
        <v>0</v>
      </c>
      <c r="S21" s="22">
        <v>0</v>
      </c>
      <c r="T21" s="22">
        <v>0</v>
      </c>
      <c r="U21" s="23">
        <f>U20-U19</f>
        <v>-6.8672593613428035E-5</v>
      </c>
      <c r="V21" s="23">
        <f>V20-V19</f>
        <v>-3.0516105198330479E-8</v>
      </c>
    </row>
    <row r="22" spans="1:23" ht="17.649999999999999" customHeight="1" x14ac:dyDescent="0.2">
      <c r="A22" s="49"/>
      <c r="B22" s="470" t="s">
        <v>49</v>
      </c>
      <c r="C22" s="9" t="str">
        <f t="shared" ref="C22:N22" si="2">+C$9</f>
        <v>2010-11 RF</v>
      </c>
      <c r="D22" s="9" t="str">
        <f t="shared" si="2"/>
        <v>2011-12 RF</v>
      </c>
      <c r="E22" s="9" t="str">
        <f t="shared" si="2"/>
        <v>2012-13 RF</v>
      </c>
      <c r="F22" s="9" t="str">
        <f t="shared" si="2"/>
        <v>2013-14 RF</v>
      </c>
      <c r="G22" s="9" t="str">
        <f t="shared" si="2"/>
        <v>2014-15 RF</v>
      </c>
      <c r="H22" s="9" t="str">
        <f t="shared" si="2"/>
        <v>2015-16 RF</v>
      </c>
      <c r="I22" s="9" t="str">
        <f t="shared" si="2"/>
        <v>2016-17 RF</v>
      </c>
      <c r="J22" s="9" t="str">
        <f t="shared" si="2"/>
        <v>2017-18 RF</v>
      </c>
      <c r="K22" s="9" t="str">
        <f t="shared" si="2"/>
        <v>2018-19 RF</v>
      </c>
      <c r="L22" s="9" t="str">
        <f t="shared" si="2"/>
        <v>2019-20 Month</v>
      </c>
      <c r="M22" s="9" t="str">
        <f t="shared" si="2"/>
        <v>2019-20 RF</v>
      </c>
      <c r="N22" s="9" t="str">
        <f t="shared" si="2"/>
        <v>2020-21 Month</v>
      </c>
      <c r="O22" s="9" t="s">
        <v>18</v>
      </c>
      <c r="P22" s="9" t="s">
        <v>19</v>
      </c>
      <c r="Q22" s="9" t="s">
        <v>20</v>
      </c>
      <c r="R22" s="9" t="s">
        <v>21</v>
      </c>
      <c r="S22" s="9" t="s">
        <v>22</v>
      </c>
      <c r="T22" s="9" t="s">
        <v>23</v>
      </c>
      <c r="U22" s="9" t="s">
        <v>24</v>
      </c>
      <c r="V22" s="9" t="s">
        <v>25</v>
      </c>
      <c r="W22" s="46"/>
    </row>
    <row r="23" spans="1:23" ht="16.899999999999999" customHeight="1" x14ac:dyDescent="0.2">
      <c r="A23" s="10" t="s">
        <v>50</v>
      </c>
      <c r="B23" s="465" t="s">
        <v>51</v>
      </c>
      <c r="C23" s="25">
        <f>'P2'!D33</f>
        <v>121899465.39032534</v>
      </c>
      <c r="D23" s="25">
        <f>'P2'!E33</f>
        <v>118557354.58573771</v>
      </c>
      <c r="E23" s="25">
        <f>'P2'!F33</f>
        <v>114193438.0969864</v>
      </c>
      <c r="F23" s="25">
        <f>'P2'!G33</f>
        <v>113634011.38109574</v>
      </c>
      <c r="G23" s="25">
        <f>'P2'!H33</f>
        <v>113375865.60520598</v>
      </c>
      <c r="H23" s="25">
        <f>'P2'!I33</f>
        <v>113072225.41612032</v>
      </c>
      <c r="I23" s="25">
        <f>'P2'!J33</f>
        <v>110397502.0601366</v>
      </c>
      <c r="J23" s="25">
        <f>'P2'!K33</f>
        <v>111654956.20534283</v>
      </c>
      <c r="K23" s="25">
        <f>'P2'!L33</f>
        <v>113964371.91315088</v>
      </c>
      <c r="L23" s="25">
        <f>'P2'!M33</f>
        <v>110514376.72539167</v>
      </c>
      <c r="M23" s="25">
        <f>'P2'!N33</f>
        <v>108925500.93875721</v>
      </c>
      <c r="N23" s="25">
        <f>'P2'!O33</f>
        <v>98101418.923092559</v>
      </c>
      <c r="O23" s="25">
        <f>'P2'!P33</f>
        <v>97537785</v>
      </c>
      <c r="P23" s="25">
        <f>'P2'!Q33</f>
        <v>104199800</v>
      </c>
      <c r="Q23" s="25">
        <f>'P2'!R33</f>
        <v>105612589.23237887</v>
      </c>
      <c r="R23" s="25">
        <f>'P2'!S33</f>
        <v>109972437.66819596</v>
      </c>
      <c r="S23" s="25">
        <f>'P2'!T33</f>
        <v>110769711.54516327</v>
      </c>
      <c r="T23" s="25">
        <f>'P2'!U33</f>
        <v>110066516.88503757</v>
      </c>
      <c r="U23" s="26">
        <f>'P2'!V33</f>
        <v>109627156.85417183</v>
      </c>
      <c r="V23" s="26">
        <f>'P2'!W33</f>
        <v>106839152.92648184</v>
      </c>
      <c r="W23" s="47"/>
    </row>
    <row r="24" spans="1:23" ht="16.899999999999999" customHeight="1" x14ac:dyDescent="0.2">
      <c r="A24" s="10" t="s">
        <v>52</v>
      </c>
      <c r="B24" s="465" t="s">
        <v>53</v>
      </c>
      <c r="C24" s="11">
        <f>+C23/365000</f>
        <v>333.97113805568586</v>
      </c>
      <c r="D24" s="11">
        <f>D23/366000</f>
        <v>323.92719832168774</v>
      </c>
      <c r="E24" s="11">
        <f>+E23/365000</f>
        <v>312.85873451229151</v>
      </c>
      <c r="F24" s="11">
        <f>+F23/365000</f>
        <v>311.32605857834449</v>
      </c>
      <c r="G24" s="11">
        <f>G23/365000</f>
        <v>310.61880987727665</v>
      </c>
      <c r="H24" s="11">
        <f>H23/366000</f>
        <v>308.94050660142165</v>
      </c>
      <c r="I24" s="11">
        <f>I23/365000</f>
        <v>302.45890975379893</v>
      </c>
      <c r="J24" s="11">
        <f>J23/365000</f>
        <v>305.90398960367901</v>
      </c>
      <c r="K24" s="11">
        <f>+K23/365000</f>
        <v>312.23115592644075</v>
      </c>
      <c r="L24" s="11">
        <f>+L23/366000</f>
        <v>301.95184897647999</v>
      </c>
      <c r="M24" s="11">
        <f>+M23/366000</f>
        <v>297.61065830261532</v>
      </c>
      <c r="N24" s="11">
        <f t="shared" ref="N24:S24" si="3">+N23/365000</f>
        <v>268.77101074819882</v>
      </c>
      <c r="O24" s="11">
        <f t="shared" si="3"/>
        <v>267.22680821917811</v>
      </c>
      <c r="P24" s="11">
        <f t="shared" si="3"/>
        <v>285.47890410958905</v>
      </c>
      <c r="Q24" s="11">
        <f t="shared" si="3"/>
        <v>289.34955954076401</v>
      </c>
      <c r="R24" s="11">
        <f t="shared" si="3"/>
        <v>301.29434977587937</v>
      </c>
      <c r="S24" s="11">
        <f t="shared" si="3"/>
        <v>303.4786617675706</v>
      </c>
      <c r="T24" s="11">
        <f>+T23/366000</f>
        <v>300.72818821048514</v>
      </c>
      <c r="U24" s="12">
        <f>+U23/366000</f>
        <v>299.52775096768261</v>
      </c>
      <c r="V24" s="12">
        <f>+V23/365000</f>
        <v>292.71000801775847</v>
      </c>
      <c r="W24" s="47"/>
    </row>
    <row r="25" spans="1:23" ht="16.899999999999999" customHeight="1" x14ac:dyDescent="0.2">
      <c r="A25" s="10" t="s">
        <v>54</v>
      </c>
      <c r="B25" s="465" t="s">
        <v>55</v>
      </c>
      <c r="C25" s="13">
        <v>3.9674142549736802</v>
      </c>
      <c r="D25" s="13">
        <v>4.0527535222577802</v>
      </c>
      <c r="E25" s="13">
        <v>4.6331279387697499</v>
      </c>
      <c r="F25" s="13">
        <v>2.3941932579134599</v>
      </c>
      <c r="G25" s="13">
        <v>0.82567144050375396</v>
      </c>
      <c r="H25" s="13">
        <v>2.01836118832296</v>
      </c>
      <c r="I25" s="13">
        <v>6.55891183335513</v>
      </c>
      <c r="J25" s="13">
        <v>14.401671163960099</v>
      </c>
      <c r="K25" s="13">
        <v>5.8652953443706197</v>
      </c>
      <c r="L25" s="13">
        <v>0.17086356794464999</v>
      </c>
      <c r="M25" s="13">
        <f>+L24-M24+L25</f>
        <v>4.5120542418093237</v>
      </c>
      <c r="N25" s="13">
        <v>1.3443722329261001</v>
      </c>
      <c r="O25" s="13">
        <v>1.6443722329260999</v>
      </c>
      <c r="P25" s="13">
        <v>2.8886017342465502</v>
      </c>
      <c r="Q25" s="13">
        <v>-0.98205369692840305</v>
      </c>
      <c r="R25" s="13">
        <v>1.1472932050326501</v>
      </c>
      <c r="S25" s="13">
        <v>-1.03701878665858</v>
      </c>
      <c r="T25" s="13">
        <v>-0.22715487431631301</v>
      </c>
      <c r="U25" s="14">
        <v>0.97328236848622396</v>
      </c>
      <c r="V25" s="14">
        <v>-0.13191295726233801</v>
      </c>
      <c r="W25" s="47"/>
    </row>
    <row r="26" spans="1:23" ht="16.899999999999999" customHeight="1" x14ac:dyDescent="0.2">
      <c r="A26" s="10" t="s">
        <v>56</v>
      </c>
      <c r="B26" s="465" t="s">
        <v>57</v>
      </c>
      <c r="C26" s="13">
        <v>5.0385091314760704</v>
      </c>
      <c r="D26" s="13">
        <v>4.8594818121495802</v>
      </c>
      <c r="E26" s="13">
        <v>5.04059303632277</v>
      </c>
      <c r="F26" s="13">
        <v>5.2500088964638696</v>
      </c>
      <c r="G26" s="13">
        <v>5.2439720737197097</v>
      </c>
      <c r="H26" s="13">
        <v>5.3113225683671397</v>
      </c>
      <c r="I26" s="13">
        <v>5.4061466344994997</v>
      </c>
      <c r="J26" s="13">
        <v>5.5927288375529196</v>
      </c>
      <c r="K26" s="13">
        <v>5.6624651480667199</v>
      </c>
      <c r="L26" s="13">
        <v>5.68811673844771</v>
      </c>
      <c r="M26" s="13">
        <v>5.68811673844771</v>
      </c>
      <c r="N26" s="13">
        <v>5.26</v>
      </c>
      <c r="O26" s="13">
        <v>6.56</v>
      </c>
      <c r="P26" s="13">
        <v>5.74</v>
      </c>
      <c r="Q26" s="13">
        <v>5.74</v>
      </c>
      <c r="R26" s="13">
        <v>5.8346323381506</v>
      </c>
      <c r="S26" s="13">
        <v>5.8346323381506</v>
      </c>
      <c r="T26" s="13">
        <v>5.8333312816184604</v>
      </c>
      <c r="U26" s="14">
        <v>5.8333312816184604</v>
      </c>
      <c r="V26" s="14">
        <v>5.7808037087322699</v>
      </c>
      <c r="W26" s="47"/>
    </row>
    <row r="27" spans="1:23" ht="16.899999999999999" customHeight="1" x14ac:dyDescent="0.2">
      <c r="A27" s="10" t="s">
        <v>58</v>
      </c>
      <c r="B27" s="465" t="s">
        <v>59</v>
      </c>
      <c r="C27" s="13">
        <v>50.377035819725997</v>
      </c>
      <c r="D27" s="13">
        <v>39.939373521857902</v>
      </c>
      <c r="E27" s="13">
        <v>47.636461896986297</v>
      </c>
      <c r="F27" s="13">
        <v>58.1103189881253</v>
      </c>
      <c r="G27" s="13">
        <v>49.929415559189998</v>
      </c>
      <c r="H27" s="13">
        <v>54.403804770491803</v>
      </c>
      <c r="I27" s="13">
        <v>43.679386086301299</v>
      </c>
      <c r="J27" s="13">
        <v>48.893253019178204</v>
      </c>
      <c r="K27" s="13">
        <v>44.394009971506897</v>
      </c>
      <c r="L27" s="13">
        <v>40.012756800546398</v>
      </c>
      <c r="M27" s="13">
        <v>40.012756800546398</v>
      </c>
      <c r="N27" s="13">
        <v>39.75</v>
      </c>
      <c r="O27" s="13">
        <v>39.75</v>
      </c>
      <c r="P27" s="13">
        <v>45.622399999999999</v>
      </c>
      <c r="Q27" s="13">
        <v>45.622399999999999</v>
      </c>
      <c r="R27" s="13">
        <v>46.330154082191797</v>
      </c>
      <c r="S27" s="13">
        <v>46.330154082191797</v>
      </c>
      <c r="T27" s="13">
        <v>43.269956604918001</v>
      </c>
      <c r="U27" s="14">
        <v>43.269956604918001</v>
      </c>
      <c r="V27" s="14">
        <v>37.385033962191798</v>
      </c>
      <c r="W27" s="47"/>
    </row>
    <row r="28" spans="1:23" ht="16.899999999999999" customHeight="1" x14ac:dyDescent="0.2">
      <c r="A28" s="10" t="s">
        <v>60</v>
      </c>
      <c r="B28" s="465" t="s">
        <v>61</v>
      </c>
      <c r="C28" s="13">
        <v>0</v>
      </c>
      <c r="D28" s="13">
        <v>0</v>
      </c>
      <c r="E28" s="13">
        <v>0</v>
      </c>
      <c r="F28" s="13">
        <v>0</v>
      </c>
      <c r="G28" s="13">
        <v>0</v>
      </c>
      <c r="H28" s="13">
        <v>0</v>
      </c>
      <c r="I28" s="13">
        <v>-1.4210854715202E-12</v>
      </c>
      <c r="J28" s="13">
        <v>-1.3981978676709399</v>
      </c>
      <c r="K28" s="13">
        <v>-1.7961504663013701</v>
      </c>
      <c r="L28" s="13">
        <v>-1.76301653306011</v>
      </c>
      <c r="M28" s="13">
        <v>-1.76301653306011</v>
      </c>
      <c r="N28" s="13">
        <v>-1.6138767846575299</v>
      </c>
      <c r="O28" s="13">
        <v>-1.6138767846575299</v>
      </c>
      <c r="P28" s="15" t="s">
        <v>62</v>
      </c>
      <c r="Q28" s="15" t="s">
        <v>62</v>
      </c>
      <c r="R28" s="27">
        <v>-2.1029298575342401</v>
      </c>
      <c r="S28" s="28">
        <v>-2.1029298575342401</v>
      </c>
      <c r="T28" s="28">
        <v>-1.7966467243168101</v>
      </c>
      <c r="U28" s="14">
        <v>-1.7966467243168101</v>
      </c>
      <c r="V28" s="14">
        <v>-1.7766849999998899</v>
      </c>
      <c r="W28" s="47"/>
    </row>
    <row r="29" spans="1:23" ht="16.899999999999999" customHeight="1" x14ac:dyDescent="0.2">
      <c r="A29" s="10" t="s">
        <v>63</v>
      </c>
      <c r="B29" s="465" t="s">
        <v>64</v>
      </c>
      <c r="C29" s="13">
        <v>1.2582931265774799</v>
      </c>
      <c r="D29" s="13">
        <v>1.2675973407107799</v>
      </c>
      <c r="E29" s="13">
        <v>1.26305913178101</v>
      </c>
      <c r="F29" s="13">
        <v>1.38249924328699</v>
      </c>
      <c r="G29" s="13">
        <v>1.36214111065573</v>
      </c>
      <c r="H29" s="13">
        <v>1.80416725846993</v>
      </c>
      <c r="I29" s="13">
        <v>1.9814228446575199</v>
      </c>
      <c r="J29" s="13">
        <v>1.6778313093150801</v>
      </c>
      <c r="K29" s="13">
        <v>1.6266194460271799</v>
      </c>
      <c r="L29" s="13">
        <v>1.8287832803278701</v>
      </c>
      <c r="M29" s="13">
        <v>1.8287832803278701</v>
      </c>
      <c r="N29" s="13">
        <v>1.1182514895890401</v>
      </c>
      <c r="O29" s="13">
        <v>1.1182514895890401</v>
      </c>
      <c r="P29" s="13">
        <v>1.66</v>
      </c>
      <c r="Q29" s="13">
        <v>1.66</v>
      </c>
      <c r="R29" s="13">
        <v>1.4596142739725999</v>
      </c>
      <c r="S29" s="28">
        <v>1.4596142739725999</v>
      </c>
      <c r="T29" s="28">
        <v>1.3665462428961701</v>
      </c>
      <c r="U29" s="14">
        <v>1.3665462428961701</v>
      </c>
      <c r="V29" s="14">
        <v>1.5750172679451999</v>
      </c>
      <c r="W29" s="47"/>
    </row>
    <row r="30" spans="1:23" ht="16.899999999999999" customHeight="1" x14ac:dyDescent="0.2">
      <c r="A30" s="10" t="s">
        <v>65</v>
      </c>
      <c r="B30" s="465" t="s">
        <v>66</v>
      </c>
      <c r="C30" s="13">
        <v>2.2053325190514101</v>
      </c>
      <c r="D30" s="13">
        <v>1.1774873983740699</v>
      </c>
      <c r="E30" s="13">
        <v>0.57302953273199397</v>
      </c>
      <c r="F30" s="13">
        <v>1.1281000000000201</v>
      </c>
      <c r="G30" s="13">
        <v>1.20091812099849</v>
      </c>
      <c r="H30" s="13">
        <v>7.0877038293815503E-2</v>
      </c>
      <c r="I30" s="13">
        <v>0.836041851888353</v>
      </c>
      <c r="J30" s="13">
        <v>1.4379797478794101</v>
      </c>
      <c r="K30" s="13">
        <v>0.87805102360829301</v>
      </c>
      <c r="L30" s="13">
        <v>0.77568335022811996</v>
      </c>
      <c r="M30" s="13">
        <v>0.77568335022811996</v>
      </c>
      <c r="N30" s="13">
        <f>2.11701850330718</f>
        <v>2.1170185033071802</v>
      </c>
      <c r="O30" s="13">
        <v>2.1170185033071802</v>
      </c>
      <c r="P30" s="13">
        <v>-0.48036592579288301</v>
      </c>
      <c r="Q30" s="13">
        <v>-0.48036592579288301</v>
      </c>
      <c r="R30" s="13">
        <v>1.4307301930899601</v>
      </c>
      <c r="S30" s="28">
        <v>1.4307301930899601</v>
      </c>
      <c r="T30" s="28">
        <v>1.50335194111476</v>
      </c>
      <c r="U30" s="14">
        <v>1.50335194111476</v>
      </c>
      <c r="V30" s="14">
        <v>1.35849259573783</v>
      </c>
      <c r="W30" s="47"/>
    </row>
    <row r="31" spans="1:23" ht="16.899999999999999" customHeight="1" x14ac:dyDescent="0.2">
      <c r="A31" s="10" t="s">
        <v>67</v>
      </c>
      <c r="B31" s="465" t="s">
        <v>68</v>
      </c>
      <c r="C31" s="13">
        <v>1.92425581316312</v>
      </c>
      <c r="D31" s="13">
        <v>12.2596909954911</v>
      </c>
      <c r="E31" s="13">
        <v>6.3224181154764896</v>
      </c>
      <c r="F31" s="13">
        <v>-9.0372910346704103</v>
      </c>
      <c r="G31" s="13">
        <v>-3.61710060539269</v>
      </c>
      <c r="H31" s="13">
        <v>-10.244582350743899</v>
      </c>
      <c r="I31" s="13">
        <v>-3.5652590450882302</v>
      </c>
      <c r="J31" s="13">
        <v>-10.9968884762557</v>
      </c>
      <c r="K31" s="13">
        <v>-1.4957</v>
      </c>
      <c r="L31" s="13">
        <v>-1.0700362175481599</v>
      </c>
      <c r="M31" s="13">
        <v>-1.0700362175481599</v>
      </c>
      <c r="N31" s="13">
        <f>7.91426794540339-N32</f>
        <v>6.7200832500798198</v>
      </c>
      <c r="O31" s="13">
        <v>6.7200832500798198</v>
      </c>
      <c r="P31" s="13">
        <v>1.8524684329535099</v>
      </c>
      <c r="Q31" s="13">
        <v>1.8524684329535099</v>
      </c>
      <c r="R31" s="13">
        <v>-7.0065504925362196</v>
      </c>
      <c r="S31" s="28">
        <v>-7.0065504925362196</v>
      </c>
      <c r="T31" s="28">
        <v>-8.6051088116734196</v>
      </c>
      <c r="U31" s="14">
        <v>-8.6051088116734196</v>
      </c>
      <c r="V31" s="14">
        <v>-5.4948243523598004</v>
      </c>
      <c r="W31" s="47"/>
    </row>
    <row r="32" spans="1:23" ht="16.899999999999999" customHeight="1" x14ac:dyDescent="0.2">
      <c r="A32" s="10" t="s">
        <v>69</v>
      </c>
      <c r="B32" s="465" t="s">
        <v>70</v>
      </c>
      <c r="C32" s="13">
        <v>2.1489589041095898</v>
      </c>
      <c r="D32" s="13">
        <v>2.2384207650273198</v>
      </c>
      <c r="E32" s="13">
        <v>2.39344383561644</v>
      </c>
      <c r="F32" s="13">
        <v>2.1321698630136998</v>
      </c>
      <c r="G32" s="13">
        <v>2.25029589041096</v>
      </c>
      <c r="H32" s="13">
        <v>2.10294535519126</v>
      </c>
      <c r="I32" s="13">
        <v>2.1737307416154898</v>
      </c>
      <c r="J32" s="13">
        <v>2.0010845536135999</v>
      </c>
      <c r="K32" s="13">
        <v>2.0015040000000002</v>
      </c>
      <c r="L32" s="13">
        <v>1.9446169311475401</v>
      </c>
      <c r="M32" s="13">
        <v>1.9446169311475401</v>
      </c>
      <c r="N32" s="13">
        <f>1.19418469532357</f>
        <v>1.19418469532357</v>
      </c>
      <c r="O32" s="13">
        <v>1.19418469532357</v>
      </c>
      <c r="P32" s="13">
        <v>1.19507538970241</v>
      </c>
      <c r="Q32" s="13">
        <v>1.19507538970241</v>
      </c>
      <c r="R32" s="13">
        <v>1.4225256495040199</v>
      </c>
      <c r="S32" s="28">
        <v>1.4225256495040199</v>
      </c>
      <c r="T32" s="28">
        <v>1.3204043715847</v>
      </c>
      <c r="U32" s="14">
        <v>1.3204043715847</v>
      </c>
      <c r="V32" s="14">
        <v>1.27044383561644</v>
      </c>
      <c r="W32" s="47"/>
    </row>
    <row r="33" spans="1:23" ht="16.899999999999999" customHeight="1" x14ac:dyDescent="0.2">
      <c r="A33" s="10" t="s">
        <v>71</v>
      </c>
      <c r="B33" s="465" t="s">
        <v>72</v>
      </c>
      <c r="C33" s="13">
        <v>18.811221809137599</v>
      </c>
      <c r="D33" s="13">
        <v>18.5902150164302</v>
      </c>
      <c r="E33" s="13">
        <v>18.117067607487201</v>
      </c>
      <c r="F33" s="13">
        <v>17.713517491590501</v>
      </c>
      <c r="G33" s="13">
        <v>17.559999999999999</v>
      </c>
      <c r="H33" s="13">
        <v>17.420000000000002</v>
      </c>
      <c r="I33" s="13">
        <v>17.942939078832001</v>
      </c>
      <c r="J33" s="13">
        <v>17.4889761370261</v>
      </c>
      <c r="K33" s="13">
        <v>17.6341466192581</v>
      </c>
      <c r="L33" s="13">
        <v>16.720931056922101</v>
      </c>
      <c r="M33" s="13">
        <v>16.720931056922101</v>
      </c>
      <c r="N33" s="13">
        <f>15.15+0.42</f>
        <v>15.57</v>
      </c>
      <c r="O33" s="13">
        <v>15.57</v>
      </c>
      <c r="P33" s="13">
        <v>17.810378726027398</v>
      </c>
      <c r="Q33" s="13">
        <v>17.810378726027398</v>
      </c>
      <c r="R33" s="13">
        <v>16.799438246717799</v>
      </c>
      <c r="S33" s="28">
        <v>16.799438246717799</v>
      </c>
      <c r="T33" s="28">
        <v>16.4790113519473</v>
      </c>
      <c r="U33" s="14">
        <v>16.4790113519473</v>
      </c>
      <c r="V33" s="14">
        <v>15.946916872887201</v>
      </c>
      <c r="W33" s="47"/>
    </row>
    <row r="34" spans="1:23" ht="16.899999999999999" customHeight="1" x14ac:dyDescent="0.2">
      <c r="A34" s="10" t="s">
        <v>73</v>
      </c>
      <c r="B34" s="465" t="s">
        <v>74</v>
      </c>
      <c r="C34" s="11">
        <f t="shared" ref="C34:V34" si="4">SUM(C24:C33)</f>
        <v>419.70215943390082</v>
      </c>
      <c r="D34" s="11">
        <f t="shared" si="4"/>
        <v>408.31221869398649</v>
      </c>
      <c r="E34" s="11">
        <f t="shared" si="4"/>
        <v>398.83793560746346</v>
      </c>
      <c r="F34" s="11">
        <f t="shared" si="4"/>
        <v>390.39957528406791</v>
      </c>
      <c r="G34" s="11">
        <f t="shared" si="4"/>
        <v>385.37412346736255</v>
      </c>
      <c r="H34" s="11">
        <f t="shared" si="4"/>
        <v>381.8274024298147</v>
      </c>
      <c r="I34" s="11">
        <f t="shared" si="4"/>
        <v>377.47222977985859</v>
      </c>
      <c r="J34" s="11">
        <f t="shared" si="4"/>
        <v>385.00242802827773</v>
      </c>
      <c r="K34" s="11">
        <f t="shared" si="4"/>
        <v>387.00139701297718</v>
      </c>
      <c r="L34" s="11">
        <f t="shared" si="4"/>
        <v>366.26054795143614</v>
      </c>
      <c r="M34" s="11">
        <f t="shared" si="4"/>
        <v>366.26054795143614</v>
      </c>
      <c r="N34" s="11">
        <f t="shared" si="4"/>
        <v>340.23104413476699</v>
      </c>
      <c r="O34" s="11">
        <f t="shared" si="4"/>
        <v>340.2868416057463</v>
      </c>
      <c r="P34" s="11">
        <f t="shared" si="4"/>
        <v>361.76746246672604</v>
      </c>
      <c r="Q34" s="11">
        <f t="shared" si="4"/>
        <v>361.76746246672604</v>
      </c>
      <c r="R34" s="11">
        <f t="shared" si="4"/>
        <v>366.60925741446829</v>
      </c>
      <c r="S34" s="12">
        <f t="shared" si="4"/>
        <v>366.60925741446829</v>
      </c>
      <c r="T34" s="12">
        <f t="shared" si="4"/>
        <v>359.87187959425796</v>
      </c>
      <c r="U34" s="12">
        <f t="shared" si="4"/>
        <v>359.87187959425796</v>
      </c>
      <c r="V34" s="12">
        <f t="shared" si="4"/>
        <v>348.62329395124726</v>
      </c>
      <c r="W34" s="47"/>
    </row>
    <row r="35" spans="1:23" ht="15.75" customHeight="1" x14ac:dyDescent="0.2">
      <c r="A35" s="10"/>
      <c r="B35" s="466" t="s">
        <v>75</v>
      </c>
      <c r="C35" s="29">
        <v>419.78735001507602</v>
      </c>
      <c r="D35" s="17">
        <v>408.53226267253302</v>
      </c>
      <c r="E35" s="17">
        <v>398.939147836833</v>
      </c>
      <c r="F35" s="17">
        <v>390.11925501516703</v>
      </c>
      <c r="G35" s="17">
        <v>385.47450627931602</v>
      </c>
      <c r="H35" s="17">
        <v>381.81097864588099</v>
      </c>
      <c r="I35" s="17">
        <v>377.514499874916</v>
      </c>
      <c r="J35" s="17">
        <v>384.96722931059799</v>
      </c>
      <c r="K35" s="17">
        <v>386.75523423934698</v>
      </c>
      <c r="L35" s="17">
        <v>366.21731170016801</v>
      </c>
      <c r="M35" s="17">
        <v>366.21731170016801</v>
      </c>
      <c r="N35" s="17">
        <v>340.37</v>
      </c>
      <c r="O35" s="17">
        <v>340.37</v>
      </c>
      <c r="P35" s="17">
        <v>361.78132219999998</v>
      </c>
      <c r="Q35" s="17">
        <v>361.78132219999998</v>
      </c>
      <c r="R35" s="17">
        <v>366.61</v>
      </c>
      <c r="S35" s="17">
        <v>366.61</v>
      </c>
      <c r="T35" s="17">
        <v>359.87190423426301</v>
      </c>
      <c r="U35" s="17">
        <v>359.87190423426301</v>
      </c>
      <c r="V35" s="17">
        <v>348.62299999999999</v>
      </c>
      <c r="W35" s="47"/>
    </row>
    <row r="36" spans="1:23" ht="15.75" customHeight="1" x14ac:dyDescent="0.2">
      <c r="A36" s="48"/>
      <c r="B36" s="467" t="s">
        <v>48</v>
      </c>
      <c r="C36" s="20">
        <f t="shared" ref="C36:K36" si="5">C35-C34</f>
        <v>8.5190581175197622E-2</v>
      </c>
      <c r="D36" s="20">
        <f t="shared" si="5"/>
        <v>0.2200439785465278</v>
      </c>
      <c r="E36" s="20">
        <f t="shared" si="5"/>
        <v>0.101212229369537</v>
      </c>
      <c r="F36" s="20">
        <f t="shared" si="5"/>
        <v>-0.28032026890087991</v>
      </c>
      <c r="G36" s="20">
        <f t="shared" si="5"/>
        <v>0.10038281195346599</v>
      </c>
      <c r="H36" s="20">
        <f t="shared" si="5"/>
        <v>-1.6423783933703362E-2</v>
      </c>
      <c r="I36" s="20">
        <f t="shared" si="5"/>
        <v>4.2270095057403978E-2</v>
      </c>
      <c r="J36" s="20">
        <f t="shared" si="5"/>
        <v>-3.5198717679747915E-2</v>
      </c>
      <c r="K36" s="20">
        <f t="shared" si="5"/>
        <v>-0.24616277363020345</v>
      </c>
      <c r="L36" s="20">
        <v>-4.3236251267728697E-2</v>
      </c>
      <c r="M36" s="20">
        <f>+M35-M34</f>
        <v>-4.323625126812658E-2</v>
      </c>
      <c r="N36" s="20">
        <f>+N35-N34</f>
        <v>0.13895586523301517</v>
      </c>
      <c r="O36" s="20">
        <v>8.3158394253700904E-2</v>
      </c>
      <c r="P36" s="20">
        <v>1.38597332739891E-2</v>
      </c>
      <c r="Q36" s="20">
        <v>1.38597332739891E-2</v>
      </c>
      <c r="R36" s="20">
        <v>7.4258553183881304E-4</v>
      </c>
      <c r="S36" s="20">
        <f>S35-S34</f>
        <v>7.425855317251262E-4</v>
      </c>
      <c r="T36" s="20">
        <f>T35-T34</f>
        <v>2.4640005051423941E-5</v>
      </c>
      <c r="U36" s="20">
        <f>U35-U34</f>
        <v>2.4640005051423941E-5</v>
      </c>
      <c r="V36" s="20">
        <f>V35-V34</f>
        <v>-2.9395124727216171E-4</v>
      </c>
    </row>
    <row r="37" spans="1:23" ht="17.649999999999999" customHeight="1" x14ac:dyDescent="0.2">
      <c r="A37" s="49"/>
      <c r="B37" s="470" t="s">
        <v>76</v>
      </c>
      <c r="C37" s="9" t="str">
        <f t="shared" ref="C37:N37" si="6">+C$9</f>
        <v>2010-11 RF</v>
      </c>
      <c r="D37" s="9" t="str">
        <f t="shared" si="6"/>
        <v>2011-12 RF</v>
      </c>
      <c r="E37" s="9" t="str">
        <f t="shared" si="6"/>
        <v>2012-13 RF</v>
      </c>
      <c r="F37" s="9" t="str">
        <f t="shared" si="6"/>
        <v>2013-14 RF</v>
      </c>
      <c r="G37" s="9" t="str">
        <f t="shared" si="6"/>
        <v>2014-15 RF</v>
      </c>
      <c r="H37" s="9" t="str">
        <f t="shared" si="6"/>
        <v>2015-16 RF</v>
      </c>
      <c r="I37" s="9" t="str">
        <f t="shared" si="6"/>
        <v>2016-17 RF</v>
      </c>
      <c r="J37" s="9" t="str">
        <f t="shared" si="6"/>
        <v>2017-18 RF</v>
      </c>
      <c r="K37" s="9" t="str">
        <f t="shared" si="6"/>
        <v>2018-19 RF</v>
      </c>
      <c r="L37" s="9" t="str">
        <f t="shared" si="6"/>
        <v>2019-20 Month</v>
      </c>
      <c r="M37" s="9" t="str">
        <f t="shared" si="6"/>
        <v>2019-20 RF</v>
      </c>
      <c r="N37" s="9" t="str">
        <f t="shared" si="6"/>
        <v>2020-21 Month</v>
      </c>
      <c r="O37" s="9" t="s">
        <v>18</v>
      </c>
      <c r="P37" s="9" t="s">
        <v>19</v>
      </c>
      <c r="Q37" s="9" t="s">
        <v>20</v>
      </c>
      <c r="R37" s="9" t="s">
        <v>21</v>
      </c>
      <c r="S37" s="9" t="s">
        <v>22</v>
      </c>
      <c r="T37" s="9" t="s">
        <v>23</v>
      </c>
      <c r="U37" s="9" t="s">
        <v>24</v>
      </c>
      <c r="V37" s="9" t="s">
        <v>25</v>
      </c>
      <c r="W37" s="46"/>
    </row>
    <row r="38" spans="1:23" ht="16.899999999999999" customHeight="1" x14ac:dyDescent="0.2">
      <c r="A38" s="10" t="s">
        <v>77</v>
      </c>
      <c r="B38" s="465" t="s">
        <v>78</v>
      </c>
      <c r="C38" s="25">
        <f>+'P2'!D35</f>
        <v>48451137.546303697</v>
      </c>
      <c r="D38" s="25">
        <f>+'P2'!E35</f>
        <v>47015701.144317098</v>
      </c>
      <c r="E38" s="25">
        <f>+'P2'!F35</f>
        <v>46107853.982739598</v>
      </c>
      <c r="F38" s="25">
        <f>+'P2'!G35</f>
        <v>47163690.985890299</v>
      </c>
      <c r="G38" s="25">
        <f>+'P2'!H35</f>
        <v>47007115.693972804</v>
      </c>
      <c r="H38" s="25">
        <f>+'P2'!I35</f>
        <v>47708226.9029506</v>
      </c>
      <c r="I38" s="25">
        <f>+'P2'!J35</f>
        <v>48872347.993561603</v>
      </c>
      <c r="J38" s="25">
        <f>+'P2'!K35</f>
        <v>49699448.266438499</v>
      </c>
      <c r="K38" s="25">
        <f>+'P2'!L35</f>
        <v>49611241.227945499</v>
      </c>
      <c r="L38" s="25">
        <f>+'P2'!M35</f>
        <v>50778348.943581603</v>
      </c>
      <c r="M38" s="25">
        <f>+'P2'!N35</f>
        <v>48775769.2949325</v>
      </c>
      <c r="N38" s="25">
        <f>+'P2'!O35</f>
        <v>39520480.090227902</v>
      </c>
      <c r="O38" s="25">
        <f>+'P2'!P35</f>
        <v>37785839</v>
      </c>
      <c r="P38" s="25">
        <f>+'P2'!Q35</f>
        <v>43423640</v>
      </c>
      <c r="Q38" s="25">
        <f>+'P2'!R35</f>
        <v>43234907.831572399</v>
      </c>
      <c r="R38" s="25">
        <f>+'P2'!S35</f>
        <v>46610590.122440301</v>
      </c>
      <c r="S38" s="25">
        <f>+'P2'!T35</f>
        <v>46709928.8448947</v>
      </c>
      <c r="T38" s="25">
        <f>+'P2'!U35</f>
        <v>47644049.940922901</v>
      </c>
      <c r="U38" s="26">
        <f>+'P2'!V35</f>
        <v>47121724.757915102</v>
      </c>
      <c r="V38" s="26">
        <f>+'P2'!W35</f>
        <v>47033937.8544451</v>
      </c>
      <c r="W38" s="47"/>
    </row>
    <row r="39" spans="1:23" ht="16.899999999999999" customHeight="1" x14ac:dyDescent="0.2">
      <c r="A39" s="10" t="s">
        <v>79</v>
      </c>
      <c r="B39" s="465" t="s">
        <v>80</v>
      </c>
      <c r="C39" s="11">
        <f>+C38/365000</f>
        <v>132.74284259261287</v>
      </c>
      <c r="D39" s="11">
        <f>+D38/366000</f>
        <v>128.45819984786093</v>
      </c>
      <c r="E39" s="11">
        <f>+E38/365000</f>
        <v>126.3228876239441</v>
      </c>
      <c r="F39" s="11">
        <f>+F38/365000</f>
        <v>129.2155917421652</v>
      </c>
      <c r="G39" s="11">
        <f>+G38/365000</f>
        <v>128.78661833965151</v>
      </c>
      <c r="H39" s="11">
        <f>+H38/366000</f>
        <v>130.35034672937323</v>
      </c>
      <c r="I39" s="11">
        <f>+I38/365000</f>
        <v>133.89684381797699</v>
      </c>
      <c r="J39" s="11">
        <f>+J38/365000</f>
        <v>136.1628719628452</v>
      </c>
      <c r="K39" s="11">
        <f>+K38/365000</f>
        <v>135.92120884368629</v>
      </c>
      <c r="L39" s="11">
        <f>+L38/366000</f>
        <v>138.73865831579673</v>
      </c>
      <c r="M39" s="11">
        <f>+M38/366000</f>
        <v>133.26712922112705</v>
      </c>
      <c r="N39" s="11">
        <f t="shared" ref="N39:S39" si="7">+N38/365000</f>
        <v>108.27528791843261</v>
      </c>
      <c r="O39" s="11">
        <f t="shared" si="7"/>
        <v>103.52284657534247</v>
      </c>
      <c r="P39" s="11">
        <f t="shared" si="7"/>
        <v>118.96887671232876</v>
      </c>
      <c r="Q39" s="11">
        <f t="shared" si="7"/>
        <v>118.45180227828054</v>
      </c>
      <c r="R39" s="11">
        <f t="shared" si="7"/>
        <v>127.70024691079534</v>
      </c>
      <c r="S39" s="11">
        <f t="shared" si="7"/>
        <v>127.97240779423205</v>
      </c>
      <c r="T39" s="11">
        <f>+T38/366000</f>
        <v>130.17499983858715</v>
      </c>
      <c r="U39" s="12">
        <f>+U38/366000</f>
        <v>128.74788185222707</v>
      </c>
      <c r="V39" s="12">
        <f>+V38/365000</f>
        <v>128.86010371080849</v>
      </c>
      <c r="W39" s="47"/>
    </row>
    <row r="40" spans="1:23" ht="16.899999999999999" customHeight="1" x14ac:dyDescent="0.2">
      <c r="A40" s="10" t="s">
        <v>81</v>
      </c>
      <c r="B40" s="465" t="s">
        <v>82</v>
      </c>
      <c r="C40" s="13">
        <v>2.3588410829405499</v>
      </c>
      <c r="D40" s="13">
        <v>4.4270289222928598</v>
      </c>
      <c r="E40" s="13">
        <v>7.2484893667349404</v>
      </c>
      <c r="F40" s="13">
        <v>1.67287690904466</v>
      </c>
      <c r="G40" s="13">
        <v>5.6511810926067696</v>
      </c>
      <c r="H40" s="13">
        <v>1.3039404319164301</v>
      </c>
      <c r="I40" s="13">
        <v>3.6247711341859601</v>
      </c>
      <c r="J40" s="13">
        <v>8.3590771445768297</v>
      </c>
      <c r="K40" s="13">
        <v>7.3066652398536203</v>
      </c>
      <c r="L40" s="13">
        <v>-1.64697813170761</v>
      </c>
      <c r="M40" s="13">
        <f>+L39-M39+L40</f>
        <v>3.8245509629620669</v>
      </c>
      <c r="N40" s="13">
        <v>0.72270614299424096</v>
      </c>
      <c r="O40" s="13">
        <v>5.6</v>
      </c>
      <c r="P40" s="13">
        <v>5.44</v>
      </c>
      <c r="Q40" s="13">
        <v>5.95707443404822</v>
      </c>
      <c r="R40" s="13">
        <v>0.71450745261597604</v>
      </c>
      <c r="S40" s="28">
        <v>0.44234656917926402</v>
      </c>
      <c r="T40" s="28">
        <v>0.65357127701207696</v>
      </c>
      <c r="U40" s="28">
        <v>2.0806892633721601</v>
      </c>
      <c r="V40" s="28">
        <v>0.374452715891607</v>
      </c>
      <c r="W40" s="47"/>
    </row>
    <row r="41" spans="1:23" ht="16.899999999999999" customHeight="1" x14ac:dyDescent="0.2">
      <c r="A41" s="10" t="s">
        <v>83</v>
      </c>
      <c r="B41" s="465" t="s">
        <v>57</v>
      </c>
      <c r="C41" s="13">
        <v>2.5172337544469698</v>
      </c>
      <c r="D41" s="13">
        <v>3.5607587765099402</v>
      </c>
      <c r="E41" s="13">
        <v>3.68796286415605</v>
      </c>
      <c r="F41" s="13">
        <v>3.7047017745968498</v>
      </c>
      <c r="G41" s="13">
        <v>3.6718000000000002</v>
      </c>
      <c r="H41" s="13">
        <v>3.7688000000000001</v>
      </c>
      <c r="I41" s="13">
        <v>3.8308</v>
      </c>
      <c r="J41" s="13">
        <v>3.9020800000000002</v>
      </c>
      <c r="K41" s="13">
        <v>4.1092353583897001</v>
      </c>
      <c r="L41" s="13">
        <v>3.8294972901016302</v>
      </c>
      <c r="M41" s="13">
        <v>3.8294972901016302</v>
      </c>
      <c r="N41" s="13">
        <v>3.5984819159921999</v>
      </c>
      <c r="O41" s="13">
        <v>3.5984819159921999</v>
      </c>
      <c r="P41" s="13">
        <v>4.5999999999999996</v>
      </c>
      <c r="Q41" s="13">
        <v>4.5999999999999996</v>
      </c>
      <c r="R41" s="13">
        <v>4.63</v>
      </c>
      <c r="S41" s="28">
        <v>4.63</v>
      </c>
      <c r="T41" s="28">
        <v>4.6912193327679601</v>
      </c>
      <c r="U41" s="28">
        <v>4.6912193327679601</v>
      </c>
      <c r="V41" s="28">
        <v>4.6473266895300904</v>
      </c>
      <c r="W41" s="47"/>
    </row>
    <row r="42" spans="1:23" ht="16.899999999999999" customHeight="1" x14ac:dyDescent="0.2">
      <c r="A42" s="10" t="s">
        <v>84</v>
      </c>
      <c r="B42" s="465" t="s">
        <v>85</v>
      </c>
      <c r="C42" s="13">
        <v>1.0412198366666701</v>
      </c>
      <c r="D42" s="13">
        <v>0.33728361000000001</v>
      </c>
      <c r="E42" s="13">
        <v>0.33947696129032301</v>
      </c>
      <c r="F42" s="13">
        <v>0.304681880645161</v>
      </c>
      <c r="G42" s="13">
        <v>0.48836377096774197</v>
      </c>
      <c r="H42" s="13">
        <v>0.51027101290322596</v>
      </c>
      <c r="I42" s="13">
        <v>0.39631616129032299</v>
      </c>
      <c r="J42" s="13">
        <v>0.43004100645161297</v>
      </c>
      <c r="K42" s="13">
        <v>0.19795219032258099</v>
      </c>
      <c r="L42" s="13">
        <v>0.198101793548387</v>
      </c>
      <c r="M42" s="13">
        <v>0.198101793548387</v>
      </c>
      <c r="N42" s="13">
        <v>0.263162032328767</v>
      </c>
      <c r="O42" s="13">
        <v>0.20193972602739699</v>
      </c>
      <c r="P42" s="13">
        <v>0.22505753424657499</v>
      </c>
      <c r="Q42" s="13">
        <v>0.22505753424657499</v>
      </c>
      <c r="R42" s="13">
        <v>0</v>
      </c>
      <c r="S42" s="28">
        <v>0</v>
      </c>
      <c r="T42" s="28">
        <v>2.38251366120219E-3</v>
      </c>
      <c r="U42" s="28">
        <v>2.38251366120219E-3</v>
      </c>
      <c r="V42" s="28">
        <v>-3.0333123287670902E-4</v>
      </c>
      <c r="W42" s="47"/>
    </row>
    <row r="43" spans="1:23" ht="16.899999999999999" customHeight="1" x14ac:dyDescent="0.2">
      <c r="A43" s="10" t="s">
        <v>86</v>
      </c>
      <c r="B43" s="465" t="s">
        <v>61</v>
      </c>
      <c r="C43" s="13">
        <v>0</v>
      </c>
      <c r="D43" s="13">
        <v>0</v>
      </c>
      <c r="E43" s="13">
        <v>0</v>
      </c>
      <c r="F43" s="13">
        <v>0</v>
      </c>
      <c r="G43" s="13">
        <v>0</v>
      </c>
      <c r="H43" s="13">
        <v>0</v>
      </c>
      <c r="I43" s="13">
        <v>0</v>
      </c>
      <c r="J43" s="13">
        <v>-0.50965441612903195</v>
      </c>
      <c r="K43" s="13">
        <v>-0.32408470322580701</v>
      </c>
      <c r="L43" s="13">
        <v>0</v>
      </c>
      <c r="M43" s="13">
        <v>0</v>
      </c>
      <c r="N43" s="13">
        <v>0</v>
      </c>
      <c r="O43" s="13">
        <v>0</v>
      </c>
      <c r="P43" s="15" t="s">
        <v>62</v>
      </c>
      <c r="Q43" s="15" t="s">
        <v>62</v>
      </c>
      <c r="R43" s="15" t="s">
        <v>62</v>
      </c>
      <c r="S43" s="15" t="s">
        <v>62</v>
      </c>
      <c r="T43" s="15" t="s">
        <v>62</v>
      </c>
      <c r="U43" s="15" t="s">
        <v>87</v>
      </c>
      <c r="V43" s="15" t="s">
        <v>87</v>
      </c>
      <c r="W43" s="47"/>
    </row>
    <row r="44" spans="1:23" ht="16.899999999999999" customHeight="1" x14ac:dyDescent="0.2">
      <c r="A44" s="10" t="s">
        <v>88</v>
      </c>
      <c r="B44" s="465" t="s">
        <v>64</v>
      </c>
      <c r="C44" s="13">
        <v>0.92449890666666601</v>
      </c>
      <c r="D44" s="13">
        <v>0.88413982999999996</v>
      </c>
      <c r="E44" s="13">
        <v>1.0309619645161301</v>
      </c>
      <c r="F44" s="13">
        <v>1.0530101000000001</v>
      </c>
      <c r="G44" s="13">
        <v>1.10546209032258</v>
      </c>
      <c r="H44" s="13">
        <v>1.4496521516129</v>
      </c>
      <c r="I44" s="13">
        <v>1.64985320322581</v>
      </c>
      <c r="J44" s="13">
        <v>1.31179353870968</v>
      </c>
      <c r="K44" s="13">
        <v>1.55484321612903</v>
      </c>
      <c r="L44" s="13">
        <v>1.4601591774193501</v>
      </c>
      <c r="M44" s="13">
        <v>1.4601591774193501</v>
      </c>
      <c r="N44" s="13">
        <v>1.0623895354838699</v>
      </c>
      <c r="O44" s="13">
        <v>1.0623895354838699</v>
      </c>
      <c r="P44" s="13">
        <v>0.92625753424657498</v>
      </c>
      <c r="Q44" s="13">
        <v>0.92625753424657498</v>
      </c>
      <c r="R44" s="13">
        <v>1.2571178356164401</v>
      </c>
      <c r="S44" s="28">
        <v>1.2571178356164401</v>
      </c>
      <c r="T44" s="28">
        <v>1.0981660655737699</v>
      </c>
      <c r="U44" s="28">
        <v>1.0981660655737699</v>
      </c>
      <c r="V44" s="28">
        <v>1.2842119441095901</v>
      </c>
      <c r="W44" s="47"/>
    </row>
    <row r="45" spans="1:23" ht="16.899999999999999" customHeight="1" x14ac:dyDescent="0.2">
      <c r="A45" s="10" t="s">
        <v>89</v>
      </c>
      <c r="B45" s="465" t="s">
        <v>90</v>
      </c>
      <c r="C45" s="13">
        <v>0.33214835000000198</v>
      </c>
      <c r="D45" s="13">
        <v>0.46068129333333202</v>
      </c>
      <c r="E45" s="13">
        <v>0.69802581612902204</v>
      </c>
      <c r="F45" s="13">
        <v>0.63328566129031305</v>
      </c>
      <c r="G45" s="13">
        <v>0.74461053548385803</v>
      </c>
      <c r="H45" s="13">
        <v>0.66310751290321601</v>
      </c>
      <c r="I45" s="13">
        <v>0.91047993225804302</v>
      </c>
      <c r="J45" s="13">
        <v>1.12350038064513</v>
      </c>
      <c r="K45" s="13">
        <v>0.76510499032254797</v>
      </c>
      <c r="L45" s="13">
        <v>0</v>
      </c>
      <c r="M45" s="13">
        <v>0</v>
      </c>
      <c r="N45" s="13">
        <v>0</v>
      </c>
      <c r="O45" s="13">
        <v>0</v>
      </c>
      <c r="P45" s="13">
        <v>0</v>
      </c>
      <c r="Q45" s="13">
        <v>0</v>
      </c>
      <c r="R45" s="13">
        <v>0</v>
      </c>
      <c r="S45" s="28">
        <v>0</v>
      </c>
      <c r="T45" s="28">
        <v>0</v>
      </c>
      <c r="U45" s="28">
        <v>0</v>
      </c>
      <c r="V45" s="28">
        <v>0</v>
      </c>
      <c r="W45" s="47"/>
    </row>
    <row r="46" spans="1:23" ht="16.899999999999999" customHeight="1" x14ac:dyDescent="0.2">
      <c r="A46" s="10" t="s">
        <v>91</v>
      </c>
      <c r="B46" s="465" t="s">
        <v>92</v>
      </c>
      <c r="C46" s="13">
        <v>0.81754311319634798</v>
      </c>
      <c r="D46" s="13">
        <v>0.63822026077625704</v>
      </c>
      <c r="E46" s="13">
        <v>0.41872231511268199</v>
      </c>
      <c r="F46" s="13">
        <v>0.37152456676977402</v>
      </c>
      <c r="G46" s="13">
        <v>0.82831022612903105</v>
      </c>
      <c r="H46" s="13">
        <v>0.70027051451612898</v>
      </c>
      <c r="I46" s="13">
        <v>0.32961005999999998</v>
      </c>
      <c r="J46" s="13">
        <v>0.34894265072912001</v>
      </c>
      <c r="K46" s="13">
        <v>0.71582779783473305</v>
      </c>
      <c r="L46" s="13">
        <v>0.74922580645161296</v>
      </c>
      <c r="M46" s="13">
        <v>0.74922580645161296</v>
      </c>
      <c r="N46" s="13">
        <v>1.01716267419355</v>
      </c>
      <c r="O46" s="13">
        <v>1.01716267419355</v>
      </c>
      <c r="P46" s="13">
        <v>-0.71875</v>
      </c>
      <c r="Q46" s="13">
        <v>-0.71875</v>
      </c>
      <c r="R46" s="13">
        <v>-0.65266688490431202</v>
      </c>
      <c r="S46" s="28">
        <v>-0.65266688490431202</v>
      </c>
      <c r="T46" s="28">
        <v>-0.29933902760214598</v>
      </c>
      <c r="U46" s="28">
        <v>-0.29933902760214598</v>
      </c>
      <c r="V46" s="28">
        <v>-0.28415254717317301</v>
      </c>
      <c r="W46" s="47"/>
    </row>
    <row r="47" spans="1:23" ht="16.899999999999999" customHeight="1" x14ac:dyDescent="0.2">
      <c r="A47" s="10" t="s">
        <v>93</v>
      </c>
      <c r="B47" s="465" t="s">
        <v>94</v>
      </c>
      <c r="C47" s="11">
        <f t="shared" ref="C47:V47" si="8">SUM(C39:C46)</f>
        <v>140.73432763653008</v>
      </c>
      <c r="D47" s="11">
        <f t="shared" si="8"/>
        <v>138.7663125407733</v>
      </c>
      <c r="E47" s="11">
        <f t="shared" si="8"/>
        <v>139.74652691188325</v>
      </c>
      <c r="F47" s="11">
        <f t="shared" si="8"/>
        <v>136.95567263451193</v>
      </c>
      <c r="G47" s="11">
        <f t="shared" si="8"/>
        <v>141.2763460551615</v>
      </c>
      <c r="H47" s="11">
        <f t="shared" si="8"/>
        <v>138.74638835322511</v>
      </c>
      <c r="I47" s="11">
        <f t="shared" si="8"/>
        <v>144.63867430893711</v>
      </c>
      <c r="J47" s="11">
        <f t="shared" si="8"/>
        <v>151.12865226782856</v>
      </c>
      <c r="K47" s="11">
        <f t="shared" si="8"/>
        <v>150.24675293331271</v>
      </c>
      <c r="L47" s="11">
        <f t="shared" si="8"/>
        <v>143.32866425161009</v>
      </c>
      <c r="M47" s="11">
        <f t="shared" si="8"/>
        <v>143.32866425161009</v>
      </c>
      <c r="N47" s="11">
        <f t="shared" si="8"/>
        <v>114.93919021942524</v>
      </c>
      <c r="O47" s="11">
        <f t="shared" si="8"/>
        <v>115.00282042703948</v>
      </c>
      <c r="P47" s="11">
        <f t="shared" si="8"/>
        <v>129.44144178082195</v>
      </c>
      <c r="Q47" s="11">
        <f t="shared" si="8"/>
        <v>129.44144178082195</v>
      </c>
      <c r="R47" s="11">
        <f t="shared" si="8"/>
        <v>133.64920531412344</v>
      </c>
      <c r="S47" s="12">
        <f t="shared" si="8"/>
        <v>133.64920531412344</v>
      </c>
      <c r="T47" s="12">
        <f t="shared" si="8"/>
        <v>136.321</v>
      </c>
      <c r="U47" s="12">
        <f t="shared" si="8"/>
        <v>136.321</v>
      </c>
      <c r="V47" s="12">
        <f t="shared" si="8"/>
        <v>134.88163918193374</v>
      </c>
      <c r="W47" s="47"/>
    </row>
    <row r="48" spans="1:23" ht="15.75" customHeight="1" x14ac:dyDescent="0.2">
      <c r="A48" s="10"/>
      <c r="B48" s="466" t="s">
        <v>95</v>
      </c>
      <c r="C48" s="30">
        <v>140.82590759999999</v>
      </c>
      <c r="D48" s="30">
        <v>139.19541336</v>
      </c>
      <c r="E48" s="30">
        <v>139.72030659999999</v>
      </c>
      <c r="F48" s="30">
        <v>136.92160247999999</v>
      </c>
      <c r="G48" s="30">
        <v>141.03286169</v>
      </c>
      <c r="H48" s="30">
        <v>138.51039512</v>
      </c>
      <c r="I48" s="30">
        <v>144.65282626000101</v>
      </c>
      <c r="J48" s="30">
        <v>151.231672449987</v>
      </c>
      <c r="K48" s="29">
        <v>150.07499999999999</v>
      </c>
      <c r="L48" s="29">
        <v>143.422</v>
      </c>
      <c r="M48" s="29">
        <v>143.422</v>
      </c>
      <c r="N48" s="29">
        <v>114.666</v>
      </c>
      <c r="O48" s="29">
        <v>114.666</v>
      </c>
      <c r="P48" s="29">
        <v>129.66900000000001</v>
      </c>
      <c r="Q48" s="29">
        <v>129.66900000000001</v>
      </c>
      <c r="R48" s="29">
        <v>133.63</v>
      </c>
      <c r="S48" s="17">
        <v>133.63</v>
      </c>
      <c r="T48" s="17">
        <v>136.321</v>
      </c>
      <c r="U48" s="17">
        <v>136.321</v>
      </c>
      <c r="V48" s="17">
        <v>134.88200000000001</v>
      </c>
      <c r="W48" s="47"/>
    </row>
    <row r="49" spans="1:23" ht="15.75" customHeight="1" x14ac:dyDescent="0.2">
      <c r="A49" s="48"/>
      <c r="B49" s="467" t="s">
        <v>48</v>
      </c>
      <c r="C49" s="20">
        <f t="shared" ref="C49:V49" si="9">C48-C47</f>
        <v>9.1579963469911263E-2</v>
      </c>
      <c r="D49" s="20">
        <f t="shared" si="9"/>
        <v>0.42910081922670429</v>
      </c>
      <c r="E49" s="20">
        <f t="shared" si="9"/>
        <v>-2.6220311883264458E-2</v>
      </c>
      <c r="F49" s="20">
        <f t="shared" si="9"/>
        <v>-3.4070154511937289E-2</v>
      </c>
      <c r="G49" s="20">
        <f t="shared" si="9"/>
        <v>-0.24348436516149263</v>
      </c>
      <c r="H49" s="20">
        <f t="shared" si="9"/>
        <v>-0.23599323322511623</v>
      </c>
      <c r="I49" s="20">
        <f t="shared" si="9"/>
        <v>1.415195106389433E-2</v>
      </c>
      <c r="J49" s="20">
        <f t="shared" si="9"/>
        <v>0.10302018215844555</v>
      </c>
      <c r="K49" s="20">
        <f t="shared" si="9"/>
        <v>-0.17175293331271746</v>
      </c>
      <c r="L49" s="20">
        <f t="shared" si="9"/>
        <v>9.3335748389904438E-2</v>
      </c>
      <c r="M49" s="20">
        <f t="shared" si="9"/>
        <v>9.3335748389904438E-2</v>
      </c>
      <c r="N49" s="20">
        <f t="shared" si="9"/>
        <v>-0.27319021942524557</v>
      </c>
      <c r="O49" s="20">
        <f t="shared" si="9"/>
        <v>-0.33682042703948412</v>
      </c>
      <c r="P49" s="20">
        <f t="shared" si="9"/>
        <v>0.22755821917806429</v>
      </c>
      <c r="Q49" s="20">
        <f t="shared" si="9"/>
        <v>0.22755821917806429</v>
      </c>
      <c r="R49" s="20">
        <f t="shared" si="9"/>
        <v>-1.9205314123439621E-2</v>
      </c>
      <c r="S49" s="20">
        <f t="shared" si="9"/>
        <v>-1.9205314123439621E-2</v>
      </c>
      <c r="T49" s="20">
        <f t="shared" si="9"/>
        <v>0</v>
      </c>
      <c r="U49" s="20">
        <f t="shared" si="9"/>
        <v>0</v>
      </c>
      <c r="V49" s="20">
        <f t="shared" si="9"/>
        <v>3.6081806626953039E-4</v>
      </c>
    </row>
    <row r="50" spans="1:23" ht="17.649999999999999" customHeight="1" x14ac:dyDescent="0.2">
      <c r="A50" s="49"/>
      <c r="B50" s="470" t="s">
        <v>96</v>
      </c>
      <c r="C50" s="31" t="s">
        <v>97</v>
      </c>
      <c r="D50" s="9" t="str">
        <f t="shared" ref="D50:N50" si="10">+D$9</f>
        <v>2011-12 RF</v>
      </c>
      <c r="E50" s="9" t="str">
        <f t="shared" si="10"/>
        <v>2012-13 RF</v>
      </c>
      <c r="F50" s="9" t="str">
        <f t="shared" si="10"/>
        <v>2013-14 RF</v>
      </c>
      <c r="G50" s="9" t="str">
        <f t="shared" si="10"/>
        <v>2014-15 RF</v>
      </c>
      <c r="H50" s="9" t="str">
        <f t="shared" si="10"/>
        <v>2015-16 RF</v>
      </c>
      <c r="I50" s="9" t="str">
        <f t="shared" si="10"/>
        <v>2016-17 RF</v>
      </c>
      <c r="J50" s="9" t="str">
        <f t="shared" si="10"/>
        <v>2017-18 RF</v>
      </c>
      <c r="K50" s="9" t="str">
        <f t="shared" si="10"/>
        <v>2018-19 RF</v>
      </c>
      <c r="L50" s="9" t="str">
        <f t="shared" si="10"/>
        <v>2019-20 Month</v>
      </c>
      <c r="M50" s="9" t="str">
        <f t="shared" si="10"/>
        <v>2019-20 RF</v>
      </c>
      <c r="N50" s="9" t="str">
        <f t="shared" si="10"/>
        <v>2020-21 Month</v>
      </c>
      <c r="O50" s="9" t="s">
        <v>18</v>
      </c>
      <c r="P50" s="9" t="s">
        <v>19</v>
      </c>
      <c r="Q50" s="9" t="s">
        <v>20</v>
      </c>
      <c r="R50" s="9" t="s">
        <v>21</v>
      </c>
      <c r="S50" s="9" t="s">
        <v>22</v>
      </c>
      <c r="T50" s="9" t="s">
        <v>23</v>
      </c>
      <c r="U50" s="9" t="s">
        <v>24</v>
      </c>
      <c r="V50" s="9" t="s">
        <v>25</v>
      </c>
      <c r="W50" s="46"/>
    </row>
    <row r="51" spans="1:23" ht="16.899999999999999" customHeight="1" x14ac:dyDescent="0.2">
      <c r="A51" s="10" t="s">
        <v>98</v>
      </c>
      <c r="B51" s="465" t="s">
        <v>99</v>
      </c>
      <c r="C51" s="25">
        <f>'P2'!D46</f>
        <v>25289.047202885791</v>
      </c>
      <c r="D51" s="25">
        <f>'P2'!E46</f>
        <v>17222.683060109255</v>
      </c>
      <c r="E51" s="25">
        <f>'P2'!F46</f>
        <v>18371.72054794522</v>
      </c>
      <c r="F51" s="25">
        <f>'P2'!G46</f>
        <v>17453.72054794525</v>
      </c>
      <c r="G51" s="25">
        <f>'P2'!H46</f>
        <v>16514.6602739726</v>
      </c>
      <c r="H51" s="25">
        <f>'P2'!I46</f>
        <v>16323.393442623023</v>
      </c>
      <c r="I51" s="25">
        <f>'P2'!J46</f>
        <v>16305.493150684913</v>
      </c>
      <c r="J51" s="25">
        <f>'P2'!K46</f>
        <v>21775.5342465754</v>
      </c>
      <c r="K51" s="25">
        <f>'P2'!L46</f>
        <v>20748.24657534248</v>
      </c>
      <c r="L51" s="25">
        <f>'P2'!M46</f>
        <v>20547.494535519196</v>
      </c>
      <c r="M51" s="25">
        <f>'P2'!N46</f>
        <v>20235.926229508157</v>
      </c>
      <c r="N51" s="25">
        <f>'P2'!O46</f>
        <v>20582.213698629999</v>
      </c>
      <c r="O51" s="25">
        <f>'P2'!P46</f>
        <v>20247.23</v>
      </c>
      <c r="P51" s="25">
        <f>'P2'!Q46</f>
        <v>21380.71</v>
      </c>
      <c r="Q51" s="25">
        <f>'P2'!R46</f>
        <v>21076.4164383561</v>
      </c>
      <c r="R51" s="25">
        <f>'P2'!S46</f>
        <v>24541.709589040998</v>
      </c>
      <c r="S51" s="26">
        <f>'P2'!T46</f>
        <v>23966.6493150684</v>
      </c>
      <c r="T51" s="26">
        <f>'P2'!U46</f>
        <v>27207.4972677595</v>
      </c>
      <c r="U51" s="26">
        <f>'P2'!V46</f>
        <v>25304.6420765027</v>
      </c>
      <c r="V51" s="26">
        <f>'P2'!W46</f>
        <v>26487.671232876601</v>
      </c>
      <c r="W51" s="47"/>
    </row>
    <row r="52" spans="1:23" ht="16.899999999999999" customHeight="1" x14ac:dyDescent="0.2">
      <c r="A52" s="10" t="s">
        <v>100</v>
      </c>
      <c r="B52" s="465" t="s">
        <v>101</v>
      </c>
      <c r="C52" s="32">
        <v>18139.14</v>
      </c>
      <c r="D52" s="15"/>
      <c r="E52" s="15"/>
      <c r="F52" s="15"/>
      <c r="G52" s="15"/>
      <c r="H52" s="15"/>
      <c r="I52" s="15"/>
      <c r="J52" s="15"/>
      <c r="K52" s="15"/>
      <c r="L52" s="15"/>
      <c r="M52" s="15"/>
      <c r="N52" s="15"/>
      <c r="O52" s="15"/>
      <c r="P52" s="15"/>
      <c r="Q52" s="15"/>
      <c r="R52" s="15"/>
      <c r="S52" s="15"/>
      <c r="T52" s="15"/>
      <c r="U52" s="15"/>
      <c r="V52" s="15"/>
      <c r="W52" s="47"/>
    </row>
    <row r="53" spans="1:23" ht="16.899999999999999" customHeight="1" x14ac:dyDescent="0.2">
      <c r="A53" s="10" t="s">
        <v>102</v>
      </c>
      <c r="B53" s="465" t="s">
        <v>64</v>
      </c>
      <c r="C53" s="33">
        <v>4577.0301369863</v>
      </c>
      <c r="D53" s="33">
        <v>4615.8114754098397</v>
      </c>
      <c r="E53" s="33">
        <v>4678.44109589041</v>
      </c>
      <c r="F53" s="33">
        <v>4524.7698630137002</v>
      </c>
      <c r="G53" s="33">
        <v>4472.1698630136998</v>
      </c>
      <c r="H53" s="33">
        <v>4507.9234972677596</v>
      </c>
      <c r="I53" s="33">
        <v>4247.9863013698596</v>
      </c>
      <c r="J53" s="33">
        <v>3145.0904109589001</v>
      </c>
      <c r="K53" s="33">
        <v>3214.9404109589</v>
      </c>
      <c r="L53" s="33">
        <v>3112.1830601092902</v>
      </c>
      <c r="M53" s="33">
        <v>3220</v>
      </c>
      <c r="N53" s="33">
        <v>3017</v>
      </c>
      <c r="O53" s="33">
        <v>3108</v>
      </c>
      <c r="P53" s="33">
        <v>3014</v>
      </c>
      <c r="Q53" s="33">
        <v>3038.78</v>
      </c>
      <c r="R53" s="33">
        <v>2992.89</v>
      </c>
      <c r="S53" s="34">
        <v>3070.6547945205398</v>
      </c>
      <c r="T53" s="34">
        <v>2404.1561643834898</v>
      </c>
      <c r="U53" s="35">
        <v>3068.9972602738699</v>
      </c>
      <c r="V53" s="35">
        <v>2891.5808219178002</v>
      </c>
      <c r="W53" s="47"/>
    </row>
    <row r="54" spans="1:23" ht="16.899999999999999" customHeight="1" x14ac:dyDescent="0.2">
      <c r="A54" s="10" t="s">
        <v>103</v>
      </c>
      <c r="B54" s="465" t="s">
        <v>104</v>
      </c>
      <c r="C54" s="33">
        <v>2645.3945205479499</v>
      </c>
      <c r="D54" s="33">
        <v>1427.2568306010901</v>
      </c>
      <c r="E54" s="33">
        <v>1026.31506849315</v>
      </c>
      <c r="F54" s="33">
        <v>2213.48493150685</v>
      </c>
      <c r="G54" s="33">
        <v>1764.1698630137</v>
      </c>
      <c r="H54" s="33">
        <v>2489.4781420764998</v>
      </c>
      <c r="I54" s="33">
        <v>2319.8027397260298</v>
      </c>
      <c r="J54" s="33">
        <v>3395.3698630137001</v>
      </c>
      <c r="K54" s="33">
        <v>2513.8056164383602</v>
      </c>
      <c r="L54" s="33">
        <v>1988.43989071038</v>
      </c>
      <c r="M54" s="33">
        <v>1122</v>
      </c>
      <c r="N54" s="33">
        <f>905+36</f>
        <v>941</v>
      </c>
      <c r="O54" s="33">
        <v>1037.57</v>
      </c>
      <c r="P54" s="33">
        <v>2134</v>
      </c>
      <c r="Q54" s="33">
        <v>2054.58</v>
      </c>
      <c r="R54" s="33">
        <v>3221.29</v>
      </c>
      <c r="S54" s="34">
        <v>3235.3506849316</v>
      </c>
      <c r="T54" s="34">
        <v>1635.5027322405001</v>
      </c>
      <c r="U54" s="35">
        <v>1471.36</v>
      </c>
      <c r="V54" s="35">
        <v>1901.33</v>
      </c>
      <c r="W54" s="47"/>
    </row>
    <row r="55" spans="1:23" ht="16.899999999999999" customHeight="1" x14ac:dyDescent="0.2">
      <c r="A55" s="10" t="s">
        <v>105</v>
      </c>
      <c r="B55" s="465" t="s">
        <v>61</v>
      </c>
      <c r="C55" s="15"/>
      <c r="D55" s="15"/>
      <c r="E55" s="15"/>
      <c r="F55" s="15"/>
      <c r="G55" s="15"/>
      <c r="H55" s="15"/>
      <c r="I55" s="15"/>
      <c r="J55" s="32">
        <v>-5822</v>
      </c>
      <c r="K55" s="15"/>
      <c r="L55" s="15"/>
      <c r="M55" s="15"/>
      <c r="N55" s="15"/>
      <c r="O55" s="15"/>
      <c r="P55" s="15"/>
      <c r="Q55" s="15"/>
      <c r="R55" s="15"/>
      <c r="S55" s="15"/>
      <c r="T55" s="15"/>
      <c r="U55" s="15"/>
      <c r="V55" s="15"/>
      <c r="W55" s="47"/>
    </row>
    <row r="56" spans="1:23" ht="16.899999999999999" customHeight="1" x14ac:dyDescent="0.2">
      <c r="A56" s="10" t="s">
        <v>106</v>
      </c>
      <c r="B56" s="465" t="s">
        <v>107</v>
      </c>
      <c r="C56" s="32">
        <v>-3184</v>
      </c>
      <c r="D56" s="32">
        <v>-3041</v>
      </c>
      <c r="E56" s="32">
        <v>-3335</v>
      </c>
      <c r="F56" s="32">
        <v>-1879</v>
      </c>
      <c r="G56" s="32">
        <v>-1585</v>
      </c>
      <c r="H56" s="32">
        <v>-2358</v>
      </c>
      <c r="I56" s="32">
        <v>-1838</v>
      </c>
      <c r="J56" s="32">
        <v>-1728</v>
      </c>
      <c r="K56" s="32">
        <v>-1879</v>
      </c>
      <c r="L56" s="32">
        <v>-1896</v>
      </c>
      <c r="M56" s="32">
        <v>-819</v>
      </c>
      <c r="N56" s="32">
        <v>-997</v>
      </c>
      <c r="O56" s="32">
        <v>-849.8</v>
      </c>
      <c r="P56" s="32">
        <v>-2015.71</v>
      </c>
      <c r="Q56" s="32">
        <v>-1655.7764383561</v>
      </c>
      <c r="R56" s="32">
        <v>-2608.8895890409999</v>
      </c>
      <c r="S56" s="34">
        <v>-2092.6547945205398</v>
      </c>
      <c r="T56" s="34">
        <v>-1378.15616438349</v>
      </c>
      <c r="U56" s="35">
        <v>-55.9993367765694</v>
      </c>
      <c r="V56" s="35">
        <v>-1602.5820547943999</v>
      </c>
      <c r="W56" s="47"/>
    </row>
    <row r="57" spans="1:23" ht="15.75" customHeight="1" x14ac:dyDescent="0.2">
      <c r="A57" s="10" t="s">
        <v>108</v>
      </c>
      <c r="B57" s="466" t="s">
        <v>109</v>
      </c>
      <c r="C57" s="36">
        <v>47463</v>
      </c>
      <c r="D57" s="36">
        <v>20216</v>
      </c>
      <c r="E57" s="36">
        <v>20730</v>
      </c>
      <c r="F57" s="36">
        <v>22313</v>
      </c>
      <c r="G57" s="36">
        <v>21166</v>
      </c>
      <c r="H57" s="36">
        <v>20963</v>
      </c>
      <c r="I57" s="36">
        <v>21036</v>
      </c>
      <c r="J57" s="36">
        <v>20766</v>
      </c>
      <c r="K57" s="37">
        <v>24598</v>
      </c>
      <c r="L57" s="37">
        <f>19927+3832</f>
        <v>23759</v>
      </c>
      <c r="M57" s="37">
        <f>19927+3832</f>
        <v>23759</v>
      </c>
      <c r="N57" s="37">
        <v>23543</v>
      </c>
      <c r="O57" s="37">
        <v>23543</v>
      </c>
      <c r="P57" s="37">
        <v>24514</v>
      </c>
      <c r="Q57" s="37">
        <v>24514</v>
      </c>
      <c r="R57" s="37">
        <v>28147</v>
      </c>
      <c r="S57" s="37">
        <f>24267+3880</f>
        <v>28147</v>
      </c>
      <c r="T57" s="37">
        <f>25432+4417</f>
        <v>29849</v>
      </c>
      <c r="U57" s="37">
        <v>29849</v>
      </c>
      <c r="V57" s="37">
        <v>29645</v>
      </c>
      <c r="W57" s="47"/>
    </row>
    <row r="58" spans="1:23" ht="15.75" customHeight="1" x14ac:dyDescent="0.2">
      <c r="A58" s="48"/>
      <c r="B58" s="467" t="s">
        <v>48</v>
      </c>
      <c r="C58" s="38">
        <f t="shared" ref="C58:N58" si="11">SUM(C51:C56)/C57-1</f>
        <v>7.6098443419825301E-5</v>
      </c>
      <c r="D58" s="38">
        <f t="shared" si="11"/>
        <v>4.3289306095095625E-4</v>
      </c>
      <c r="E58" s="38">
        <f t="shared" si="11"/>
        <v>5.5362818759174814E-4</v>
      </c>
      <c r="F58" s="38">
        <f t="shared" si="11"/>
        <v>-1.1050748085494888E-6</v>
      </c>
      <c r="G58" s="38">
        <f t="shared" si="11"/>
        <v>0</v>
      </c>
      <c r="H58" s="38">
        <f t="shared" si="11"/>
        <v>-9.7752245727944498E-6</v>
      </c>
      <c r="I58" s="38">
        <f t="shared" si="11"/>
        <v>-3.4122847461293127E-5</v>
      </c>
      <c r="J58" s="38">
        <f t="shared" si="11"/>
        <v>-2.6386651252874316E-7</v>
      </c>
      <c r="K58" s="38">
        <f t="shared" si="11"/>
        <v>-3.007260858112204E-7</v>
      </c>
      <c r="L58" s="38">
        <f t="shared" si="11"/>
        <v>-2.8968027531184326E-4</v>
      </c>
      <c r="M58" s="38">
        <f t="shared" si="11"/>
        <v>-3.1049493599555333E-6</v>
      </c>
      <c r="N58" s="38">
        <f t="shared" si="11"/>
        <v>9.0769498364284829E-6</v>
      </c>
      <c r="O58" s="38">
        <v>0</v>
      </c>
      <c r="P58" s="38">
        <v>-4.0793016235607403E-5</v>
      </c>
      <c r="Q58" s="38">
        <v>0</v>
      </c>
      <c r="R58" s="38">
        <v>0</v>
      </c>
      <c r="S58" s="39">
        <f>SUM(S51:S56)/S57-1</f>
        <v>1.1724162432942276E-3</v>
      </c>
      <c r="T58" s="39">
        <f>SUM(T51:T56)/T57-1</f>
        <v>6.7003919729313743E-4</v>
      </c>
      <c r="U58" s="39">
        <f>SUM(U51:U56)/U57-1</f>
        <v>-2.0101175918790792E-3</v>
      </c>
      <c r="V58" s="39">
        <f>SUM(V51:V56)/V57-1</f>
        <v>1.1131725417441451E-3</v>
      </c>
    </row>
    <row r="59" spans="1:23" ht="17.649999999999999" customHeight="1" x14ac:dyDescent="0.2">
      <c r="A59" s="49"/>
      <c r="B59" s="470" t="s">
        <v>110</v>
      </c>
      <c r="C59" s="31" t="s">
        <v>97</v>
      </c>
      <c r="D59" s="9" t="str">
        <f t="shared" ref="D59:N59" si="12">+D$9</f>
        <v>2011-12 RF</v>
      </c>
      <c r="E59" s="9" t="str">
        <f t="shared" si="12"/>
        <v>2012-13 RF</v>
      </c>
      <c r="F59" s="9" t="str">
        <f t="shared" si="12"/>
        <v>2013-14 RF</v>
      </c>
      <c r="G59" s="9" t="str">
        <f t="shared" si="12"/>
        <v>2014-15 RF</v>
      </c>
      <c r="H59" s="9" t="str">
        <f t="shared" si="12"/>
        <v>2015-16 RF</v>
      </c>
      <c r="I59" s="9" t="str">
        <f t="shared" si="12"/>
        <v>2016-17 RF</v>
      </c>
      <c r="J59" s="9" t="str">
        <f t="shared" si="12"/>
        <v>2017-18 RF</v>
      </c>
      <c r="K59" s="9" t="str">
        <f t="shared" si="12"/>
        <v>2018-19 RF</v>
      </c>
      <c r="L59" s="9" t="str">
        <f t="shared" si="12"/>
        <v>2019-20 Month</v>
      </c>
      <c r="M59" s="9" t="str">
        <f t="shared" si="12"/>
        <v>2019-20 RF</v>
      </c>
      <c r="N59" s="9" t="str">
        <f t="shared" si="12"/>
        <v>2020-21 Month</v>
      </c>
      <c r="O59" s="9" t="s">
        <v>18</v>
      </c>
      <c r="P59" s="9" t="s">
        <v>19</v>
      </c>
      <c r="Q59" s="9" t="s">
        <v>20</v>
      </c>
      <c r="R59" s="9" t="s">
        <v>21</v>
      </c>
      <c r="S59" s="9" t="s">
        <v>22</v>
      </c>
      <c r="T59" s="9" t="s">
        <v>23</v>
      </c>
      <c r="U59" s="9" t="s">
        <v>24</v>
      </c>
      <c r="V59" s="9" t="s">
        <v>25</v>
      </c>
      <c r="W59" s="46"/>
    </row>
    <row r="60" spans="1:23" ht="16.899999999999999" customHeight="1" x14ac:dyDescent="0.2">
      <c r="A60" s="10" t="s">
        <v>111</v>
      </c>
      <c r="B60" s="465" t="s">
        <v>112</v>
      </c>
      <c r="C60" s="25">
        <f>'P2'!D119</f>
        <v>98469.119148876533</v>
      </c>
      <c r="D60" s="25">
        <f>'P2'!E119</f>
        <v>109344.07103825158</v>
      </c>
      <c r="E60" s="25">
        <f>'P2'!F119</f>
        <v>111261.92876712274</v>
      </c>
      <c r="F60" s="25">
        <f>'P2'!G119</f>
        <v>111814.40273972544</v>
      </c>
      <c r="G60" s="25">
        <f>'P2'!H119</f>
        <v>112539.60547945372</v>
      </c>
      <c r="H60" s="25">
        <f>'P2'!I119</f>
        <v>114518.09562841577</v>
      </c>
      <c r="I60" s="25">
        <f>'P2'!J119</f>
        <v>116577.03287671554</v>
      </c>
      <c r="J60" s="25">
        <f>'P2'!K119</f>
        <v>128532.57808219135</v>
      </c>
      <c r="K60" s="25">
        <f>'P2'!L119</f>
        <v>129553.24383561654</v>
      </c>
      <c r="L60" s="25">
        <f>'P2'!M119</f>
        <v>131923.46994535514</v>
      </c>
      <c r="M60" s="25">
        <f>'P2'!N119</f>
        <v>131095.88524589152</v>
      </c>
      <c r="N60" s="25">
        <f>'P2'!O119</f>
        <v>132134.15890410874</v>
      </c>
      <c r="O60" s="25">
        <f>'P2'!P119</f>
        <v>131593.96</v>
      </c>
      <c r="P60" s="25">
        <f>'P2'!Q119</f>
        <v>132781.23000000001</v>
      </c>
      <c r="Q60" s="25">
        <f>'P2'!R119</f>
        <v>132528.6438356147</v>
      </c>
      <c r="R60" s="25">
        <f>'P2'!S119</f>
        <v>133733.4328766992</v>
      </c>
      <c r="S60" s="25">
        <f>'P2'!T119</f>
        <v>132852.69863013606</v>
      </c>
      <c r="T60" s="25">
        <f>'P2'!U119</f>
        <v>133970.68579235097</v>
      </c>
      <c r="U60" s="26">
        <f>'P2'!V119</f>
        <v>132390.72131147541</v>
      </c>
      <c r="V60" s="26">
        <f>'P2'!W119</f>
        <v>132880.56164382075</v>
      </c>
      <c r="W60" s="47"/>
    </row>
    <row r="61" spans="1:23" ht="16.899999999999999" customHeight="1" x14ac:dyDescent="0.2">
      <c r="A61" s="10" t="s">
        <v>113</v>
      </c>
      <c r="B61" s="465" t="s">
        <v>101</v>
      </c>
      <c r="C61" s="32">
        <v>-20056</v>
      </c>
      <c r="D61" s="15"/>
      <c r="E61" s="15"/>
      <c r="F61" s="15"/>
      <c r="G61" s="15"/>
      <c r="H61" s="15"/>
      <c r="I61" s="15"/>
      <c r="J61" s="15"/>
      <c r="K61" s="15"/>
      <c r="L61" s="15"/>
      <c r="M61" s="15"/>
      <c r="N61" s="15"/>
      <c r="O61" s="15"/>
      <c r="P61" s="15"/>
      <c r="Q61" s="15"/>
      <c r="R61" s="15"/>
      <c r="S61" s="15"/>
      <c r="T61" s="15"/>
      <c r="U61" s="15"/>
      <c r="V61" s="15"/>
      <c r="W61" s="47"/>
    </row>
    <row r="62" spans="1:23" ht="16.899999999999999" customHeight="1" x14ac:dyDescent="0.2">
      <c r="A62" s="10" t="s">
        <v>114</v>
      </c>
      <c r="B62" s="465" t="s">
        <v>115</v>
      </c>
      <c r="C62" s="33">
        <v>730.79452054794501</v>
      </c>
      <c r="D62" s="33">
        <v>744.29781420765005</v>
      </c>
      <c r="E62" s="33">
        <v>732.63561643835601</v>
      </c>
      <c r="F62" s="33">
        <v>779.22191780821902</v>
      </c>
      <c r="G62" s="33">
        <v>823.51232876712197</v>
      </c>
      <c r="H62" s="33">
        <v>894.57103825136505</v>
      </c>
      <c r="I62" s="33">
        <v>914.34520547945101</v>
      </c>
      <c r="J62" s="33">
        <v>1015.67397260274</v>
      </c>
      <c r="K62" s="33">
        <v>958</v>
      </c>
      <c r="L62" s="33">
        <v>901.133879781421</v>
      </c>
      <c r="M62" s="33">
        <v>959</v>
      </c>
      <c r="N62" s="33">
        <v>901.1</v>
      </c>
      <c r="O62" s="33">
        <v>1187.79</v>
      </c>
      <c r="P62" s="33">
        <v>908.5</v>
      </c>
      <c r="Q62" s="33">
        <v>1173.17</v>
      </c>
      <c r="R62" s="33">
        <v>914.33</v>
      </c>
      <c r="S62" s="34">
        <v>1189.19726027397</v>
      </c>
      <c r="T62" s="34">
        <v>911.64754098360697</v>
      </c>
      <c r="U62" s="35">
        <v>1133.6366120218499</v>
      </c>
      <c r="V62" s="35">
        <v>920.76164383561502</v>
      </c>
      <c r="W62" s="47"/>
    </row>
    <row r="63" spans="1:23" ht="16.899999999999999" customHeight="1" x14ac:dyDescent="0.2">
      <c r="A63" s="10" t="s">
        <v>116</v>
      </c>
      <c r="B63" s="465" t="s">
        <v>66</v>
      </c>
      <c r="C63" s="33">
        <v>789.60547945205496</v>
      </c>
      <c r="D63" s="33">
        <v>466.21857923497299</v>
      </c>
      <c r="E63" s="33">
        <v>394.731506849315</v>
      </c>
      <c r="F63" s="33">
        <v>582.59452054794497</v>
      </c>
      <c r="G63" s="33">
        <v>533.79726027397203</v>
      </c>
      <c r="H63" s="33">
        <v>572.92076502734301</v>
      </c>
      <c r="I63" s="33">
        <v>665.11506849315106</v>
      </c>
      <c r="J63" s="33">
        <v>674.76986301369902</v>
      </c>
      <c r="K63" s="33">
        <v>546</v>
      </c>
      <c r="L63" s="33">
        <v>432.04</v>
      </c>
      <c r="M63" s="33">
        <v>457</v>
      </c>
      <c r="N63" s="33">
        <v>321.62</v>
      </c>
      <c r="O63" s="33">
        <v>321.62</v>
      </c>
      <c r="P63" s="33">
        <v>508</v>
      </c>
      <c r="Q63" s="33">
        <v>224.950684931506</v>
      </c>
      <c r="R63" s="33">
        <v>212.08219178082101</v>
      </c>
      <c r="S63" s="34">
        <v>208.972602739726</v>
      </c>
      <c r="T63" s="34">
        <v>270.06830601092901</v>
      </c>
      <c r="U63" s="35">
        <v>263.22131147540898</v>
      </c>
      <c r="V63" s="35">
        <v>381.32876712328698</v>
      </c>
      <c r="W63" s="47"/>
    </row>
    <row r="64" spans="1:23" ht="16.899999999999999" customHeight="1" x14ac:dyDescent="0.2">
      <c r="A64" s="10" t="s">
        <v>117</v>
      </c>
      <c r="B64" s="465" t="s">
        <v>64</v>
      </c>
      <c r="C64" s="33">
        <v>1352.07945205479</v>
      </c>
      <c r="D64" s="33">
        <v>1453.51366120219</v>
      </c>
      <c r="E64" s="33">
        <v>1544.5041095890399</v>
      </c>
      <c r="F64" s="33">
        <v>1599.1643835616501</v>
      </c>
      <c r="G64" s="33">
        <v>1635.7917808219199</v>
      </c>
      <c r="H64" s="33">
        <v>2757.4508196721299</v>
      </c>
      <c r="I64" s="33">
        <v>3135.8767123287698</v>
      </c>
      <c r="J64" s="33">
        <v>2900.8465753424698</v>
      </c>
      <c r="K64" s="33">
        <v>3120</v>
      </c>
      <c r="L64" s="33">
        <v>2899.8579234972799</v>
      </c>
      <c r="M64" s="33">
        <v>3152</v>
      </c>
      <c r="N64" s="33">
        <v>2973.75</v>
      </c>
      <c r="O64" s="33">
        <v>2973.75</v>
      </c>
      <c r="P64" s="33">
        <v>2767</v>
      </c>
      <c r="Q64" s="33">
        <v>2883.2</v>
      </c>
      <c r="R64" s="33">
        <v>2868.76</v>
      </c>
      <c r="S64" s="34">
        <v>2970.4630136986302</v>
      </c>
      <c r="T64" s="34">
        <v>2351.94246575335</v>
      </c>
      <c r="U64" s="35">
        <v>3027.5232876711302</v>
      </c>
      <c r="V64" s="35">
        <v>2916.8109589041001</v>
      </c>
      <c r="W64" s="47"/>
    </row>
    <row r="65" spans="1:23" ht="16.899999999999999" customHeight="1" x14ac:dyDescent="0.2">
      <c r="A65" s="10" t="s">
        <v>118</v>
      </c>
      <c r="B65" s="465" t="s">
        <v>85</v>
      </c>
      <c r="C65" s="33">
        <v>50.216438356164403</v>
      </c>
      <c r="D65" s="33">
        <v>47.693989071038203</v>
      </c>
      <c r="E65" s="33">
        <v>51.936986301369899</v>
      </c>
      <c r="F65" s="33">
        <v>51.073972602739701</v>
      </c>
      <c r="G65" s="33">
        <v>50.926027397260299</v>
      </c>
      <c r="H65" s="33">
        <v>45.7950819672131</v>
      </c>
      <c r="I65" s="33">
        <v>49.5342465753425</v>
      </c>
      <c r="J65" s="33">
        <v>56.301369863013697</v>
      </c>
      <c r="K65" s="33">
        <v>55</v>
      </c>
      <c r="L65" s="33">
        <v>55.44</v>
      </c>
      <c r="M65" s="33">
        <v>58.93</v>
      </c>
      <c r="N65" s="33">
        <v>58.67</v>
      </c>
      <c r="O65" s="33">
        <v>64.67</v>
      </c>
      <c r="P65" s="33">
        <v>62.79</v>
      </c>
      <c r="Q65" s="33">
        <v>64.959999999999994</v>
      </c>
      <c r="R65" s="33">
        <v>62.76</v>
      </c>
      <c r="S65" s="34">
        <v>67.021917808219101</v>
      </c>
      <c r="T65" s="34">
        <v>64.336065573770398</v>
      </c>
      <c r="U65" s="35">
        <v>62.999999999999901</v>
      </c>
      <c r="V65" s="35">
        <v>63.0438356164385</v>
      </c>
      <c r="W65" s="47"/>
    </row>
    <row r="66" spans="1:23" ht="16.899999999999999" customHeight="1" x14ac:dyDescent="0.2">
      <c r="A66" s="10" t="s">
        <v>119</v>
      </c>
      <c r="B66" s="465" t="s">
        <v>120</v>
      </c>
      <c r="C66" s="33">
        <v>-3448.8109589041101</v>
      </c>
      <c r="D66" s="33">
        <v>-2980.7923497267798</v>
      </c>
      <c r="E66" s="33">
        <v>-3405.5178082191901</v>
      </c>
      <c r="F66" s="33">
        <v>-380.038356164383</v>
      </c>
      <c r="G66" s="33">
        <v>698.39999999999395</v>
      </c>
      <c r="H66" s="33">
        <v>979.459016393448</v>
      </c>
      <c r="I66" s="33">
        <v>332.86575342464499</v>
      </c>
      <c r="J66" s="33">
        <v>1678.96986301368</v>
      </c>
      <c r="K66" s="33">
        <v>-799</v>
      </c>
      <c r="L66" s="33">
        <v>-5795.0628415297497</v>
      </c>
      <c r="M66" s="33">
        <v>-3949</v>
      </c>
      <c r="N66" s="33">
        <v>-5746</v>
      </c>
      <c r="O66" s="33">
        <v>-5370.78999999999</v>
      </c>
      <c r="P66" s="33">
        <v>-4774.5200000000004</v>
      </c>
      <c r="Q66" s="33">
        <v>-4568.9845205461997</v>
      </c>
      <c r="R66" s="33">
        <v>-5388.3650684800205</v>
      </c>
      <c r="S66" s="34">
        <v>-5176.5734246565999</v>
      </c>
      <c r="T66" s="34">
        <v>-5534.6801706726201</v>
      </c>
      <c r="U66" s="35">
        <v>-5610.1025226437896</v>
      </c>
      <c r="V66" s="35">
        <v>-5506.50684930019</v>
      </c>
      <c r="W66" s="47"/>
    </row>
    <row r="67" spans="1:23" ht="16.899999999999999" customHeight="1" x14ac:dyDescent="0.2">
      <c r="A67" s="10" t="s">
        <v>121</v>
      </c>
      <c r="B67" s="465" t="s">
        <v>61</v>
      </c>
      <c r="C67" s="15"/>
      <c r="D67" s="15"/>
      <c r="E67" s="15"/>
      <c r="F67" s="15"/>
      <c r="G67" s="15"/>
      <c r="H67" s="15"/>
      <c r="I67" s="15"/>
      <c r="J67" s="32">
        <v>-12042</v>
      </c>
      <c r="K67" s="32">
        <v>0</v>
      </c>
      <c r="L67" s="32">
        <v>0</v>
      </c>
      <c r="M67" s="32">
        <v>0</v>
      </c>
      <c r="N67" s="32">
        <v>0</v>
      </c>
      <c r="O67" s="32">
        <v>0</v>
      </c>
      <c r="P67" s="15"/>
      <c r="Q67" s="15"/>
      <c r="R67" s="15"/>
      <c r="S67" s="15"/>
      <c r="T67" s="15"/>
      <c r="U67" s="15"/>
      <c r="V67" s="15"/>
      <c r="W67" s="47"/>
    </row>
    <row r="68" spans="1:23" ht="16.899999999999999" customHeight="1" x14ac:dyDescent="0.2">
      <c r="A68" s="10" t="s">
        <v>122</v>
      </c>
      <c r="B68" s="465" t="s">
        <v>107</v>
      </c>
      <c r="C68" s="33">
        <v>-1419</v>
      </c>
      <c r="D68" s="33">
        <v>-2834</v>
      </c>
      <c r="E68" s="33">
        <v>-2267</v>
      </c>
      <c r="F68" s="33">
        <v>-4229</v>
      </c>
      <c r="G68" s="33">
        <v>-6094</v>
      </c>
      <c r="H68" s="33">
        <v>-7489</v>
      </c>
      <c r="I68" s="33">
        <v>-4451</v>
      </c>
      <c r="J68" s="33">
        <v>-5230</v>
      </c>
      <c r="K68" s="33">
        <f>-5586+6</f>
        <v>-5580</v>
      </c>
      <c r="L68" s="33">
        <v>-1370</v>
      </c>
      <c r="M68" s="33">
        <v>-2726.8152458917998</v>
      </c>
      <c r="N68" s="33">
        <v>-1270</v>
      </c>
      <c r="O68" s="33">
        <v>-1398</v>
      </c>
      <c r="P68" s="33">
        <v>-1945</v>
      </c>
      <c r="Q68" s="33">
        <v>-1998</v>
      </c>
      <c r="R68" s="33">
        <v>-1331</v>
      </c>
      <c r="S68" s="33">
        <v>-753</v>
      </c>
      <c r="T68" s="33">
        <v>-1226</v>
      </c>
      <c r="U68" s="35">
        <v>426</v>
      </c>
      <c r="V68" s="35">
        <v>-1403</v>
      </c>
      <c r="W68" s="47"/>
    </row>
    <row r="69" spans="1:23" ht="15.75" customHeight="1" x14ac:dyDescent="0.2">
      <c r="A69" s="10" t="s">
        <v>123</v>
      </c>
      <c r="B69" s="466" t="s">
        <v>124</v>
      </c>
      <c r="C69" s="36">
        <v>76468</v>
      </c>
      <c r="D69" s="36">
        <v>106241</v>
      </c>
      <c r="E69" s="36">
        <v>108313</v>
      </c>
      <c r="F69" s="36">
        <v>110217</v>
      </c>
      <c r="G69" s="36">
        <v>110187</v>
      </c>
      <c r="H69" s="36">
        <v>112166</v>
      </c>
      <c r="I69" s="36">
        <v>117224</v>
      </c>
      <c r="J69" s="36">
        <v>117579</v>
      </c>
      <c r="K69" s="37">
        <v>127853</v>
      </c>
      <c r="L69" s="37">
        <f>120241+8806</f>
        <v>129047</v>
      </c>
      <c r="M69" s="37">
        <f>120241+8806</f>
        <v>129047</v>
      </c>
      <c r="N69" s="37">
        <v>129373</v>
      </c>
      <c r="O69" s="37">
        <v>129373</v>
      </c>
      <c r="P69" s="37">
        <v>130308</v>
      </c>
      <c r="Q69" s="37">
        <v>130308</v>
      </c>
      <c r="R69" s="37">
        <v>131072</v>
      </c>
      <c r="S69" s="37">
        <f>121501+9571</f>
        <v>131072</v>
      </c>
      <c r="T69" s="37">
        <f>122034+8853</f>
        <v>130887</v>
      </c>
      <c r="U69" s="37">
        <v>130887</v>
      </c>
      <c r="V69" s="37">
        <v>130652</v>
      </c>
      <c r="W69" s="47"/>
    </row>
    <row r="70" spans="1:23" ht="15.75" customHeight="1" x14ac:dyDescent="0.2">
      <c r="A70" s="48"/>
      <c r="B70" s="467" t="s">
        <v>48</v>
      </c>
      <c r="C70" s="38">
        <f t="shared" ref="C70:N70" si="13">SUM(C60:C68)/C69-1</f>
        <v>5.3360665663859663E-8</v>
      </c>
      <c r="D70" s="38">
        <f t="shared" si="13"/>
        <v>2.5717384666279486E-8</v>
      </c>
      <c r="E70" s="38">
        <f t="shared" si="13"/>
        <v>2.0235620989961234E-6</v>
      </c>
      <c r="F70" s="38">
        <f t="shared" si="13"/>
        <v>3.8032071423277358E-6</v>
      </c>
      <c r="G70" s="38">
        <f t="shared" si="13"/>
        <v>9.3738527593423271E-6</v>
      </c>
      <c r="H70" s="38">
        <f t="shared" si="13"/>
        <v>1.0100418105956077E-3</v>
      </c>
      <c r="I70" s="38">
        <f t="shared" si="13"/>
        <v>-1.9632241101685821E-6</v>
      </c>
      <c r="J70" s="38">
        <f t="shared" si="13"/>
        <v>6.922771946493711E-5</v>
      </c>
      <c r="K70" s="38">
        <f t="shared" si="13"/>
        <v>1.9071560035666124E-6</v>
      </c>
      <c r="L70" s="38">
        <f t="shared" si="13"/>
        <v>-9.3836273540315318E-7</v>
      </c>
      <c r="M70" s="38">
        <f t="shared" si="13"/>
        <v>-2.2204460492503131E-15</v>
      </c>
      <c r="N70" s="38">
        <f t="shared" si="13"/>
        <v>2.3104056392497796E-6</v>
      </c>
      <c r="O70" s="38">
        <v>0</v>
      </c>
      <c r="P70" s="38">
        <v>0</v>
      </c>
      <c r="Q70" s="38">
        <v>-4.6044755475094197E-7</v>
      </c>
      <c r="R70" s="38">
        <v>0</v>
      </c>
      <c r="S70" s="39">
        <f>SUM(S60:S68)/S69-1</f>
        <v>2.1879577636718661E-3</v>
      </c>
      <c r="T70" s="39">
        <f>SUM(T60:T68)/T69-1</f>
        <v>-6.0357407534761265E-4</v>
      </c>
      <c r="U70" s="39">
        <f>SUM(U60:U68)/U69-1</f>
        <v>6.1656237823468629E-3</v>
      </c>
      <c r="V70" s="39">
        <f>SUM(V60:V68)/V69-1</f>
        <v>-3.0539142148611198E-3</v>
      </c>
    </row>
    <row r="71" spans="1:23" ht="17.649999999999999" customHeight="1" x14ac:dyDescent="0.2">
      <c r="A71" s="49"/>
      <c r="B71" s="470" t="s">
        <v>125</v>
      </c>
      <c r="C71" s="31" t="s">
        <v>97</v>
      </c>
      <c r="D71" s="9" t="str">
        <f t="shared" ref="D71:N71" si="14">+D$9</f>
        <v>2011-12 RF</v>
      </c>
      <c r="E71" s="9" t="str">
        <f t="shared" si="14"/>
        <v>2012-13 RF</v>
      </c>
      <c r="F71" s="9" t="str">
        <f t="shared" si="14"/>
        <v>2013-14 RF</v>
      </c>
      <c r="G71" s="9" t="str">
        <f t="shared" si="14"/>
        <v>2014-15 RF</v>
      </c>
      <c r="H71" s="9" t="str">
        <f t="shared" si="14"/>
        <v>2015-16 RF</v>
      </c>
      <c r="I71" s="9" t="str">
        <f t="shared" si="14"/>
        <v>2016-17 RF</v>
      </c>
      <c r="J71" s="9" t="str">
        <f t="shared" si="14"/>
        <v>2017-18 RF</v>
      </c>
      <c r="K71" s="9" t="str">
        <f t="shared" si="14"/>
        <v>2018-19 RF</v>
      </c>
      <c r="L71" s="9" t="str">
        <f t="shared" si="14"/>
        <v>2019-20 Month</v>
      </c>
      <c r="M71" s="9" t="str">
        <f t="shared" si="14"/>
        <v>2019-20 RF</v>
      </c>
      <c r="N71" s="9" t="str">
        <f t="shared" si="14"/>
        <v>2020-21 Month</v>
      </c>
      <c r="O71" s="9" t="s">
        <v>18</v>
      </c>
      <c r="P71" s="9" t="s">
        <v>19</v>
      </c>
      <c r="Q71" s="9" t="s">
        <v>20</v>
      </c>
      <c r="R71" s="9" t="s">
        <v>21</v>
      </c>
      <c r="S71" s="9" t="s">
        <v>22</v>
      </c>
      <c r="T71" s="9" t="s">
        <v>23</v>
      </c>
      <c r="U71" s="9" t="s">
        <v>24</v>
      </c>
      <c r="V71" s="9" t="s">
        <v>25</v>
      </c>
      <c r="W71" s="46"/>
    </row>
    <row r="72" spans="1:23" ht="16.899999999999999" customHeight="1" x14ac:dyDescent="0.2">
      <c r="A72" s="10" t="s">
        <v>126</v>
      </c>
      <c r="B72" s="465" t="s">
        <v>127</v>
      </c>
      <c r="C72" s="25">
        <f>'P2'!D204</f>
        <v>23249.026969854516</v>
      </c>
      <c r="D72" s="25">
        <f>'P2'!E204</f>
        <v>16583.002732240417</v>
      </c>
      <c r="E72" s="25">
        <f>'P2'!F204</f>
        <v>17989.298630137197</v>
      </c>
      <c r="F72" s="25">
        <f>'P2'!G204</f>
        <v>15373.249315068597</v>
      </c>
      <c r="G72" s="25">
        <f>'P2'!H204</f>
        <v>14456.430136986271</v>
      </c>
      <c r="H72" s="25">
        <f>'P2'!I204</f>
        <v>14265.270491803358</v>
      </c>
      <c r="I72" s="25">
        <f>'P2'!J204</f>
        <v>14158.224657534241</v>
      </c>
      <c r="J72" s="25">
        <f>'P2'!K204</f>
        <v>19102.328767123297</v>
      </c>
      <c r="K72" s="25">
        <f>'P2'!L204</f>
        <v>18122.178082191826</v>
      </c>
      <c r="L72" s="25">
        <f>'P2'!M204</f>
        <v>17813.177595628506</v>
      </c>
      <c r="M72" s="25">
        <f>'P2'!N204</f>
        <v>17452.103825136724</v>
      </c>
      <c r="N72" s="25">
        <f>'P2'!O204</f>
        <v>17710.580000000002</v>
      </c>
      <c r="O72" s="25">
        <f>'P2'!P204</f>
        <v>17420</v>
      </c>
      <c r="P72" s="25">
        <f>'P2'!Q204</f>
        <v>18260.900000000001</v>
      </c>
      <c r="Q72" s="25">
        <f>'P2'!R204</f>
        <v>17989.336986301299</v>
      </c>
      <c r="R72" s="25">
        <f>'P2'!S204</f>
        <v>20634.613698630099</v>
      </c>
      <c r="S72" s="25">
        <f>'P2'!T204</f>
        <v>20191.695890410901</v>
      </c>
      <c r="T72" s="25">
        <f>'P2'!U204</f>
        <v>22694.743169398898</v>
      </c>
      <c r="U72" s="26">
        <f>'P2'!V204</f>
        <v>21131.961748633799</v>
      </c>
      <c r="V72" s="26">
        <f>'P2'!W204</f>
        <v>22075.4575342465</v>
      </c>
      <c r="W72" s="47"/>
    </row>
    <row r="73" spans="1:23" ht="16.899999999999999" customHeight="1" x14ac:dyDescent="0.2">
      <c r="A73" s="10" t="s">
        <v>128</v>
      </c>
      <c r="B73" s="465" t="s">
        <v>101</v>
      </c>
      <c r="C73" s="32">
        <v>16153.04</v>
      </c>
      <c r="D73" s="15"/>
      <c r="E73" s="15"/>
      <c r="F73" s="15"/>
      <c r="G73" s="15"/>
      <c r="H73" s="15"/>
      <c r="I73" s="15"/>
      <c r="J73" s="15"/>
      <c r="K73" s="15"/>
      <c r="L73" s="15"/>
      <c r="M73" s="15"/>
      <c r="N73" s="15"/>
      <c r="O73" s="15"/>
      <c r="P73" s="15"/>
      <c r="Q73" s="15"/>
      <c r="R73" s="15"/>
      <c r="S73" s="15"/>
      <c r="T73" s="15"/>
      <c r="U73" s="15"/>
      <c r="V73" s="15"/>
      <c r="W73" s="47"/>
    </row>
    <row r="74" spans="1:23" ht="16.899999999999999" customHeight="1" x14ac:dyDescent="0.2">
      <c r="A74" s="10" t="s">
        <v>129</v>
      </c>
      <c r="B74" s="465" t="s">
        <v>64</v>
      </c>
      <c r="C74" s="33">
        <v>4124.32328767123</v>
      </c>
      <c r="D74" s="33">
        <v>4161.8114754098397</v>
      </c>
      <c r="E74" s="33">
        <v>4216.4767123287702</v>
      </c>
      <c r="F74" s="33">
        <v>4081.6301369862999</v>
      </c>
      <c r="G74" s="33">
        <v>4030.0821917808198</v>
      </c>
      <c r="H74" s="33">
        <v>4045.0710382513698</v>
      </c>
      <c r="I74" s="33">
        <v>3793.44109589041</v>
      </c>
      <c r="J74" s="33">
        <v>2832.4465753424702</v>
      </c>
      <c r="K74" s="33">
        <v>2894.8004109589001</v>
      </c>
      <c r="L74" s="33">
        <v>2815.3060109289599</v>
      </c>
      <c r="M74" s="33">
        <v>2905</v>
      </c>
      <c r="N74" s="33">
        <v>2733</v>
      </c>
      <c r="O74" s="33">
        <v>2829</v>
      </c>
      <c r="P74" s="33">
        <v>2811</v>
      </c>
      <c r="Q74" s="33">
        <v>2753.07</v>
      </c>
      <c r="R74" s="33">
        <v>2724.04</v>
      </c>
      <c r="S74" s="34">
        <v>2789.5205479452002</v>
      </c>
      <c r="T74" s="34">
        <v>2194.1369863013001</v>
      </c>
      <c r="U74" s="35">
        <v>2779.70684931498</v>
      </c>
      <c r="V74" s="35">
        <v>2618.61643835616</v>
      </c>
      <c r="W74" s="47"/>
    </row>
    <row r="75" spans="1:23" ht="16.899999999999999" customHeight="1" x14ac:dyDescent="0.2">
      <c r="A75" s="10" t="s">
        <v>130</v>
      </c>
      <c r="B75" s="465" t="s">
        <v>104</v>
      </c>
      <c r="C75" s="33">
        <v>2612.6054794520501</v>
      </c>
      <c r="D75" s="33">
        <v>1257.6803278688501</v>
      </c>
      <c r="E75" s="33">
        <v>1002.25753424658</v>
      </c>
      <c r="F75" s="33">
        <v>2223.0986301369799</v>
      </c>
      <c r="G75" s="33">
        <v>1717.4876712328801</v>
      </c>
      <c r="H75" s="33">
        <v>2419.4535519125702</v>
      </c>
      <c r="I75" s="33">
        <v>2192.1863013698598</v>
      </c>
      <c r="J75" s="33">
        <v>3113.0712328767099</v>
      </c>
      <c r="K75" s="33">
        <v>2313.0291780821899</v>
      </c>
      <c r="L75" s="33">
        <v>1906.60655737705</v>
      </c>
      <c r="M75" s="33">
        <v>997.89617486331201</v>
      </c>
      <c r="N75" s="33">
        <f>751+26</f>
        <v>777</v>
      </c>
      <c r="O75" s="33">
        <v>838.06000000000097</v>
      </c>
      <c r="P75" s="33">
        <v>1868.1</v>
      </c>
      <c r="Q75" s="33">
        <f>19717-18012.34</f>
        <v>1704.6599999999999</v>
      </c>
      <c r="R75" s="33">
        <f>23167-20657.28</f>
        <v>2509.7200000000012</v>
      </c>
      <c r="S75" s="34">
        <v>2570.3041095890999</v>
      </c>
      <c r="T75" s="34">
        <v>1323.2568306011001</v>
      </c>
      <c r="U75" s="35">
        <v>1218.0382513662</v>
      </c>
      <c r="V75" s="35">
        <v>1517.5424657535</v>
      </c>
      <c r="W75" s="47"/>
    </row>
    <row r="76" spans="1:23" ht="16.899999999999999" customHeight="1" x14ac:dyDescent="0.2">
      <c r="A76" s="10" t="s">
        <v>131</v>
      </c>
      <c r="B76" s="465" t="s">
        <v>61</v>
      </c>
      <c r="C76" s="15"/>
      <c r="D76" s="15"/>
      <c r="E76" s="15"/>
      <c r="F76" s="15"/>
      <c r="G76" s="15"/>
      <c r="H76" s="15"/>
      <c r="I76" s="15"/>
      <c r="J76" s="32">
        <v>-5391</v>
      </c>
      <c r="K76" s="32">
        <v>0</v>
      </c>
      <c r="L76" s="15"/>
      <c r="M76" s="15"/>
      <c r="N76" s="15"/>
      <c r="O76" s="15"/>
      <c r="P76" s="15"/>
      <c r="Q76" s="15"/>
      <c r="R76" s="15"/>
      <c r="S76" s="15"/>
      <c r="T76" s="15"/>
      <c r="U76" s="15"/>
      <c r="V76" s="15"/>
      <c r="W76" s="47"/>
    </row>
    <row r="77" spans="1:23" ht="16.899999999999999" customHeight="1" x14ac:dyDescent="0.2">
      <c r="A77" s="10" t="s">
        <v>132</v>
      </c>
      <c r="B77" s="465" t="s">
        <v>107</v>
      </c>
      <c r="C77" s="33">
        <v>-3437</v>
      </c>
      <c r="D77" s="33">
        <v>-3227</v>
      </c>
      <c r="E77" s="33">
        <v>-3600</v>
      </c>
      <c r="F77" s="33">
        <v>-1216</v>
      </c>
      <c r="G77" s="33">
        <v>-902</v>
      </c>
      <c r="H77" s="33">
        <v>-2298</v>
      </c>
      <c r="I77" s="33">
        <v>-1692</v>
      </c>
      <c r="J77" s="33">
        <v>-1570</v>
      </c>
      <c r="K77" s="33">
        <v>-1685</v>
      </c>
      <c r="L77" s="33">
        <v>-1830</v>
      </c>
      <c r="M77" s="33">
        <v>-650</v>
      </c>
      <c r="N77" s="33">
        <v>-821</v>
      </c>
      <c r="O77" s="33">
        <v>-687.06000000000097</v>
      </c>
      <c r="P77" s="33">
        <v>-1796.99</v>
      </c>
      <c r="Q77" s="33">
        <f>18465+2720-Q72-Q74-Q75-42</f>
        <v>-1304.0669863012995</v>
      </c>
      <c r="R77" s="33">
        <f>21162+2742-R72-R74-R75-28</f>
        <v>-1992.3736986301001</v>
      </c>
      <c r="S77" s="34">
        <v>-1675.5205479452</v>
      </c>
      <c r="T77" s="34">
        <v>-1095.1369863013001</v>
      </c>
      <c r="U77" s="35">
        <v>-90.706849314980005</v>
      </c>
      <c r="V77" s="35">
        <v>-1348.61643835616</v>
      </c>
      <c r="W77" s="47"/>
    </row>
    <row r="78" spans="1:23" ht="15.75" customHeight="1" x14ac:dyDescent="0.2">
      <c r="A78" s="10" t="s">
        <v>133</v>
      </c>
      <c r="B78" s="466" t="s">
        <v>134</v>
      </c>
      <c r="C78" s="36">
        <v>42701</v>
      </c>
      <c r="D78" s="36">
        <v>18766</v>
      </c>
      <c r="E78" s="36">
        <v>19597</v>
      </c>
      <c r="F78" s="36">
        <v>20462</v>
      </c>
      <c r="G78" s="36">
        <v>19302</v>
      </c>
      <c r="H78" s="36">
        <v>18432</v>
      </c>
      <c r="I78" s="36">
        <v>18453</v>
      </c>
      <c r="J78" s="36">
        <v>18087</v>
      </c>
      <c r="K78" s="37">
        <v>21645</v>
      </c>
      <c r="L78" s="37">
        <f>17173+3532</f>
        <v>20705</v>
      </c>
      <c r="M78" s="37">
        <f>17173+3532</f>
        <v>20705</v>
      </c>
      <c r="N78" s="37">
        <v>20400</v>
      </c>
      <c r="O78" s="37">
        <v>20400</v>
      </c>
      <c r="P78" s="37">
        <f>17592+3551</f>
        <v>21143</v>
      </c>
      <c r="Q78" s="37">
        <f>17592+3551</f>
        <v>21143</v>
      </c>
      <c r="R78" s="37">
        <f>20371+3505</f>
        <v>23876</v>
      </c>
      <c r="S78" s="37">
        <f>20371+3505</f>
        <v>23876</v>
      </c>
      <c r="T78" s="37">
        <f>21146+3954</f>
        <v>25100</v>
      </c>
      <c r="U78" s="37">
        <v>25100</v>
      </c>
      <c r="V78" s="37">
        <v>24926</v>
      </c>
      <c r="W78" s="47"/>
    </row>
    <row r="79" spans="1:23" ht="15.75" customHeight="1" x14ac:dyDescent="0.2">
      <c r="A79" s="48"/>
      <c r="B79" s="467" t="s">
        <v>48</v>
      </c>
      <c r="C79" s="38">
        <f t="shared" ref="C79:V79" si="15">SUM(C72:C77)/C78-1</f>
        <v>2.3318821053441852E-5</v>
      </c>
      <c r="D79" s="38">
        <f t="shared" si="15"/>
        <v>5.0594348924137833E-4</v>
      </c>
      <c r="E79" s="38">
        <f t="shared" si="15"/>
        <v>5.6298804472865172E-4</v>
      </c>
      <c r="F79" s="38">
        <f t="shared" si="15"/>
        <v>-1.0711469123902972E-6</v>
      </c>
      <c r="G79" s="38">
        <f t="shared" si="15"/>
        <v>-1.5543122344752192E-15</v>
      </c>
      <c r="H79" s="38">
        <f t="shared" si="15"/>
        <v>-1.1117514794989347E-5</v>
      </c>
      <c r="I79" s="38">
        <f t="shared" si="15"/>
        <v>-6.220913702315034E-5</v>
      </c>
      <c r="J79" s="38">
        <f t="shared" si="15"/>
        <v>-8.4825928855503108E-6</v>
      </c>
      <c r="K79" s="38">
        <f t="shared" si="15"/>
        <v>3.544113149622774E-7</v>
      </c>
      <c r="L79" s="38">
        <f t="shared" si="15"/>
        <v>4.354693770247664E-6</v>
      </c>
      <c r="M79" s="38">
        <f t="shared" si="15"/>
        <v>1.7763568394002505E-15</v>
      </c>
      <c r="N79" s="38">
        <f t="shared" si="15"/>
        <v>-2.0588235294050072E-5</v>
      </c>
      <c r="O79" s="38">
        <f t="shared" si="15"/>
        <v>0</v>
      </c>
      <c r="P79" s="38">
        <f t="shared" si="15"/>
        <v>4.7296977712107946E-7</v>
      </c>
      <c r="Q79" s="38">
        <f t="shared" si="15"/>
        <v>0</v>
      </c>
      <c r="R79" s="38">
        <f t="shared" si="15"/>
        <v>0</v>
      </c>
      <c r="S79" s="39">
        <f t="shared" si="15"/>
        <v>0</v>
      </c>
      <c r="T79" s="39">
        <f t="shared" si="15"/>
        <v>6.7729083665346579E-4</v>
      </c>
      <c r="U79" s="39">
        <f t="shared" si="15"/>
        <v>-2.4302788844621226E-3</v>
      </c>
      <c r="V79" s="39">
        <f t="shared" si="15"/>
        <v>-2.5274813447805355E-3</v>
      </c>
    </row>
    <row r="80" spans="1:23" ht="17.649999999999999" customHeight="1" x14ac:dyDescent="0.2">
      <c r="A80" s="49"/>
      <c r="B80" s="470" t="s">
        <v>135</v>
      </c>
      <c r="C80" s="31" t="s">
        <v>97</v>
      </c>
      <c r="D80" s="9" t="str">
        <f t="shared" ref="D80:N80" si="16">+D$9</f>
        <v>2011-12 RF</v>
      </c>
      <c r="E80" s="9" t="str">
        <f t="shared" si="16"/>
        <v>2012-13 RF</v>
      </c>
      <c r="F80" s="9" t="str">
        <f t="shared" si="16"/>
        <v>2013-14 RF</v>
      </c>
      <c r="G80" s="9" t="str">
        <f t="shared" si="16"/>
        <v>2014-15 RF</v>
      </c>
      <c r="H80" s="9" t="str">
        <f t="shared" si="16"/>
        <v>2015-16 RF</v>
      </c>
      <c r="I80" s="9" t="str">
        <f t="shared" si="16"/>
        <v>2016-17 RF</v>
      </c>
      <c r="J80" s="9" t="str">
        <f t="shared" si="16"/>
        <v>2017-18 RF</v>
      </c>
      <c r="K80" s="9" t="str">
        <f t="shared" si="16"/>
        <v>2018-19 RF</v>
      </c>
      <c r="L80" s="9" t="str">
        <f t="shared" si="16"/>
        <v>2019-20 Month</v>
      </c>
      <c r="M80" s="9" t="str">
        <f t="shared" si="16"/>
        <v>2019-20 RF</v>
      </c>
      <c r="N80" s="9" t="str">
        <f t="shared" si="16"/>
        <v>2020-21 Month</v>
      </c>
      <c r="O80" s="9" t="s">
        <v>18</v>
      </c>
      <c r="P80" s="9" t="s">
        <v>19</v>
      </c>
      <c r="Q80" s="9" t="s">
        <v>20</v>
      </c>
      <c r="R80" s="9" t="s">
        <v>21</v>
      </c>
      <c r="S80" s="9" t="s">
        <v>22</v>
      </c>
      <c r="T80" s="9" t="s">
        <v>23</v>
      </c>
      <c r="U80" s="9" t="s">
        <v>24</v>
      </c>
      <c r="V80" s="9" t="s">
        <v>25</v>
      </c>
      <c r="W80" s="46"/>
    </row>
    <row r="81" spans="1:23" ht="16.899999999999999" customHeight="1" x14ac:dyDescent="0.2">
      <c r="A81" s="10" t="s">
        <v>136</v>
      </c>
      <c r="B81" s="465" t="s">
        <v>137</v>
      </c>
      <c r="C81" s="25">
        <f>'P2'!D258</f>
        <v>75802.22293143261</v>
      </c>
      <c r="D81" s="25">
        <f>'P2'!E258</f>
        <v>85862.625683060134</v>
      </c>
      <c r="E81" s="25">
        <f>'P2'!F258</f>
        <v>87678.147945204837</v>
      </c>
      <c r="F81" s="25">
        <f>'P2'!G258</f>
        <v>88630.465753424331</v>
      </c>
      <c r="G81" s="25">
        <f>'P2'!H258</f>
        <v>89366.145205480861</v>
      </c>
      <c r="H81" s="25">
        <f>'P2'!I258</f>
        <v>91115.685792350094</v>
      </c>
      <c r="I81" s="25">
        <f>'P2'!J258</f>
        <v>93131.75068493365</v>
      </c>
      <c r="J81" s="25">
        <f>'P2'!K258</f>
        <v>103720.95342465928</v>
      </c>
      <c r="K81" s="25">
        <f>'P2'!L258</f>
        <v>104567.15890411138</v>
      </c>
      <c r="L81" s="25">
        <f>'P2'!M258</f>
        <v>105865.91256830507</v>
      </c>
      <c r="M81" s="25">
        <f>'P2'!N258</f>
        <v>106081.44535519427</v>
      </c>
      <c r="N81" s="25">
        <f>'P2'!O258</f>
        <v>106563.31232876259</v>
      </c>
      <c r="O81" s="25">
        <f>'P2'!P258</f>
        <v>106896.15616438346</v>
      </c>
      <c r="P81" s="25">
        <f>'P2'!Q258</f>
        <v>108034.57260273493</v>
      </c>
      <c r="Q81" s="25">
        <f>'P2'!R258</f>
        <v>107771.4767123276</v>
      </c>
      <c r="R81" s="25">
        <f>'P2'!S258</f>
        <v>108814.84657533198</v>
      </c>
      <c r="S81" s="25">
        <f>'P2'!T258</f>
        <v>108111.91232876678</v>
      </c>
      <c r="T81" s="25">
        <f>'P2'!U258</f>
        <v>109061.15300546495</v>
      </c>
      <c r="U81" s="26">
        <f>'P2'!V258</f>
        <v>107755.96174863403</v>
      </c>
      <c r="V81" s="26">
        <f>'P2'!W258</f>
        <v>108145.56438355455</v>
      </c>
      <c r="W81" s="47"/>
    </row>
    <row r="82" spans="1:23" ht="16.899999999999999" customHeight="1" x14ac:dyDescent="0.2">
      <c r="A82" s="10" t="s">
        <v>138</v>
      </c>
      <c r="B82" s="465" t="s">
        <v>101</v>
      </c>
      <c r="C82" s="32">
        <v>-18063.834999999999</v>
      </c>
      <c r="D82" s="15"/>
      <c r="E82" s="15"/>
      <c r="F82" s="15"/>
      <c r="G82" s="15"/>
      <c r="H82" s="15"/>
      <c r="I82" s="15"/>
      <c r="J82" s="15"/>
      <c r="K82" s="15"/>
      <c r="L82" s="15"/>
      <c r="M82" s="15"/>
      <c r="N82" s="15"/>
      <c r="O82" s="15"/>
      <c r="P82" s="15"/>
      <c r="Q82" s="15"/>
      <c r="R82" s="15"/>
      <c r="S82" s="15"/>
      <c r="T82" s="15"/>
      <c r="U82" s="15"/>
      <c r="V82" s="15"/>
      <c r="W82" s="47"/>
    </row>
    <row r="83" spans="1:23" ht="16.899999999999999" customHeight="1" x14ac:dyDescent="0.2">
      <c r="A83" s="10" t="s">
        <v>139</v>
      </c>
      <c r="B83" s="465" t="s">
        <v>115</v>
      </c>
      <c r="C83" s="32">
        <v>1570.8630136986301</v>
      </c>
      <c r="D83" s="32">
        <v>1514.07650273224</v>
      </c>
      <c r="E83" s="32">
        <v>939.43561643835596</v>
      </c>
      <c r="F83" s="32">
        <v>982.35890410958905</v>
      </c>
      <c r="G83" s="32">
        <v>996.61369863013704</v>
      </c>
      <c r="H83" s="32">
        <v>1043.5218579235</v>
      </c>
      <c r="I83" s="32">
        <v>1049.29315068493</v>
      </c>
      <c r="J83" s="32">
        <v>1088.2383561643801</v>
      </c>
      <c r="K83" s="32">
        <v>1090.6931506849301</v>
      </c>
      <c r="L83" s="32">
        <v>1061</v>
      </c>
      <c r="M83" s="32">
        <v>1096.98</v>
      </c>
      <c r="N83" s="32">
        <v>1054.42</v>
      </c>
      <c r="O83" s="32">
        <v>1245</v>
      </c>
      <c r="P83" s="32">
        <v>1039.98</v>
      </c>
      <c r="Q83" s="32">
        <v>1223.1099999999999</v>
      </c>
      <c r="R83" s="32">
        <v>1042.25</v>
      </c>
      <c r="S83" s="34">
        <v>1253.33150684931</v>
      </c>
      <c r="T83" s="34">
        <v>1056.98360655737</v>
      </c>
      <c r="U83" s="35">
        <v>1236.1584699453499</v>
      </c>
      <c r="V83" s="35">
        <v>1052.25753424657</v>
      </c>
      <c r="W83" s="47"/>
    </row>
    <row r="84" spans="1:23" ht="16.899999999999999" customHeight="1" x14ac:dyDescent="0.2">
      <c r="A84" s="10" t="s">
        <v>140</v>
      </c>
      <c r="B84" s="465" t="s">
        <v>66</v>
      </c>
      <c r="C84" s="32">
        <v>537.35342465753399</v>
      </c>
      <c r="D84" s="32">
        <v>357.46174863388001</v>
      </c>
      <c r="E84" s="32">
        <v>283.55890410958898</v>
      </c>
      <c r="F84" s="32">
        <v>359.86301369863003</v>
      </c>
      <c r="G84" s="32">
        <v>356.94246575342498</v>
      </c>
      <c r="H84" s="32">
        <v>397.27595628416299</v>
      </c>
      <c r="I84" s="32">
        <v>494.49589041095902</v>
      </c>
      <c r="J84" s="32">
        <v>494.63013698630101</v>
      </c>
      <c r="K84" s="32">
        <v>360.02191780821897</v>
      </c>
      <c r="L84" s="32">
        <v>298.89999999999998</v>
      </c>
      <c r="M84" s="32">
        <v>286.95999999999998</v>
      </c>
      <c r="N84" s="32">
        <v>1122</v>
      </c>
      <c r="O84" s="32">
        <v>291</v>
      </c>
      <c r="P84" s="32">
        <v>448</v>
      </c>
      <c r="Q84" s="32">
        <v>200.797260273972</v>
      </c>
      <c r="R84" s="32">
        <v>202.15068493150599</v>
      </c>
      <c r="S84" s="34">
        <v>197.87671232876701</v>
      </c>
      <c r="T84" s="34">
        <v>259.86338797814199</v>
      </c>
      <c r="U84" s="35">
        <v>249.02732240437101</v>
      </c>
      <c r="V84" s="35">
        <v>364.671232876712</v>
      </c>
      <c r="W84" s="47"/>
    </row>
    <row r="85" spans="1:23" ht="16.899999999999999" customHeight="1" x14ac:dyDescent="0.2">
      <c r="A85" s="10" t="s">
        <v>141</v>
      </c>
      <c r="B85" s="465" t="s">
        <v>64</v>
      </c>
      <c r="C85" s="32">
        <v>1259.72876712329</v>
      </c>
      <c r="D85" s="32">
        <v>1354.6967213114799</v>
      </c>
      <c r="E85" s="32">
        <v>1434.9315068493099</v>
      </c>
      <c r="F85" s="32">
        <v>1480.17808219178</v>
      </c>
      <c r="G85" s="32">
        <v>1508.28767123288</v>
      </c>
      <c r="H85" s="32">
        <v>2476.0437158469899</v>
      </c>
      <c r="I85" s="32">
        <v>2790.0547945205499</v>
      </c>
      <c r="J85" s="32">
        <v>2550.8356164383499</v>
      </c>
      <c r="K85" s="32">
        <v>2743.6849315068498</v>
      </c>
      <c r="L85" s="32">
        <v>2560</v>
      </c>
      <c r="M85" s="32">
        <v>2777.05</v>
      </c>
      <c r="N85" s="32">
        <v>2645.95</v>
      </c>
      <c r="O85" s="32">
        <v>2808.75</v>
      </c>
      <c r="P85" s="32">
        <v>2599</v>
      </c>
      <c r="Q85" s="32">
        <v>2531.79</v>
      </c>
      <c r="R85" s="32">
        <v>2527.4299999999998</v>
      </c>
      <c r="S85" s="34">
        <v>2614.0520547945198</v>
      </c>
      <c r="T85" s="34">
        <v>2053.4684931506199</v>
      </c>
      <c r="U85" s="35">
        <v>2641.1232876711501</v>
      </c>
      <c r="V85" s="35">
        <v>2534.7890410958798</v>
      </c>
      <c r="W85" s="47"/>
    </row>
    <row r="86" spans="1:23" ht="16.899999999999999" customHeight="1" x14ac:dyDescent="0.2">
      <c r="A86" s="10" t="s">
        <v>142</v>
      </c>
      <c r="B86" s="465" t="s">
        <v>85</v>
      </c>
      <c r="C86" s="32">
        <v>13</v>
      </c>
      <c r="D86" s="32">
        <v>13.008196721311499</v>
      </c>
      <c r="E86" s="32">
        <v>12.3945205479452</v>
      </c>
      <c r="F86" s="32">
        <v>12.567123287671199</v>
      </c>
      <c r="G86" s="32">
        <v>12</v>
      </c>
      <c r="H86" s="32">
        <v>12.6612021857924</v>
      </c>
      <c r="I86" s="32">
        <v>14.175342465753401</v>
      </c>
      <c r="J86" s="32">
        <v>14.175342465753401</v>
      </c>
      <c r="K86" s="32">
        <v>13.926027397260301</v>
      </c>
      <c r="L86" s="32">
        <v>14.5382513661202</v>
      </c>
      <c r="M86" s="32">
        <v>13.5</v>
      </c>
      <c r="N86" s="32">
        <v>13.42</v>
      </c>
      <c r="O86" s="32">
        <v>18.34</v>
      </c>
      <c r="P86" s="32">
        <v>13.78</v>
      </c>
      <c r="Q86" s="32">
        <v>11.79</v>
      </c>
      <c r="R86" s="32">
        <v>1.76</v>
      </c>
      <c r="S86" s="34">
        <v>4.7589041095890403</v>
      </c>
      <c r="T86" s="34">
        <v>2.4972677595628401</v>
      </c>
      <c r="U86" s="35">
        <v>2</v>
      </c>
      <c r="V86" s="35">
        <v>1.99999999999999</v>
      </c>
      <c r="W86" s="47"/>
    </row>
    <row r="87" spans="1:23" ht="16.899999999999999" customHeight="1" x14ac:dyDescent="0.2">
      <c r="A87" s="10" t="s">
        <v>143</v>
      </c>
      <c r="B87" s="465" t="s">
        <v>120</v>
      </c>
      <c r="C87" s="32">
        <v>-2780.4739726027501</v>
      </c>
      <c r="D87" s="32">
        <v>-2507.8661202185599</v>
      </c>
      <c r="E87" s="32">
        <v>-2676.24931506849</v>
      </c>
      <c r="F87" s="32">
        <v>87.550684931498793</v>
      </c>
      <c r="G87" s="32">
        <v>969.78904109589303</v>
      </c>
      <c r="H87" s="32">
        <v>1247.8360655737599</v>
      </c>
      <c r="I87" s="32">
        <v>480.24931506848998</v>
      </c>
      <c r="J87" s="32">
        <v>1805.4082191780899</v>
      </c>
      <c r="K87" s="32">
        <v>-133.98630136986301</v>
      </c>
      <c r="L87" s="32">
        <v>-3754</v>
      </c>
      <c r="M87" s="32">
        <v>-2816.4453551942302</v>
      </c>
      <c r="N87" s="32">
        <v>-4714</v>
      </c>
      <c r="O87" s="32">
        <v>-4914.2461643835004</v>
      </c>
      <c r="P87" s="32">
        <v>-4392.3326027349003</v>
      </c>
      <c r="Q87" s="32">
        <f>107610-Q81-Q83-Q84-Q85-Q86</f>
        <v>-4128.9639726015675</v>
      </c>
      <c r="R87" s="32">
        <f>107913-R81-R83-R84-R85-R86+111</f>
        <v>-4564.4372602634821</v>
      </c>
      <c r="S87" s="34">
        <v>-4601.9315068489605</v>
      </c>
      <c r="T87" s="34">
        <v>-4712.9657609106398</v>
      </c>
      <c r="U87" s="35">
        <v>-4730.2708286548996</v>
      </c>
      <c r="V87" s="35">
        <v>-4641.2821917737101</v>
      </c>
      <c r="W87" s="47"/>
    </row>
    <row r="88" spans="1:23" ht="16.899999999999999" customHeight="1" x14ac:dyDescent="0.2">
      <c r="A88" s="10" t="s">
        <v>144</v>
      </c>
      <c r="B88" s="465" t="s">
        <v>61</v>
      </c>
      <c r="C88" s="15"/>
      <c r="D88" s="15"/>
      <c r="E88" s="15"/>
      <c r="F88" s="15"/>
      <c r="G88" s="15"/>
      <c r="H88" s="15"/>
      <c r="I88" s="15"/>
      <c r="J88" s="32">
        <v>-10820</v>
      </c>
      <c r="K88" s="32">
        <v>0</v>
      </c>
      <c r="L88" s="15"/>
      <c r="M88" s="15"/>
      <c r="N88" s="15"/>
      <c r="O88" s="15"/>
      <c r="P88" s="15"/>
      <c r="Q88" s="15"/>
      <c r="R88" s="15"/>
      <c r="S88" s="15"/>
      <c r="T88" s="15"/>
      <c r="U88" s="15"/>
      <c r="V88" s="15"/>
      <c r="W88" s="47"/>
    </row>
    <row r="89" spans="1:23" ht="16.899999999999999" customHeight="1" x14ac:dyDescent="0.2">
      <c r="A89" s="10" t="s">
        <v>145</v>
      </c>
      <c r="B89" s="465" t="s">
        <v>107</v>
      </c>
      <c r="C89" s="33">
        <v>-1594</v>
      </c>
      <c r="D89" s="33">
        <v>-2893</v>
      </c>
      <c r="E89" s="33">
        <v>-1637</v>
      </c>
      <c r="F89" s="33">
        <v>-4125</v>
      </c>
      <c r="G89" s="33">
        <v>-5592</v>
      </c>
      <c r="H89" s="33">
        <v>-6649</v>
      </c>
      <c r="I89" s="33">
        <v>-3838</v>
      </c>
      <c r="J89" s="33">
        <v>-4319</v>
      </c>
      <c r="K89" s="33">
        <v>-5096</v>
      </c>
      <c r="L89" s="33">
        <v>-1298</v>
      </c>
      <c r="M89" s="33">
        <v>-2691</v>
      </c>
      <c r="N89" s="33">
        <v>-1048</v>
      </c>
      <c r="O89" s="33">
        <v>-706</v>
      </c>
      <c r="P89" s="33">
        <v>-1338</v>
      </c>
      <c r="Q89" s="33">
        <f>103721-104626</f>
        <v>-905</v>
      </c>
      <c r="R89" s="33">
        <f>104177-105218</f>
        <v>-1041</v>
      </c>
      <c r="S89" s="33">
        <v>-433</v>
      </c>
      <c r="T89" s="33">
        <v>-951</v>
      </c>
      <c r="U89" s="33">
        <v>386</v>
      </c>
      <c r="V89" s="33">
        <v>-1079</v>
      </c>
      <c r="W89" s="47"/>
    </row>
    <row r="90" spans="1:23" ht="15.75" customHeight="1" x14ac:dyDescent="0.2">
      <c r="A90" s="10" t="s">
        <v>146</v>
      </c>
      <c r="B90" s="466" t="s">
        <v>147</v>
      </c>
      <c r="C90" s="36">
        <v>56747</v>
      </c>
      <c r="D90" s="36">
        <v>83701</v>
      </c>
      <c r="E90" s="36">
        <v>86035</v>
      </c>
      <c r="F90" s="36">
        <v>87428</v>
      </c>
      <c r="G90" s="36">
        <v>87617</v>
      </c>
      <c r="H90" s="36">
        <v>89559</v>
      </c>
      <c r="I90" s="36">
        <v>94122</v>
      </c>
      <c r="J90" s="36">
        <v>94524</v>
      </c>
      <c r="K90" s="37">
        <v>103545</v>
      </c>
      <c r="L90" s="37">
        <f>96890+7858</f>
        <v>104748</v>
      </c>
      <c r="M90" s="37">
        <f>96890+7858</f>
        <v>104748</v>
      </c>
      <c r="N90" s="37">
        <v>105639</v>
      </c>
      <c r="O90" s="37">
        <v>105639</v>
      </c>
      <c r="P90" s="37">
        <f>97946+8459</f>
        <v>106405</v>
      </c>
      <c r="Q90" s="37">
        <f>97946+8459</f>
        <v>106405</v>
      </c>
      <c r="R90" s="37">
        <f>98521+8462</f>
        <v>106983</v>
      </c>
      <c r="S90" s="37">
        <f>98521+8462</f>
        <v>106983</v>
      </c>
      <c r="T90" s="37">
        <f>99104+7745</f>
        <v>106849</v>
      </c>
      <c r="U90" s="37">
        <v>106849</v>
      </c>
      <c r="V90" s="37">
        <v>106662</v>
      </c>
      <c r="W90" s="47"/>
    </row>
    <row r="91" spans="1:23" ht="15.75" customHeight="1" x14ac:dyDescent="0.2">
      <c r="A91" s="48"/>
      <c r="B91" s="467" t="s">
        <v>48</v>
      </c>
      <c r="C91" s="38">
        <f t="shared" ref="C91:V91" si="17">SUM(C81:C89)/C90-1</f>
        <v>-3.7725971252733359E-5</v>
      </c>
      <c r="D91" s="38">
        <f t="shared" si="17"/>
        <v>3.2642865521737008E-8</v>
      </c>
      <c r="E91" s="38">
        <f t="shared" si="17"/>
        <v>2.5475455518453316E-6</v>
      </c>
      <c r="F91" s="38">
        <f t="shared" si="17"/>
        <v>-1.8802164636344543E-7</v>
      </c>
      <c r="G91" s="38">
        <f t="shared" si="17"/>
        <v>8.8804934339492547E-6</v>
      </c>
      <c r="H91" s="38">
        <f t="shared" si="17"/>
        <v>9.4936957943136946E-4</v>
      </c>
      <c r="I91" s="38">
        <f t="shared" si="17"/>
        <v>2.037577222502307E-7</v>
      </c>
      <c r="J91" s="38">
        <f t="shared" si="17"/>
        <v>1.1892319296857856E-4</v>
      </c>
      <c r="K91" s="38">
        <f t="shared" si="17"/>
        <v>4.8155887659717678E-6</v>
      </c>
      <c r="L91" s="38">
        <f t="shared" si="17"/>
        <v>3.3491777520211485E-6</v>
      </c>
      <c r="M91" s="38">
        <f t="shared" si="17"/>
        <v>4.6778936118041514E-6</v>
      </c>
      <c r="N91" s="38">
        <f t="shared" si="17"/>
        <v>-1.7963737231618815E-5</v>
      </c>
      <c r="O91" s="38">
        <f t="shared" si="17"/>
        <v>0</v>
      </c>
      <c r="P91" s="38">
        <f t="shared" si="17"/>
        <v>0</v>
      </c>
      <c r="Q91" s="38">
        <f t="shared" si="17"/>
        <v>2.81941638080907E-3</v>
      </c>
      <c r="R91" s="38">
        <f t="shared" si="17"/>
        <v>0</v>
      </c>
      <c r="S91" s="39">
        <f t="shared" si="17"/>
        <v>1.5329538337867099E-3</v>
      </c>
      <c r="T91" s="39">
        <f t="shared" si="17"/>
        <v>-7.3936115452633011E-4</v>
      </c>
      <c r="U91" s="39">
        <f t="shared" si="17"/>
        <v>6.4670703516176431E-3</v>
      </c>
      <c r="V91" s="39">
        <f t="shared" si="17"/>
        <v>-2.6532410792972083E-3</v>
      </c>
    </row>
    <row r="92" spans="1:23" ht="15.75" customHeight="1" x14ac:dyDescent="0.2">
      <c r="A92" s="40"/>
      <c r="B92" s="471"/>
      <c r="C92" s="51"/>
      <c r="D92" s="51"/>
      <c r="E92" s="51"/>
      <c r="F92" s="51"/>
      <c r="G92" s="51"/>
      <c r="H92" s="51"/>
      <c r="I92" s="51"/>
      <c r="J92" s="51"/>
      <c r="K92" s="52"/>
      <c r="L92" s="52"/>
      <c r="M92" s="52"/>
      <c r="N92" s="52"/>
      <c r="O92" s="52"/>
      <c r="P92" s="52"/>
      <c r="Q92" s="50"/>
      <c r="R92" s="50"/>
      <c r="S92" s="40"/>
      <c r="T92" s="40"/>
      <c r="U92" s="40"/>
      <c r="V92" s="40"/>
    </row>
    <row r="93" spans="1:23" ht="15.75" customHeight="1" x14ac:dyDescent="0.2">
      <c r="V93" s="6"/>
    </row>
    <row r="94" spans="1:23" ht="15.75" customHeight="1" x14ac:dyDescent="0.2">
      <c r="V94" s="6"/>
    </row>
    <row r="95" spans="1:23" ht="16.899999999999999" customHeight="1" x14ac:dyDescent="0.2">
      <c r="V95" s="6"/>
    </row>
    <row r="96" spans="1:23" ht="15.75" customHeight="1" x14ac:dyDescent="0.2">
      <c r="B96" s="472"/>
      <c r="C96" s="54"/>
      <c r="D96" s="54"/>
      <c r="E96" s="54"/>
      <c r="F96" s="54"/>
      <c r="G96" s="55"/>
      <c r="H96" s="44"/>
      <c r="V96" s="6"/>
    </row>
    <row r="97" spans="2:22" ht="15.75" customHeight="1" x14ac:dyDescent="0.2">
      <c r="B97" s="473" t="s">
        <v>148</v>
      </c>
      <c r="E97" s="42" t="s">
        <v>149</v>
      </c>
      <c r="H97" s="44"/>
      <c r="V97" s="6"/>
    </row>
    <row r="98" spans="2:22" ht="15.75" customHeight="1" x14ac:dyDescent="0.2">
      <c r="B98" s="474"/>
      <c r="H98" s="44"/>
      <c r="V98" s="6"/>
    </row>
    <row r="99" spans="2:22" ht="15.75" customHeight="1" x14ac:dyDescent="0.2">
      <c r="B99" s="473" t="s">
        <v>150</v>
      </c>
      <c r="E99" s="42" t="s">
        <v>151</v>
      </c>
      <c r="H99" s="44"/>
      <c r="V99" s="6"/>
    </row>
    <row r="100" spans="2:22" ht="15.75" customHeight="1" x14ac:dyDescent="0.2">
      <c r="B100" s="474"/>
      <c r="H100" s="44"/>
      <c r="V100" s="6"/>
    </row>
    <row r="101" spans="2:22" ht="15.75" customHeight="1" x14ac:dyDescent="0.2">
      <c r="B101" s="473" t="s">
        <v>1670</v>
      </c>
      <c r="E101" s="42" t="s">
        <v>152</v>
      </c>
      <c r="H101" s="44"/>
      <c r="V101" s="6"/>
    </row>
    <row r="102" spans="2:22" ht="16.899999999999999" customHeight="1" x14ac:dyDescent="0.2">
      <c r="B102" s="475"/>
      <c r="H102" s="44"/>
      <c r="V102" s="6"/>
    </row>
    <row r="103" spans="2:22" ht="15" customHeight="1" x14ac:dyDescent="0.2">
      <c r="B103" s="476"/>
      <c r="C103" s="58"/>
      <c r="D103" s="58"/>
      <c r="E103" s="58"/>
      <c r="F103" s="58"/>
      <c r="G103" s="58"/>
      <c r="V103" s="1"/>
    </row>
  </sheetData>
  <mergeCells count="4">
    <mergeCell ref="A1:B1"/>
    <mergeCell ref="A3:B3"/>
    <mergeCell ref="A6:B6"/>
    <mergeCell ref="A7:B7"/>
  </mergeCells>
  <pageMargins left="0.75" right="0.75" top="1" bottom="1" header="0.5" footer="0.5"/>
  <pageSetup paperSize="9" orientation="portrait" r:id="rId1"/>
  <headerFooter>
    <oddFooter>&amp;L_x000D_&amp;1#&amp;"Calibri"&amp;11&amp;K000000 SW Internal
Commercial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513"/>
  <sheetViews>
    <sheetView zoomScaleNormal="100" workbookViewId="0">
      <selection sqref="A1:XFD1048576"/>
    </sheetView>
  </sheetViews>
  <sheetFormatPr defaultColWidth="13.7109375" defaultRowHeight="12.75" x14ac:dyDescent="0.2"/>
  <cols>
    <col min="1" max="1" width="10.42578125" customWidth="1"/>
    <col min="2" max="2" width="73" customWidth="1"/>
    <col min="3" max="3" width="7.7109375" customWidth="1"/>
    <col min="4" max="23" width="19.5703125" customWidth="1"/>
    <col min="24" max="24" width="20.5703125" customWidth="1"/>
    <col min="25" max="25" width="115.7109375" customWidth="1"/>
    <col min="26" max="54" width="9.28515625" customWidth="1"/>
  </cols>
  <sheetData>
    <row r="1" spans="1:26" ht="16.5" x14ac:dyDescent="0.3">
      <c r="A1" s="477" t="s">
        <v>0</v>
      </c>
      <c r="B1" s="478"/>
      <c r="W1" s="59"/>
    </row>
    <row r="2" spans="1:26" ht="15" x14ac:dyDescent="0.2">
      <c r="W2" s="59"/>
    </row>
    <row r="3" spans="1:26" ht="16.5" x14ac:dyDescent="0.3">
      <c r="A3" s="479" t="s">
        <v>1</v>
      </c>
      <c r="B3" s="478"/>
      <c r="C3" s="478"/>
      <c r="W3" s="59"/>
    </row>
    <row r="4" spans="1:26" ht="20.25" x14ac:dyDescent="0.3">
      <c r="A4" s="100"/>
      <c r="B4" s="43"/>
      <c r="W4" s="59"/>
    </row>
    <row r="5" spans="1:26" ht="15" x14ac:dyDescent="0.2">
      <c r="W5" s="59"/>
    </row>
    <row r="6" spans="1:26" ht="20.25" x14ac:dyDescent="0.3">
      <c r="A6" s="487" t="s">
        <v>2</v>
      </c>
      <c r="B6" s="488"/>
      <c r="C6" s="101"/>
      <c r="W6" s="59"/>
    </row>
    <row r="7" spans="1:26" ht="20.25" x14ac:dyDescent="0.2">
      <c r="A7" s="489" t="s">
        <v>153</v>
      </c>
      <c r="B7" s="490"/>
      <c r="C7" s="101"/>
      <c r="W7" s="59"/>
    </row>
    <row r="8" spans="1:26" ht="60" x14ac:dyDescent="0.8">
      <c r="A8" s="102"/>
      <c r="B8" s="103"/>
      <c r="W8" s="59"/>
    </row>
    <row r="9" spans="1:26" ht="15.75" x14ac:dyDescent="0.2">
      <c r="A9" s="491" t="s">
        <v>154</v>
      </c>
      <c r="B9" s="492"/>
      <c r="C9" s="101"/>
      <c r="W9" s="59"/>
    </row>
    <row r="10" spans="1:26" ht="34.15" customHeight="1" x14ac:dyDescent="0.2">
      <c r="A10" s="484" t="s">
        <v>155</v>
      </c>
      <c r="B10" s="484"/>
      <c r="W10" s="59"/>
    </row>
    <row r="11" spans="1:26" ht="32.65" customHeight="1" x14ac:dyDescent="0.2">
      <c r="A11" s="485" t="s">
        <v>156</v>
      </c>
      <c r="B11" s="486"/>
      <c r="W11" s="59"/>
    </row>
    <row r="12" spans="1:26" ht="28.9" customHeight="1" x14ac:dyDescent="0.2">
      <c r="A12" s="485" t="s">
        <v>157</v>
      </c>
      <c r="B12" s="486"/>
      <c r="W12" s="59"/>
    </row>
    <row r="13" spans="1:26" ht="15" x14ac:dyDescent="0.2">
      <c r="W13" s="60"/>
    </row>
    <row r="14" spans="1:26" ht="31.5" x14ac:dyDescent="0.2">
      <c r="A14" s="31" t="s">
        <v>4</v>
      </c>
      <c r="B14" s="31" t="s">
        <v>158</v>
      </c>
      <c r="C14" s="31" t="s">
        <v>159</v>
      </c>
      <c r="D14" s="61" t="s">
        <v>6</v>
      </c>
      <c r="E14" s="61" t="s">
        <v>7</v>
      </c>
      <c r="F14" s="61" t="s">
        <v>8</v>
      </c>
      <c r="G14" s="61" t="s">
        <v>9</v>
      </c>
      <c r="H14" s="61" t="s">
        <v>10</v>
      </c>
      <c r="I14" s="61" t="s">
        <v>11</v>
      </c>
      <c r="J14" s="61" t="s">
        <v>12</v>
      </c>
      <c r="K14" s="61" t="s">
        <v>13</v>
      </c>
      <c r="L14" s="61" t="s">
        <v>14</v>
      </c>
      <c r="M14" s="61" t="s">
        <v>160</v>
      </c>
      <c r="N14" s="61" t="s">
        <v>16</v>
      </c>
      <c r="O14" s="61" t="s">
        <v>161</v>
      </c>
      <c r="P14" s="61" t="s">
        <v>18</v>
      </c>
      <c r="Q14" s="61" t="s">
        <v>162</v>
      </c>
      <c r="R14" s="61" t="s">
        <v>20</v>
      </c>
      <c r="S14" s="61" t="s">
        <v>163</v>
      </c>
      <c r="T14" s="61" t="s">
        <v>22</v>
      </c>
      <c r="U14" s="61" t="s">
        <v>23</v>
      </c>
      <c r="V14" s="61" t="s">
        <v>164</v>
      </c>
      <c r="W14" s="61" t="s">
        <v>165</v>
      </c>
      <c r="X14" s="104"/>
      <c r="Y14" s="449" t="s">
        <v>166</v>
      </c>
      <c r="Z14" s="46"/>
    </row>
    <row r="15" spans="1:26" ht="15" x14ac:dyDescent="0.2">
      <c r="A15" s="62" t="s">
        <v>167</v>
      </c>
      <c r="B15" s="62" t="s">
        <v>168</v>
      </c>
      <c r="C15" s="63" t="str">
        <f t="shared" ref="C15:W15" si="0">C95</f>
        <v>C</v>
      </c>
      <c r="D15" s="64">
        <f t="shared" si="0"/>
        <v>8768270.2433671895</v>
      </c>
      <c r="E15" s="64">
        <f t="shared" si="0"/>
        <v>6721417.6379705742</v>
      </c>
      <c r="F15" s="64">
        <f t="shared" si="0"/>
        <v>6527643.454371755</v>
      </c>
      <c r="G15" s="64">
        <f t="shared" si="0"/>
        <v>6660884.7460422358</v>
      </c>
      <c r="H15" s="64">
        <f t="shared" si="0"/>
        <v>5102463.43378036</v>
      </c>
      <c r="I15" s="64">
        <f t="shared" si="0"/>
        <v>4777127.4348230157</v>
      </c>
      <c r="J15" s="64">
        <f t="shared" si="0"/>
        <v>4752816.950641905</v>
      </c>
      <c r="K15" s="64">
        <f t="shared" si="0"/>
        <v>5087467.3364602858</v>
      </c>
      <c r="L15" s="64">
        <f t="shared" si="0"/>
        <v>4999335.147236323</v>
      </c>
      <c r="M15" s="64">
        <f t="shared" si="0"/>
        <v>4965248.6358652674</v>
      </c>
      <c r="N15" s="64">
        <f t="shared" si="0"/>
        <v>4998397.8904249333</v>
      </c>
      <c r="O15" s="64">
        <f t="shared" si="0"/>
        <v>5301913.0369093446</v>
      </c>
      <c r="P15" s="64">
        <f t="shared" si="0"/>
        <v>4847362.9712270107</v>
      </c>
      <c r="Q15" s="64">
        <f t="shared" si="0"/>
        <v>5074007.3119000001</v>
      </c>
      <c r="R15" s="64">
        <f t="shared" si="0"/>
        <v>4962847.1137376204</v>
      </c>
      <c r="S15" s="64">
        <f t="shared" si="0"/>
        <v>5661528.4371379931</v>
      </c>
      <c r="T15" s="64">
        <f t="shared" si="0"/>
        <v>5521836.5723152217</v>
      </c>
      <c r="U15" s="64">
        <f t="shared" si="0"/>
        <v>6642921.7510658475</v>
      </c>
      <c r="V15" s="64">
        <f t="shared" si="0"/>
        <v>6198102.3603967419</v>
      </c>
      <c r="W15" s="64">
        <f t="shared" si="0"/>
        <v>6954825.0937073352</v>
      </c>
      <c r="X15" s="46"/>
      <c r="Y15" s="450" t="s">
        <v>169</v>
      </c>
    </row>
    <row r="16" spans="1:26" ht="15" x14ac:dyDescent="0.2">
      <c r="A16" s="62" t="s">
        <v>170</v>
      </c>
      <c r="B16" s="62" t="s">
        <v>171</v>
      </c>
      <c r="C16" s="63" t="str">
        <f t="shared" ref="C16:W16" si="1">C185</f>
        <v>C</v>
      </c>
      <c r="D16" s="64">
        <f t="shared" si="1"/>
        <v>102918566.09455016</v>
      </c>
      <c r="E16" s="64">
        <f t="shared" si="1"/>
        <v>99088427.910657287</v>
      </c>
      <c r="F16" s="64">
        <f t="shared" si="1"/>
        <v>99658055.270709723</v>
      </c>
      <c r="G16" s="64">
        <f t="shared" si="1"/>
        <v>99754828.401444808</v>
      </c>
      <c r="H16" s="64">
        <f t="shared" si="1"/>
        <v>98879769.937277526</v>
      </c>
      <c r="I16" s="64">
        <f t="shared" si="1"/>
        <v>98822280.509132385</v>
      </c>
      <c r="J16" s="64">
        <f t="shared" si="1"/>
        <v>96835303.823644251</v>
      </c>
      <c r="K16" s="64">
        <f t="shared" si="1"/>
        <v>99245590.675502688</v>
      </c>
      <c r="L16" s="64">
        <f t="shared" si="1"/>
        <v>101300730.88855399</v>
      </c>
      <c r="M16" s="64">
        <f t="shared" si="1"/>
        <v>102558613.93567857</v>
      </c>
      <c r="N16" s="64">
        <f t="shared" si="1"/>
        <v>100379409.24302647</v>
      </c>
      <c r="O16" s="64">
        <f t="shared" si="1"/>
        <v>94004690.69178158</v>
      </c>
      <c r="P16" s="64">
        <f t="shared" si="1"/>
        <v>93089272.265600011</v>
      </c>
      <c r="Q16" s="64">
        <f t="shared" si="1"/>
        <v>101274159.33399999</v>
      </c>
      <c r="R16" s="64">
        <f t="shared" si="1"/>
        <v>102252829.35979114</v>
      </c>
      <c r="S16" s="64">
        <f t="shared" si="1"/>
        <v>109873271.02808045</v>
      </c>
      <c r="T16" s="64">
        <f t="shared" si="1"/>
        <v>110730691.17181353</v>
      </c>
      <c r="U16" s="64">
        <f t="shared" si="1"/>
        <v>115739581.21601591</v>
      </c>
      <c r="V16" s="64">
        <f t="shared" si="1"/>
        <v>115216665.11595854</v>
      </c>
      <c r="W16" s="64">
        <f t="shared" si="1"/>
        <v>122709164.01634686</v>
      </c>
      <c r="X16" s="46"/>
      <c r="Y16" s="451" t="s">
        <v>172</v>
      </c>
    </row>
    <row r="17" spans="1:25" ht="15" x14ac:dyDescent="0.2">
      <c r="A17" s="62" t="s">
        <v>173</v>
      </c>
      <c r="B17" s="62" t="s">
        <v>174</v>
      </c>
      <c r="C17" s="63" t="str">
        <f t="shared" ref="C17:W17" si="2">C237</f>
        <v>C</v>
      </c>
      <c r="D17" s="64">
        <f t="shared" si="2"/>
        <v>10810171.121471575</v>
      </c>
      <c r="E17" s="64">
        <f t="shared" si="2"/>
        <v>7976751.3919134019</v>
      </c>
      <c r="F17" s="64">
        <f t="shared" si="2"/>
        <v>7082262.2155132713</v>
      </c>
      <c r="G17" s="64">
        <f t="shared" si="2"/>
        <v>5194858.3932684315</v>
      </c>
      <c r="H17" s="64">
        <f t="shared" si="2"/>
        <v>4401584.9218012299</v>
      </c>
      <c r="I17" s="64">
        <f t="shared" si="2"/>
        <v>4270407.4126609871</v>
      </c>
      <c r="J17" s="64">
        <f t="shared" si="2"/>
        <v>4213926.7573150825</v>
      </c>
      <c r="K17" s="64">
        <f t="shared" si="2"/>
        <v>4409080.1929551391</v>
      </c>
      <c r="L17" s="64">
        <f t="shared" si="2"/>
        <v>4314500.8437454551</v>
      </c>
      <c r="M17" s="64">
        <f t="shared" si="2"/>
        <v>4290860.4650046937</v>
      </c>
      <c r="N17" s="64">
        <f t="shared" si="2"/>
        <v>4265163.414389722</v>
      </c>
      <c r="O17" s="64">
        <f t="shared" si="2"/>
        <v>4142624.583700004</v>
      </c>
      <c r="P17" s="64">
        <f t="shared" si="2"/>
        <v>4109054.1687000003</v>
      </c>
      <c r="Q17" s="64">
        <f t="shared" si="2"/>
        <v>4263850.8579000002</v>
      </c>
      <c r="R17" s="64">
        <f t="shared" si="2"/>
        <v>4167534.6329616741</v>
      </c>
      <c r="S17" s="64">
        <f t="shared" si="2"/>
        <v>4651827.1074305633</v>
      </c>
      <c r="T17" s="64">
        <f t="shared" si="2"/>
        <v>4544630.8286834992</v>
      </c>
      <c r="U17" s="64">
        <f t="shared" si="2"/>
        <v>5347912.3084568912</v>
      </c>
      <c r="V17" s="64">
        <f t="shared" si="2"/>
        <v>5000985.8416353064</v>
      </c>
      <c r="W17" s="64">
        <f t="shared" si="2"/>
        <v>5581500.0246505896</v>
      </c>
      <c r="X17" s="46"/>
      <c r="Y17" s="451" t="s">
        <v>175</v>
      </c>
    </row>
    <row r="18" spans="1:25" ht="15" x14ac:dyDescent="0.2">
      <c r="A18" s="62" t="s">
        <v>176</v>
      </c>
      <c r="B18" s="62" t="s">
        <v>177</v>
      </c>
      <c r="C18" s="63" t="str">
        <f t="shared" ref="C18:W18" si="3">C293</f>
        <v>C</v>
      </c>
      <c r="D18" s="64">
        <f t="shared" si="3"/>
        <v>66121772.09394417</v>
      </c>
      <c r="E18" s="64">
        <f t="shared" si="3"/>
        <v>53859998.842002928</v>
      </c>
      <c r="F18" s="64">
        <f t="shared" si="3"/>
        <v>48387905.582696527</v>
      </c>
      <c r="G18" s="64">
        <f t="shared" si="3"/>
        <v>47707430.846867517</v>
      </c>
      <c r="H18" s="64">
        <f t="shared" si="3"/>
        <v>45866727.327870369</v>
      </c>
      <c r="I18" s="64">
        <f t="shared" si="3"/>
        <v>46873255.986973844</v>
      </c>
      <c r="J18" s="64">
        <f t="shared" si="3"/>
        <v>47639443.263788879</v>
      </c>
      <c r="K18" s="64">
        <f t="shared" si="3"/>
        <v>49268024.38848599</v>
      </c>
      <c r="L18" s="64">
        <f t="shared" si="3"/>
        <v>50060654.308128662</v>
      </c>
      <c r="M18" s="64">
        <f t="shared" si="3"/>
        <v>52112479.817184344</v>
      </c>
      <c r="N18" s="64">
        <f t="shared" si="3"/>
        <v>50391049.034726813</v>
      </c>
      <c r="O18" s="64">
        <f t="shared" si="3"/>
        <v>43693725.760616168</v>
      </c>
      <c r="P18" s="64">
        <f t="shared" si="3"/>
        <v>41965433.230378076</v>
      </c>
      <c r="Q18" s="64">
        <f t="shared" si="3"/>
        <v>48061488.920438111</v>
      </c>
      <c r="R18" s="64">
        <f t="shared" si="3"/>
        <v>47850289.175154574</v>
      </c>
      <c r="S18" s="64">
        <f t="shared" si="3"/>
        <v>52952296.77166792</v>
      </c>
      <c r="T18" s="64">
        <f t="shared" si="3"/>
        <v>53025636.625923693</v>
      </c>
      <c r="U18" s="64">
        <f t="shared" si="3"/>
        <v>56571038.170211464</v>
      </c>
      <c r="V18" s="64">
        <f t="shared" si="3"/>
        <v>55982907.596436545</v>
      </c>
      <c r="W18" s="64">
        <f t="shared" si="3"/>
        <v>60820055.101271093</v>
      </c>
      <c r="X18" s="46"/>
      <c r="Y18" s="451" t="s">
        <v>178</v>
      </c>
    </row>
    <row r="19" spans="1:25" ht="15" x14ac:dyDescent="0.2">
      <c r="A19" s="62" t="s">
        <v>179</v>
      </c>
      <c r="B19" s="62" t="s">
        <v>180</v>
      </c>
      <c r="C19" s="63" t="str">
        <f t="shared" ref="C19:W19" si="4">C332</f>
        <v>C</v>
      </c>
      <c r="D19" s="64">
        <f t="shared" si="4"/>
        <v>96416928.749291107</v>
      </c>
      <c r="E19" s="64">
        <f t="shared" si="4"/>
        <v>104219488.95243976</v>
      </c>
      <c r="F19" s="64">
        <f t="shared" si="4"/>
        <v>112689881.21754885</v>
      </c>
      <c r="G19" s="64">
        <f t="shared" si="4"/>
        <v>111003787.99293064</v>
      </c>
      <c r="H19" s="64">
        <f t="shared" si="4"/>
        <v>110190149.53517435</v>
      </c>
      <c r="I19" s="64">
        <f t="shared" si="4"/>
        <v>117949105.11195166</v>
      </c>
      <c r="J19" s="64">
        <f t="shared" si="4"/>
        <v>122673713.85019056</v>
      </c>
      <c r="K19" s="64">
        <f t="shared" si="4"/>
        <v>138032652.74724925</v>
      </c>
      <c r="L19" s="64">
        <f t="shared" si="4"/>
        <v>143724387.81606627</v>
      </c>
      <c r="M19" s="64">
        <f t="shared" si="4"/>
        <v>150637749.25141984</v>
      </c>
      <c r="N19" s="64">
        <f t="shared" si="4"/>
        <v>150240635.34126601</v>
      </c>
      <c r="O19" s="64">
        <f t="shared" si="4"/>
        <v>152888793.96547231</v>
      </c>
      <c r="P19" s="64">
        <f t="shared" si="4"/>
        <v>153293904.23474801</v>
      </c>
      <c r="Q19" s="64">
        <f t="shared" si="4"/>
        <v>150981344.987524</v>
      </c>
      <c r="R19" s="64">
        <f t="shared" si="4"/>
        <v>149624087.12542394</v>
      </c>
      <c r="S19" s="64">
        <f t="shared" si="4"/>
        <v>157157202.6643405</v>
      </c>
      <c r="T19" s="64">
        <f t="shared" si="4"/>
        <v>155777177.70814735</v>
      </c>
      <c r="U19" s="64">
        <f t="shared" si="4"/>
        <v>169066255.80402783</v>
      </c>
      <c r="V19" s="64">
        <f t="shared" si="4"/>
        <v>165106537.16903549</v>
      </c>
      <c r="W19" s="64">
        <f t="shared" si="4"/>
        <v>183565024.80818897</v>
      </c>
      <c r="X19" s="46"/>
      <c r="Y19" s="451" t="s">
        <v>181</v>
      </c>
    </row>
    <row r="20" spans="1:25" ht="15" x14ac:dyDescent="0.2">
      <c r="A20" s="62" t="s">
        <v>182</v>
      </c>
      <c r="B20" s="62" t="s">
        <v>183</v>
      </c>
      <c r="C20" s="63" t="str">
        <f t="shared" ref="C20:W20" si="5">C374</f>
        <v>C</v>
      </c>
      <c r="D20" s="64">
        <f t="shared" si="5"/>
        <v>22860388.406227529</v>
      </c>
      <c r="E20" s="64">
        <f t="shared" si="5"/>
        <v>24267228.943720616</v>
      </c>
      <c r="F20" s="64">
        <f t="shared" si="5"/>
        <v>24472388.954115849</v>
      </c>
      <c r="G20" s="64">
        <f t="shared" si="5"/>
        <v>26466496.435432561</v>
      </c>
      <c r="H20" s="64">
        <f t="shared" si="5"/>
        <v>28246208.020442069</v>
      </c>
      <c r="I20" s="64">
        <f t="shared" si="5"/>
        <v>27574793.846573032</v>
      </c>
      <c r="J20" s="64">
        <f t="shared" si="5"/>
        <v>26684631.717014179</v>
      </c>
      <c r="K20" s="64">
        <f t="shared" si="5"/>
        <v>29179500.938534904</v>
      </c>
      <c r="L20" s="64">
        <f t="shared" si="5"/>
        <v>31008902.24539344</v>
      </c>
      <c r="M20" s="64">
        <f t="shared" si="5"/>
        <v>29325665.035999015</v>
      </c>
      <c r="N20" s="64">
        <f t="shared" si="5"/>
        <v>29737688.262169283</v>
      </c>
      <c r="O20" s="64">
        <f t="shared" si="5"/>
        <v>28181112.109257426</v>
      </c>
      <c r="P20" s="64">
        <f t="shared" si="5"/>
        <v>28169171.010948077</v>
      </c>
      <c r="Q20" s="64">
        <f t="shared" si="5"/>
        <v>29214096.705370978</v>
      </c>
      <c r="R20" s="64">
        <f t="shared" si="5"/>
        <v>29618602.250953704</v>
      </c>
      <c r="S20" s="64">
        <f t="shared" si="5"/>
        <v>30771470.010509029</v>
      </c>
      <c r="T20" s="64">
        <f t="shared" si="5"/>
        <v>30928433.378218338</v>
      </c>
      <c r="U20" s="64">
        <f t="shared" si="5"/>
        <v>32187586.836595587</v>
      </c>
      <c r="V20" s="64">
        <f t="shared" si="5"/>
        <v>31668453.612131018</v>
      </c>
      <c r="W20" s="64">
        <f t="shared" si="5"/>
        <v>33104161.581008751</v>
      </c>
      <c r="X20" s="46"/>
      <c r="Y20" s="451" t="s">
        <v>184</v>
      </c>
    </row>
    <row r="21" spans="1:25" ht="15" x14ac:dyDescent="0.2">
      <c r="A21" s="62" t="s">
        <v>185</v>
      </c>
      <c r="B21" s="62" t="s">
        <v>186</v>
      </c>
      <c r="C21" s="63" t="str">
        <f t="shared" ref="C21:W21" si="6">C398</f>
        <v>C</v>
      </c>
      <c r="D21" s="64">
        <f t="shared" si="6"/>
        <v>1314015.5633972599</v>
      </c>
      <c r="E21" s="64">
        <f t="shared" si="6"/>
        <v>1255034.2038251364</v>
      </c>
      <c r="F21" s="64">
        <f t="shared" si="6"/>
        <v>1277148.2929589043</v>
      </c>
      <c r="G21" s="64">
        <f t="shared" si="6"/>
        <v>1263416.8085205471</v>
      </c>
      <c r="H21" s="64">
        <f t="shared" si="6"/>
        <v>1241856.7759999998</v>
      </c>
      <c r="I21" s="64">
        <f t="shared" si="6"/>
        <v>1238829.6949453552</v>
      </c>
      <c r="J21" s="64">
        <f t="shared" si="6"/>
        <v>1223224.5923287671</v>
      </c>
      <c r="K21" s="64">
        <f t="shared" si="6"/>
        <v>1269460.8075890411</v>
      </c>
      <c r="L21" s="64">
        <f t="shared" si="6"/>
        <v>1281748.0615890417</v>
      </c>
      <c r="M21" s="64">
        <f t="shared" si="6"/>
        <v>1298176.1094535515</v>
      </c>
      <c r="N21" s="64">
        <f t="shared" si="6"/>
        <v>1297605.3820765032</v>
      </c>
      <c r="O21" s="64">
        <f t="shared" si="6"/>
        <v>1312787.3281420758</v>
      </c>
      <c r="P21" s="64">
        <f t="shared" si="6"/>
        <v>1316277.8795288801</v>
      </c>
      <c r="Q21" s="64">
        <f t="shared" si="6"/>
        <v>1345480.9433091301</v>
      </c>
      <c r="R21" s="64">
        <f t="shared" si="6"/>
        <v>1342260.2833424646</v>
      </c>
      <c r="S21" s="64">
        <f t="shared" si="6"/>
        <v>1394733.0319999997</v>
      </c>
      <c r="T21" s="64">
        <f t="shared" si="6"/>
        <v>1387772.9516</v>
      </c>
      <c r="U21" s="64">
        <f t="shared" si="6"/>
        <v>1447661.3303</v>
      </c>
      <c r="V21" s="64">
        <f t="shared" si="6"/>
        <v>1428142.977</v>
      </c>
      <c r="W21" s="64">
        <f t="shared" si="6"/>
        <v>1542557.4053424585</v>
      </c>
      <c r="X21" s="46"/>
      <c r="Y21" s="451" t="s">
        <v>187</v>
      </c>
    </row>
    <row r="22" spans="1:25" ht="15" x14ac:dyDescent="0.2">
      <c r="A22" s="62" t="s">
        <v>188</v>
      </c>
      <c r="B22" s="62" t="s">
        <v>189</v>
      </c>
      <c r="C22" s="63" t="s">
        <v>190</v>
      </c>
      <c r="D22" s="64">
        <f t="shared" ref="D22:W22" si="7">SUM(D15:D21)</f>
        <v>309210112.27224904</v>
      </c>
      <c r="E22" s="64">
        <f t="shared" si="7"/>
        <v>297388347.88252968</v>
      </c>
      <c r="F22" s="64">
        <f t="shared" si="7"/>
        <v>300095284.98791492</v>
      </c>
      <c r="G22" s="64">
        <f t="shared" si="7"/>
        <v>298051703.62450677</v>
      </c>
      <c r="H22" s="64">
        <f t="shared" si="7"/>
        <v>293928759.95234591</v>
      </c>
      <c r="I22" s="64">
        <f t="shared" si="7"/>
        <v>301505799.9970603</v>
      </c>
      <c r="J22" s="64">
        <f t="shared" si="7"/>
        <v>304023060.95492369</v>
      </c>
      <c r="K22" s="64">
        <f t="shared" si="7"/>
        <v>326491777.08677733</v>
      </c>
      <c r="L22" s="64">
        <f t="shared" si="7"/>
        <v>336690259.31071317</v>
      </c>
      <c r="M22" s="64">
        <f t="shared" si="7"/>
        <v>345188793.25060529</v>
      </c>
      <c r="N22" s="64">
        <f t="shared" si="7"/>
        <v>341309948.56807977</v>
      </c>
      <c r="O22" s="64">
        <f t="shared" si="7"/>
        <v>329525647.47587889</v>
      </c>
      <c r="P22" s="64">
        <f t="shared" si="7"/>
        <v>326790475.76113003</v>
      </c>
      <c r="Q22" s="64">
        <f t="shared" si="7"/>
        <v>340214429.06044221</v>
      </c>
      <c r="R22" s="64">
        <f t="shared" si="7"/>
        <v>339818449.94136512</v>
      </c>
      <c r="S22" s="64">
        <f t="shared" si="7"/>
        <v>362462329.05116647</v>
      </c>
      <c r="T22" s="64">
        <f t="shared" si="7"/>
        <v>361916179.23670167</v>
      </c>
      <c r="U22" s="64">
        <f t="shared" si="7"/>
        <v>387002957.41667348</v>
      </c>
      <c r="V22" s="64">
        <f t="shared" si="7"/>
        <v>380601794.67259359</v>
      </c>
      <c r="W22" s="64">
        <f t="shared" si="7"/>
        <v>414277288.03051609</v>
      </c>
      <c r="X22" s="46"/>
      <c r="Y22" s="451" t="s">
        <v>191</v>
      </c>
    </row>
    <row r="23" spans="1:25" ht="15" x14ac:dyDescent="0.2">
      <c r="A23" s="105"/>
      <c r="B23" s="106"/>
      <c r="C23" s="107"/>
      <c r="D23" s="66"/>
      <c r="E23" s="66"/>
      <c r="F23" s="66"/>
      <c r="G23" s="66"/>
      <c r="H23" s="66"/>
      <c r="I23" s="66"/>
      <c r="J23" s="66"/>
      <c r="K23" s="66"/>
      <c r="L23" s="66"/>
      <c r="M23" s="66"/>
      <c r="N23" s="66"/>
      <c r="O23" s="66"/>
      <c r="P23" s="66"/>
      <c r="Q23" s="66"/>
      <c r="R23" s="66"/>
      <c r="S23" s="66"/>
      <c r="T23" s="66"/>
      <c r="U23" s="66"/>
      <c r="V23" s="66"/>
      <c r="W23" s="66"/>
    </row>
    <row r="24" spans="1:25" ht="15" x14ac:dyDescent="0.2">
      <c r="A24" s="62" t="s">
        <v>192</v>
      </c>
      <c r="B24" s="62" t="s">
        <v>193</v>
      </c>
      <c r="C24" s="63" t="s">
        <v>190</v>
      </c>
      <c r="D24" s="67">
        <f t="shared" ref="D24:W24" si="8">D28/D$22</f>
        <v>7.2883344061392071E-6</v>
      </c>
      <c r="E24" s="67">
        <f t="shared" si="8"/>
        <v>2.5505891720398494E-6</v>
      </c>
      <c r="F24" s="67">
        <f t="shared" si="8"/>
        <v>5.2852603134496859E-6</v>
      </c>
      <c r="G24" s="67">
        <f t="shared" si="8"/>
        <v>2.9160587221301721E-5</v>
      </c>
      <c r="H24" s="67">
        <f t="shared" si="8"/>
        <v>3.3973851897374598E-3</v>
      </c>
      <c r="I24" s="67">
        <f t="shared" si="8"/>
        <v>2.0505800583804034E-2</v>
      </c>
      <c r="J24" s="67">
        <f t="shared" si="8"/>
        <v>3.6215967237209788E-2</v>
      </c>
      <c r="K24" s="67">
        <f t="shared" si="8"/>
        <v>4.3258348609944181E-2</v>
      </c>
      <c r="L24" s="67">
        <f t="shared" si="8"/>
        <v>4.2089381233396658E-2</v>
      </c>
      <c r="M24" s="67">
        <f t="shared" si="8"/>
        <v>4.4208553605971715E-2</v>
      </c>
      <c r="N24" s="67">
        <f t="shared" si="8"/>
        <v>4.4060673150874308E-2</v>
      </c>
      <c r="O24" s="67">
        <f t="shared" si="8"/>
        <v>4.4400714830462568E-2</v>
      </c>
      <c r="P24" s="67">
        <f t="shared" si="8"/>
        <v>4.4208732191632592E-2</v>
      </c>
      <c r="Q24" s="67">
        <f t="shared" si="8"/>
        <v>4.649110869189494E-2</v>
      </c>
      <c r="R24" s="67">
        <f t="shared" si="8"/>
        <v>4.5668519549711517E-2</v>
      </c>
      <c r="S24" s="67">
        <f t="shared" si="8"/>
        <v>5.1116764539921117E-2</v>
      </c>
      <c r="T24" s="67">
        <f t="shared" si="8"/>
        <v>5.0244368146379441E-2</v>
      </c>
      <c r="U24" s="67">
        <f t="shared" si="8"/>
        <v>5.8220043835326883E-2</v>
      </c>
      <c r="V24" s="67">
        <f t="shared" si="8"/>
        <v>5.6717217421608741E-2</v>
      </c>
      <c r="W24" s="67">
        <f t="shared" si="8"/>
        <v>5.8860780777834409E-2</v>
      </c>
      <c r="X24" s="46"/>
      <c r="Y24" s="451" t="s">
        <v>194</v>
      </c>
    </row>
    <row r="25" spans="1:25" ht="15" x14ac:dyDescent="0.2">
      <c r="A25" s="62" t="s">
        <v>195</v>
      </c>
      <c r="B25" s="62" t="s">
        <v>196</v>
      </c>
      <c r="C25" s="63" t="s">
        <v>190</v>
      </c>
      <c r="D25" s="68">
        <f t="shared" ref="D25:W25" si="9">D29/D$22</f>
        <v>0</v>
      </c>
      <c r="E25" s="68">
        <f t="shared" si="9"/>
        <v>0</v>
      </c>
      <c r="F25" s="68">
        <f t="shared" si="9"/>
        <v>2.3989405332675964E-4</v>
      </c>
      <c r="G25" s="68">
        <f t="shared" si="9"/>
        <v>0</v>
      </c>
      <c r="H25" s="68">
        <f t="shared" si="9"/>
        <v>0</v>
      </c>
      <c r="I25" s="68">
        <f t="shared" si="9"/>
        <v>0</v>
      </c>
      <c r="J25" s="68">
        <f t="shared" si="9"/>
        <v>0</v>
      </c>
      <c r="K25" s="68">
        <f t="shared" si="9"/>
        <v>3.5115513137572135E-2</v>
      </c>
      <c r="L25" s="68">
        <f t="shared" si="9"/>
        <v>3.2126177259608028E-2</v>
      </c>
      <c r="M25" s="68">
        <f t="shared" si="9"/>
        <v>3.1783974102643504E-2</v>
      </c>
      <c r="N25" s="68">
        <f t="shared" si="9"/>
        <v>3.2070468274137134E-2</v>
      </c>
      <c r="O25" s="68">
        <f t="shared" si="9"/>
        <v>3.9898920916201522E-2</v>
      </c>
      <c r="P25" s="68">
        <f t="shared" si="9"/>
        <v>3.8655208254703137E-2</v>
      </c>
      <c r="Q25" s="68">
        <f t="shared" si="9"/>
        <v>3.4338139865974136E-2</v>
      </c>
      <c r="R25" s="68">
        <f t="shared" si="9"/>
        <v>3.7512026430876609E-2</v>
      </c>
      <c r="S25" s="68">
        <f t="shared" si="9"/>
        <v>3.3240670003803874E-2</v>
      </c>
      <c r="T25" s="68">
        <f t="shared" si="9"/>
        <v>3.4225108658927451E-2</v>
      </c>
      <c r="U25" s="68">
        <f t="shared" si="9"/>
        <v>3.0540612197375396E-2</v>
      </c>
      <c r="V25" s="68">
        <f t="shared" si="9"/>
        <v>3.0195550318918372E-2</v>
      </c>
      <c r="W25" s="68">
        <f t="shared" si="9"/>
        <v>2.8557153841435198E-2</v>
      </c>
      <c r="X25" s="46"/>
      <c r="Y25" s="451" t="s">
        <v>197</v>
      </c>
    </row>
    <row r="26" spans="1:25" ht="15" x14ac:dyDescent="0.2">
      <c r="A26" s="62" t="s">
        <v>198</v>
      </c>
      <c r="B26" s="62" t="s">
        <v>199</v>
      </c>
      <c r="C26" s="63" t="s">
        <v>190</v>
      </c>
      <c r="D26" s="68">
        <f t="shared" ref="D26:W26" si="10">D30/D$22</f>
        <v>0</v>
      </c>
      <c r="E26" s="68">
        <f t="shared" si="10"/>
        <v>0</v>
      </c>
      <c r="F26" s="68">
        <f t="shared" si="10"/>
        <v>0</v>
      </c>
      <c r="G26" s="68">
        <f t="shared" si="10"/>
        <v>0</v>
      </c>
      <c r="H26" s="68">
        <f t="shared" si="10"/>
        <v>0</v>
      </c>
      <c r="I26" s="68">
        <f t="shared" si="10"/>
        <v>0</v>
      </c>
      <c r="J26" s="68">
        <f t="shared" si="10"/>
        <v>0</v>
      </c>
      <c r="K26" s="68">
        <f t="shared" si="10"/>
        <v>5.1106615961005056E-3</v>
      </c>
      <c r="L26" s="68">
        <f t="shared" si="10"/>
        <v>4.5716966046217694E-3</v>
      </c>
      <c r="M26" s="68">
        <f t="shared" si="10"/>
        <v>3.8672563359577121E-3</v>
      </c>
      <c r="N26" s="68">
        <f t="shared" si="10"/>
        <v>3.7652844629685925E-3</v>
      </c>
      <c r="O26" s="68">
        <f t="shared" si="10"/>
        <v>4.0238525800850144E-3</v>
      </c>
      <c r="P26" s="68">
        <f t="shared" si="10"/>
        <v>3.9597910464987821E-3</v>
      </c>
      <c r="Q26" s="68">
        <f t="shared" si="10"/>
        <v>3.5531150261273658E-3</v>
      </c>
      <c r="R26" s="68">
        <f t="shared" si="10"/>
        <v>3.7847339802235787E-3</v>
      </c>
      <c r="S26" s="68">
        <f t="shared" si="10"/>
        <v>3.6238067780405745E-3</v>
      </c>
      <c r="T26" s="68">
        <f t="shared" si="10"/>
        <v>3.7085279202789798E-3</v>
      </c>
      <c r="U26" s="68">
        <f t="shared" si="10"/>
        <v>3.8859036670896726E-3</v>
      </c>
      <c r="V26" s="68">
        <f t="shared" si="10"/>
        <v>3.8218784868087846E-3</v>
      </c>
      <c r="W26" s="68">
        <f t="shared" si="10"/>
        <v>3.9794395240381917E-3</v>
      </c>
      <c r="X26" s="46"/>
      <c r="Y26" s="451" t="s">
        <v>200</v>
      </c>
    </row>
    <row r="27" spans="1:25" ht="15" x14ac:dyDescent="0.2">
      <c r="A27" s="105"/>
      <c r="B27" s="105"/>
      <c r="C27" s="107"/>
      <c r="D27" s="69"/>
      <c r="E27" s="69"/>
      <c r="F27" s="69"/>
      <c r="G27" s="69"/>
      <c r="H27" s="69"/>
      <c r="I27" s="69"/>
      <c r="J27" s="69"/>
      <c r="K27" s="69"/>
      <c r="L27" s="69"/>
      <c r="M27" s="69"/>
      <c r="N27" s="69"/>
      <c r="O27" s="69"/>
      <c r="P27" s="69"/>
      <c r="Q27" s="69"/>
      <c r="R27" s="69"/>
      <c r="S27" s="69"/>
      <c r="T27" s="69"/>
      <c r="U27" s="69"/>
      <c r="V27" s="69"/>
      <c r="W27" s="69"/>
    </row>
    <row r="28" spans="1:25" ht="15" x14ac:dyDescent="0.2">
      <c r="A28" s="62" t="s">
        <v>201</v>
      </c>
      <c r="B28" s="62" t="s">
        <v>202</v>
      </c>
      <c r="C28" s="63" t="s">
        <v>190</v>
      </c>
      <c r="D28" s="70">
        <f t="shared" ref="D28:W28" si="11">D98+D188+D240+D296+D335+D377+D401</f>
        <v>2253.6266999999998</v>
      </c>
      <c r="E28" s="70">
        <f t="shared" si="11"/>
        <v>758.51550000000009</v>
      </c>
      <c r="F28" s="70">
        <f t="shared" si="11"/>
        <v>1586.0817</v>
      </c>
      <c r="G28" s="70">
        <f t="shared" si="11"/>
        <v>8691.3626999999997</v>
      </c>
      <c r="H28" s="70">
        <f t="shared" si="11"/>
        <v>998589.21589999704</v>
      </c>
      <c r="I28" s="70">
        <f t="shared" si="11"/>
        <v>6182617.8096000217</v>
      </c>
      <c r="J28" s="70">
        <f t="shared" si="11"/>
        <v>11010489.21489975</v>
      </c>
      <c r="K28" s="70">
        <f t="shared" si="11"/>
        <v>14123495.111499999</v>
      </c>
      <c r="L28" s="70">
        <f t="shared" si="11"/>
        <v>14171084.681699784</v>
      </c>
      <c r="M28" s="70">
        <f t="shared" si="11"/>
        <v>15260297.270600071</v>
      </c>
      <c r="N28" s="70">
        <f t="shared" si="11"/>
        <v>15038346.086999884</v>
      </c>
      <c r="O28" s="70">
        <f t="shared" si="11"/>
        <v>14631174.302900037</v>
      </c>
      <c r="P28" s="70">
        <f t="shared" si="11"/>
        <v>14446992.625700001</v>
      </c>
      <c r="Q28" s="70">
        <f t="shared" si="11"/>
        <v>15816946</v>
      </c>
      <c r="R28" s="70">
        <f t="shared" si="11"/>
        <v>15519005.524499897</v>
      </c>
      <c r="S28" s="70">
        <f t="shared" si="11"/>
        <v>18527901.528699886</v>
      </c>
      <c r="T28" s="64">
        <f t="shared" si="11"/>
        <v>18184249.747699887</v>
      </c>
      <c r="U28" s="64">
        <f t="shared" si="11"/>
        <v>22531329.145199873</v>
      </c>
      <c r="V28" s="64">
        <f t="shared" si="11"/>
        <v>21586674.739499979</v>
      </c>
      <c r="W28" s="64">
        <f t="shared" si="11"/>
        <v>24384684.631999969</v>
      </c>
      <c r="X28" s="46"/>
    </row>
    <row r="29" spans="1:25" ht="15" x14ac:dyDescent="0.2">
      <c r="A29" s="62" t="s">
        <v>203</v>
      </c>
      <c r="B29" s="62" t="s">
        <v>204</v>
      </c>
      <c r="C29" s="63" t="s">
        <v>190</v>
      </c>
      <c r="D29" s="70">
        <f t="shared" ref="D29:U29" si="12">D100+D190+D242+D298+D337+D379+D403</f>
        <v>0</v>
      </c>
      <c r="E29" s="70">
        <f t="shared" si="12"/>
        <v>0</v>
      </c>
      <c r="F29" s="70">
        <f t="shared" si="12"/>
        <v>71991.074299999993</v>
      </c>
      <c r="G29" s="70">
        <f t="shared" si="12"/>
        <v>0</v>
      </c>
      <c r="H29" s="70">
        <f t="shared" si="12"/>
        <v>0</v>
      </c>
      <c r="I29" s="70">
        <f t="shared" si="12"/>
        <v>0</v>
      </c>
      <c r="J29" s="70">
        <f t="shared" si="12"/>
        <v>0</v>
      </c>
      <c r="K29" s="70">
        <f t="shared" si="12"/>
        <v>11464926.287600001</v>
      </c>
      <c r="L29" s="70">
        <f t="shared" si="12"/>
        <v>10816570.952199364</v>
      </c>
      <c r="M29" s="70">
        <f t="shared" si="12"/>
        <v>10971471.665200001</v>
      </c>
      <c r="N29" s="70">
        <f t="shared" si="12"/>
        <v>10945969.877199979</v>
      </c>
      <c r="O29" s="70">
        <f t="shared" si="12"/>
        <v>13147717.748500194</v>
      </c>
      <c r="P29" s="70">
        <f t="shared" si="12"/>
        <v>12632153.896199999</v>
      </c>
      <c r="Q29" s="70">
        <f t="shared" si="12"/>
        <v>11682330.649499999</v>
      </c>
      <c r="R29" s="70">
        <f t="shared" si="12"/>
        <v>12747278.675900009</v>
      </c>
      <c r="S29" s="70">
        <f t="shared" si="12"/>
        <v>12048490.6688</v>
      </c>
      <c r="T29" s="64">
        <f t="shared" si="12"/>
        <v>12386620.559799979</v>
      </c>
      <c r="U29" s="64">
        <f t="shared" si="12"/>
        <v>11819307.241700009</v>
      </c>
      <c r="V29" s="64">
        <f>V100+V190+V242+V298+V337+V378+V403</f>
        <v>11492480.642506938</v>
      </c>
      <c r="W29" s="64">
        <f>W100+W190+W242+W298+W337+W379+W403</f>
        <v>11830580.247300008</v>
      </c>
      <c r="X29" s="46"/>
    </row>
    <row r="30" spans="1:25" ht="15" x14ac:dyDescent="0.2">
      <c r="A30" s="62" t="s">
        <v>205</v>
      </c>
      <c r="B30" s="62" t="s">
        <v>206</v>
      </c>
      <c r="C30" s="63" t="s">
        <v>190</v>
      </c>
      <c r="D30" s="70">
        <f t="shared" ref="D30:W30" si="13">D102+D192+D244+D300+D339+D381+D405</f>
        <v>0</v>
      </c>
      <c r="E30" s="70">
        <f t="shared" si="13"/>
        <v>0</v>
      </c>
      <c r="F30" s="70">
        <f t="shared" si="13"/>
        <v>0</v>
      </c>
      <c r="G30" s="70">
        <f t="shared" si="13"/>
        <v>0</v>
      </c>
      <c r="H30" s="70">
        <f t="shared" si="13"/>
        <v>0</v>
      </c>
      <c r="I30" s="70">
        <f t="shared" si="13"/>
        <v>0</v>
      </c>
      <c r="J30" s="70">
        <f t="shared" si="13"/>
        <v>0</v>
      </c>
      <c r="K30" s="70">
        <f t="shared" si="13"/>
        <v>1668588.9865999999</v>
      </c>
      <c r="L30" s="70">
        <f t="shared" si="13"/>
        <v>1539245.7153000105</v>
      </c>
      <c r="M30" s="70">
        <f t="shared" si="13"/>
        <v>1334933.5478000001</v>
      </c>
      <c r="N30" s="70">
        <f t="shared" si="13"/>
        <v>1285129.0464000001</v>
      </c>
      <c r="O30" s="70">
        <f t="shared" si="13"/>
        <v>1325962.6268000002</v>
      </c>
      <c r="P30" s="70">
        <f t="shared" si="13"/>
        <v>1294022</v>
      </c>
      <c r="Q30" s="70">
        <f t="shared" si="13"/>
        <v>1208821</v>
      </c>
      <c r="R30" s="70">
        <f t="shared" si="13"/>
        <v>1286122.4345999898</v>
      </c>
      <c r="S30" s="70">
        <f t="shared" si="13"/>
        <v>1313493.4447999902</v>
      </c>
      <c r="T30" s="64">
        <f t="shared" si="13"/>
        <v>1342176.2554999997</v>
      </c>
      <c r="U30" s="64">
        <f t="shared" si="13"/>
        <v>1503856.2113999999</v>
      </c>
      <c r="V30" s="64">
        <f t="shared" si="13"/>
        <v>1454613.8110999998</v>
      </c>
      <c r="W30" s="64">
        <f t="shared" si="13"/>
        <v>1648591.4138999898</v>
      </c>
      <c r="X30" s="46"/>
    </row>
    <row r="31" spans="1:25" ht="15" x14ac:dyDescent="0.2">
      <c r="A31" s="105"/>
      <c r="B31" s="106"/>
      <c r="C31" s="107"/>
      <c r="D31" s="66"/>
      <c r="E31" s="66"/>
      <c r="F31" s="66"/>
      <c r="G31" s="66"/>
      <c r="H31" s="66"/>
      <c r="I31" s="66"/>
      <c r="J31" s="66"/>
      <c r="K31" s="66"/>
      <c r="L31" s="66"/>
      <c r="M31" s="66"/>
      <c r="N31" s="66"/>
      <c r="O31" s="66"/>
      <c r="P31" s="66"/>
      <c r="Q31" s="66"/>
      <c r="R31" s="66"/>
      <c r="S31" s="66"/>
      <c r="T31" s="66"/>
      <c r="U31" s="66"/>
      <c r="V31" s="66"/>
      <c r="W31" s="66"/>
    </row>
    <row r="32" spans="1:25" ht="15" x14ac:dyDescent="0.2">
      <c r="A32" s="62" t="s">
        <v>207</v>
      </c>
      <c r="B32" s="71" t="s">
        <v>208</v>
      </c>
      <c r="C32" s="63" t="s">
        <v>190</v>
      </c>
      <c r="D32" s="64">
        <f t="shared" ref="D32:W32" si="14">D66</f>
        <v>8030494.8320265897</v>
      </c>
      <c r="E32" s="64">
        <f t="shared" si="14"/>
        <v>6817337.0305464435</v>
      </c>
      <c r="F32" s="64">
        <f t="shared" si="14"/>
        <v>6326044.6746575665</v>
      </c>
      <c r="G32" s="64">
        <f t="shared" si="14"/>
        <v>6795417.2834902201</v>
      </c>
      <c r="H32" s="64">
        <f t="shared" si="14"/>
        <v>4890447.3439726112</v>
      </c>
      <c r="I32" s="64">
        <f t="shared" si="14"/>
        <v>4735507.9390710322</v>
      </c>
      <c r="J32" s="64">
        <f t="shared" si="14"/>
        <v>4733588.5878082216</v>
      </c>
      <c r="K32" s="64">
        <f t="shared" si="14"/>
        <v>4621098.3797259983</v>
      </c>
      <c r="L32" s="64">
        <f t="shared" si="14"/>
        <v>4466154.8768036477</v>
      </c>
      <c r="M32" s="64">
        <f t="shared" si="14"/>
        <v>4389527.2310110861</v>
      </c>
      <c r="N32" s="64">
        <f t="shared" si="14"/>
        <v>4396759.0675681308</v>
      </c>
      <c r="O32" s="64">
        <f t="shared" si="14"/>
        <v>4627446.6222630199</v>
      </c>
      <c r="P32" s="64">
        <f t="shared" si="14"/>
        <v>4203625.01134934</v>
      </c>
      <c r="Q32" s="64">
        <f t="shared" si="14"/>
        <v>4204409.25</v>
      </c>
      <c r="R32" s="64">
        <f t="shared" si="14"/>
        <v>4102102.4086589161</v>
      </c>
      <c r="S32" s="64">
        <f t="shared" si="14"/>
        <v>4315969.8058574842</v>
      </c>
      <c r="T32" s="64">
        <f t="shared" si="14"/>
        <v>4219486.2691356335</v>
      </c>
      <c r="U32" s="64">
        <f t="shared" si="14"/>
        <v>4756642.1113251504</v>
      </c>
      <c r="V32" s="64">
        <f t="shared" si="14"/>
        <v>4487892.6745087197</v>
      </c>
      <c r="W32" s="64">
        <f t="shared" si="14"/>
        <v>4571294.2104451898</v>
      </c>
      <c r="X32" s="46"/>
      <c r="Y32" s="451" t="s">
        <v>209</v>
      </c>
    </row>
    <row r="33" spans="1:26" ht="15" x14ac:dyDescent="0.2">
      <c r="A33" s="62" t="s">
        <v>210</v>
      </c>
      <c r="B33" s="71" t="s">
        <v>211</v>
      </c>
      <c r="C33" s="63" t="s">
        <v>190</v>
      </c>
      <c r="D33" s="64">
        <f t="shared" ref="D33:W33" si="15">D145</f>
        <v>121899465.39032534</v>
      </c>
      <c r="E33" s="64">
        <f t="shared" si="15"/>
        <v>118557354.58573771</v>
      </c>
      <c r="F33" s="64">
        <f t="shared" si="15"/>
        <v>114193438.0969864</v>
      </c>
      <c r="G33" s="64">
        <f t="shared" si="15"/>
        <v>113634011.38109574</v>
      </c>
      <c r="H33" s="64">
        <f t="shared" si="15"/>
        <v>113375865.60520598</v>
      </c>
      <c r="I33" s="64">
        <f t="shared" si="15"/>
        <v>113072225.41612032</v>
      </c>
      <c r="J33" s="64">
        <f t="shared" si="15"/>
        <v>110397502.0601366</v>
      </c>
      <c r="K33" s="64">
        <f t="shared" si="15"/>
        <v>111654956.20534283</v>
      </c>
      <c r="L33" s="64">
        <f t="shared" si="15"/>
        <v>113964371.91315088</v>
      </c>
      <c r="M33" s="64">
        <f t="shared" si="15"/>
        <v>110514376.72539167</v>
      </c>
      <c r="N33" s="64">
        <f t="shared" si="15"/>
        <v>108925500.93875721</v>
      </c>
      <c r="O33" s="64">
        <f t="shared" si="15"/>
        <v>98101418.923092559</v>
      </c>
      <c r="P33" s="64">
        <f t="shared" si="15"/>
        <v>97537785</v>
      </c>
      <c r="Q33" s="64">
        <f t="shared" si="15"/>
        <v>104199800</v>
      </c>
      <c r="R33" s="64">
        <f t="shared" si="15"/>
        <v>105612589.23237887</v>
      </c>
      <c r="S33" s="64">
        <f t="shared" si="15"/>
        <v>109972437.66819596</v>
      </c>
      <c r="T33" s="64">
        <f t="shared" si="15"/>
        <v>110769711.54516327</v>
      </c>
      <c r="U33" s="64">
        <f t="shared" si="15"/>
        <v>110066516.88503757</v>
      </c>
      <c r="V33" s="64">
        <f t="shared" si="15"/>
        <v>109627156.85417183</v>
      </c>
      <c r="W33" s="64">
        <f t="shared" si="15"/>
        <v>106839152.92648184</v>
      </c>
      <c r="X33" s="46"/>
      <c r="Y33" s="451" t="s">
        <v>212</v>
      </c>
    </row>
    <row r="34" spans="1:26" ht="15" x14ac:dyDescent="0.2">
      <c r="A34" s="62" t="s">
        <v>213</v>
      </c>
      <c r="B34" s="71" t="s">
        <v>214</v>
      </c>
      <c r="C34" s="63" t="s">
        <v>190</v>
      </c>
      <c r="D34" s="64">
        <f t="shared" ref="D34:W34" si="16">D215</f>
        <v>7584371.8409866598</v>
      </c>
      <c r="E34" s="64">
        <f t="shared" si="16"/>
        <v>7088944.59300547</v>
      </c>
      <c r="F34" s="64">
        <f t="shared" si="16"/>
        <v>6836956.8187671499</v>
      </c>
      <c r="G34" s="64">
        <f t="shared" si="16"/>
        <v>5111585.9267123304</v>
      </c>
      <c r="H34" s="64">
        <f t="shared" si="16"/>
        <v>4462279.8198630102</v>
      </c>
      <c r="I34" s="64">
        <f t="shared" si="16"/>
        <v>4290080.3939890703</v>
      </c>
      <c r="J34" s="64">
        <f t="shared" si="16"/>
        <v>4255950.1789041096</v>
      </c>
      <c r="K34" s="64">
        <f t="shared" si="16"/>
        <v>4157254.26232877</v>
      </c>
      <c r="L34" s="64">
        <f t="shared" si="16"/>
        <v>3996545.4023287678</v>
      </c>
      <c r="M34" s="64">
        <f t="shared" si="16"/>
        <v>3889030.7847189549</v>
      </c>
      <c r="N34" s="64">
        <f t="shared" si="16"/>
        <v>3882898.9195755878</v>
      </c>
      <c r="O34" s="64">
        <f t="shared" si="16"/>
        <v>3676802.5</v>
      </c>
      <c r="P34" s="64">
        <f t="shared" si="16"/>
        <v>3673600</v>
      </c>
      <c r="Q34" s="64">
        <f t="shared" si="16"/>
        <v>3676233</v>
      </c>
      <c r="R34" s="64">
        <f t="shared" si="16"/>
        <v>3589124.9881643699</v>
      </c>
      <c r="S34" s="64">
        <f t="shared" si="16"/>
        <v>3740366.40526705</v>
      </c>
      <c r="T34" s="64">
        <f t="shared" si="16"/>
        <v>3661583.6422260199</v>
      </c>
      <c r="U34" s="64">
        <f t="shared" si="16"/>
        <v>4061207.95725735</v>
      </c>
      <c r="V34" s="64">
        <f t="shared" si="16"/>
        <v>3834678.5032321899</v>
      </c>
      <c r="W34" s="64">
        <f t="shared" si="16"/>
        <v>3893183.3849657401</v>
      </c>
      <c r="X34" s="46"/>
      <c r="Y34" s="451" t="s">
        <v>215</v>
      </c>
    </row>
    <row r="35" spans="1:26" ht="15" x14ac:dyDescent="0.2">
      <c r="A35" s="62" t="s">
        <v>216</v>
      </c>
      <c r="B35" s="71" t="s">
        <v>217</v>
      </c>
      <c r="C35" s="63" t="s">
        <v>190</v>
      </c>
      <c r="D35" s="64">
        <f t="shared" ref="D35:W35" si="17">D269</f>
        <v>48451137.546303697</v>
      </c>
      <c r="E35" s="64">
        <f t="shared" si="17"/>
        <v>47015701.144317098</v>
      </c>
      <c r="F35" s="64">
        <f t="shared" si="17"/>
        <v>46107853.982739598</v>
      </c>
      <c r="G35" s="64">
        <f t="shared" si="17"/>
        <v>47163690.985890299</v>
      </c>
      <c r="H35" s="64">
        <f t="shared" si="17"/>
        <v>47007115.693972804</v>
      </c>
      <c r="I35" s="64">
        <f t="shared" si="17"/>
        <v>47708226.9029506</v>
      </c>
      <c r="J35" s="64">
        <f t="shared" si="17"/>
        <v>48872347.993561603</v>
      </c>
      <c r="K35" s="64">
        <f t="shared" si="17"/>
        <v>49699448.266438499</v>
      </c>
      <c r="L35" s="64">
        <f t="shared" si="17"/>
        <v>49611241.227945499</v>
      </c>
      <c r="M35" s="64">
        <f t="shared" si="17"/>
        <v>50778348.943581603</v>
      </c>
      <c r="N35" s="64">
        <f t="shared" si="17"/>
        <v>48775769.2949325</v>
      </c>
      <c r="O35" s="64">
        <f t="shared" si="17"/>
        <v>39520480.090227902</v>
      </c>
      <c r="P35" s="64">
        <f t="shared" si="17"/>
        <v>37785839</v>
      </c>
      <c r="Q35" s="64">
        <f t="shared" si="17"/>
        <v>43423640</v>
      </c>
      <c r="R35" s="64">
        <f t="shared" si="17"/>
        <v>43234907.831572399</v>
      </c>
      <c r="S35" s="64">
        <f t="shared" si="17"/>
        <v>46610590.122440301</v>
      </c>
      <c r="T35" s="64">
        <f t="shared" si="17"/>
        <v>46709928.8448947</v>
      </c>
      <c r="U35" s="64">
        <f t="shared" si="17"/>
        <v>47644049.940922901</v>
      </c>
      <c r="V35" s="64">
        <f t="shared" si="17"/>
        <v>47121724.757915102</v>
      </c>
      <c r="W35" s="64">
        <f t="shared" si="17"/>
        <v>47033937.8544451</v>
      </c>
      <c r="X35" s="46"/>
      <c r="Y35" s="451" t="s">
        <v>218</v>
      </c>
    </row>
    <row r="36" spans="1:26" ht="15" x14ac:dyDescent="0.2">
      <c r="A36" s="108"/>
      <c r="B36" s="109"/>
      <c r="C36" s="110"/>
      <c r="D36" s="72"/>
      <c r="E36" s="72"/>
      <c r="F36" s="72"/>
      <c r="G36" s="72"/>
      <c r="H36" s="72"/>
      <c r="I36" s="72"/>
      <c r="J36" s="72"/>
      <c r="K36" s="72"/>
      <c r="L36" s="72"/>
      <c r="M36" s="72"/>
      <c r="N36" s="72"/>
      <c r="O36" s="72"/>
      <c r="P36" s="72"/>
      <c r="Q36" s="72"/>
      <c r="R36" s="72"/>
      <c r="S36" s="72"/>
      <c r="T36" s="72"/>
      <c r="U36" s="72"/>
      <c r="V36" s="72"/>
      <c r="W36" s="72"/>
    </row>
    <row r="37" spans="1:26" ht="15" x14ac:dyDescent="0.2">
      <c r="T37" s="59"/>
      <c r="W37" s="59"/>
    </row>
    <row r="38" spans="1:26" ht="15" x14ac:dyDescent="0.2">
      <c r="W38" s="59"/>
    </row>
    <row r="39" spans="1:26" ht="15.75" x14ac:dyDescent="0.25">
      <c r="B39" s="73" t="s">
        <v>219</v>
      </c>
      <c r="W39" s="60"/>
    </row>
    <row r="40" spans="1:26" ht="31.5" x14ac:dyDescent="0.2">
      <c r="A40" s="111"/>
      <c r="B40" s="24" t="s">
        <v>220</v>
      </c>
      <c r="C40" s="31" t="s">
        <v>159</v>
      </c>
      <c r="D40" s="61" t="str">
        <f t="shared" ref="D40:O40" si="18">+D$14</f>
        <v>2010-11 RF</v>
      </c>
      <c r="E40" s="61" t="str">
        <f t="shared" si="18"/>
        <v>2011-12 RF</v>
      </c>
      <c r="F40" s="61" t="str">
        <f t="shared" si="18"/>
        <v>2012-13 RF</v>
      </c>
      <c r="G40" s="61" t="str">
        <f t="shared" si="18"/>
        <v>2013-14 RF</v>
      </c>
      <c r="H40" s="61" t="str">
        <f t="shared" si="18"/>
        <v>2014-15 RF</v>
      </c>
      <c r="I40" s="61" t="str">
        <f t="shared" si="18"/>
        <v>2015-16 RF</v>
      </c>
      <c r="J40" s="61" t="str">
        <f t="shared" si="18"/>
        <v>2016-17 RF</v>
      </c>
      <c r="K40" s="61" t="str">
        <f t="shared" si="18"/>
        <v>2017-18 RF</v>
      </c>
      <c r="L40" s="61" t="str">
        <f t="shared" si="18"/>
        <v>2018-19 RF</v>
      </c>
      <c r="M40" s="61" t="str">
        <f t="shared" si="18"/>
        <v>2019-20 month</v>
      </c>
      <c r="N40" s="61" t="str">
        <f t="shared" si="18"/>
        <v>2019-20 RF</v>
      </c>
      <c r="O40" s="61" t="str">
        <f t="shared" si="18"/>
        <v>2020-21 month</v>
      </c>
      <c r="P40" s="61" t="s">
        <v>18</v>
      </c>
      <c r="Q40" s="61" t="s">
        <v>162</v>
      </c>
      <c r="R40" s="61" t="s">
        <v>20</v>
      </c>
      <c r="S40" s="61" t="s">
        <v>163</v>
      </c>
      <c r="T40" s="61" t="s">
        <v>22</v>
      </c>
      <c r="U40" s="61" t="s">
        <v>23</v>
      </c>
      <c r="V40" s="61" t="s">
        <v>24</v>
      </c>
      <c r="W40" s="61" t="s">
        <v>25</v>
      </c>
      <c r="X40" s="104"/>
      <c r="Y40" s="449" t="s">
        <v>166</v>
      </c>
      <c r="Z40" s="46"/>
    </row>
    <row r="41" spans="1:26" ht="15.75" x14ac:dyDescent="0.2">
      <c r="A41" s="62" t="s">
        <v>221</v>
      </c>
      <c r="B41" s="74" t="s">
        <v>222</v>
      </c>
      <c r="C41" s="75" t="s">
        <v>223</v>
      </c>
      <c r="D41" s="76">
        <v>24871.955988776201</v>
      </c>
      <c r="E41" s="76">
        <v>16761.737704918</v>
      </c>
      <c r="F41" s="76">
        <v>17954.158904109601</v>
      </c>
      <c r="G41" s="76">
        <v>17147.8657534247</v>
      </c>
      <c r="H41" s="76">
        <v>16276.8301369863</v>
      </c>
      <c r="I41" s="76">
        <v>16090.2595628416</v>
      </c>
      <c r="J41" s="76">
        <v>16074.9917808219</v>
      </c>
      <c r="K41" s="76">
        <v>21545.473972602798</v>
      </c>
      <c r="L41" s="76">
        <f>+P2a!D23+P2a!D24+P2a!D25</f>
        <v>20531.496803652983</v>
      </c>
      <c r="M41" s="76">
        <f>+P2a!E23+P2a!E24+P2a!E25</f>
        <v>20342.763205828851</v>
      </c>
      <c r="N41" s="76">
        <f>+P2a!F23+P2a!F24+P2a!F25</f>
        <v>20032.567395264079</v>
      </c>
      <c r="O41" s="76">
        <v>20582.213698629999</v>
      </c>
      <c r="P41" s="76">
        <v>20247.23</v>
      </c>
      <c r="Q41" s="76">
        <v>21380.71</v>
      </c>
      <c r="R41" s="76">
        <v>21076.4164383561</v>
      </c>
      <c r="S41" s="76">
        <v>24541.709589040998</v>
      </c>
      <c r="T41" s="76">
        <v>23966.6493150684</v>
      </c>
      <c r="U41" s="76">
        <v>27207.4972677595</v>
      </c>
      <c r="V41" s="76">
        <v>25304.6420765027</v>
      </c>
      <c r="W41" s="76">
        <v>26487.671232876601</v>
      </c>
      <c r="X41" s="46"/>
      <c r="Y41" s="452" t="s">
        <v>224</v>
      </c>
      <c r="Z41" s="112"/>
    </row>
    <row r="42" spans="1:26" ht="15" x14ac:dyDescent="0.2">
      <c r="A42" s="62" t="s">
        <v>225</v>
      </c>
      <c r="B42" s="77" t="s">
        <v>226</v>
      </c>
      <c r="C42" s="75" t="s">
        <v>223</v>
      </c>
      <c r="D42" s="76">
        <v>317.48861438355999</v>
      </c>
      <c r="E42" s="76">
        <v>336.66393442623001</v>
      </c>
      <c r="F42" s="76">
        <v>319.64931506849302</v>
      </c>
      <c r="G42" s="76">
        <v>245.961643835616</v>
      </c>
      <c r="H42" s="76">
        <v>201.07397260274001</v>
      </c>
      <c r="I42" s="76">
        <v>198.101092896175</v>
      </c>
      <c r="J42" s="76">
        <v>197.83835616438401</v>
      </c>
      <c r="K42" s="76">
        <v>204.27671232876699</v>
      </c>
      <c r="L42" s="76">
        <f>+P2a!D26+P2a!D27+P2a!D28</f>
        <v>186.2045662100457</v>
      </c>
      <c r="M42" s="76">
        <f>+P2a!E26+P2a!E27+P2a!E28</f>
        <v>174.30418943533698</v>
      </c>
      <c r="N42" s="76">
        <f>+P2a!F26+P2a!F27+P2a!F28</f>
        <v>171.07377049180332</v>
      </c>
      <c r="O42" s="78" t="s">
        <v>62</v>
      </c>
      <c r="P42" s="78" t="s">
        <v>62</v>
      </c>
      <c r="Q42" s="78" t="s">
        <v>62</v>
      </c>
      <c r="R42" s="78" t="s">
        <v>62</v>
      </c>
      <c r="S42" s="78" t="s">
        <v>62</v>
      </c>
      <c r="T42" s="78" t="s">
        <v>62</v>
      </c>
      <c r="U42" s="78" t="s">
        <v>62</v>
      </c>
      <c r="V42" s="78" t="s">
        <v>87</v>
      </c>
      <c r="W42" s="78" t="s">
        <v>87</v>
      </c>
      <c r="X42" s="46"/>
      <c r="Y42" s="453" t="s">
        <v>227</v>
      </c>
    </row>
    <row r="43" spans="1:26" ht="15" x14ac:dyDescent="0.2">
      <c r="A43" s="62" t="s">
        <v>228</v>
      </c>
      <c r="B43" s="77" t="s">
        <v>229</v>
      </c>
      <c r="C43" s="75" t="s">
        <v>223</v>
      </c>
      <c r="D43" s="76">
        <v>56.343302328767102</v>
      </c>
      <c r="E43" s="76">
        <v>66.625683060109296</v>
      </c>
      <c r="F43" s="76">
        <v>52.761643835616397</v>
      </c>
      <c r="G43" s="76">
        <v>29.0027397260274</v>
      </c>
      <c r="H43" s="76">
        <v>15.550684931506799</v>
      </c>
      <c r="I43" s="76">
        <v>18.210382513661202</v>
      </c>
      <c r="J43" s="76">
        <v>20.0082191780822</v>
      </c>
      <c r="K43" s="76">
        <v>15.076712328767099</v>
      </c>
      <c r="L43" s="76">
        <f>+P2a!D29+P2a!D30+P2a!D31</f>
        <v>19.602739726027401</v>
      </c>
      <c r="M43" s="76">
        <f>+P2a!E29+P2a!E30+P2a!E31</f>
        <v>21.067395264116538</v>
      </c>
      <c r="N43" s="76">
        <f>+P2a!F29+P2a!F30+P2a!F31</f>
        <v>21.173952641165791</v>
      </c>
      <c r="O43" s="78" t="s">
        <v>62</v>
      </c>
      <c r="P43" s="78" t="s">
        <v>62</v>
      </c>
      <c r="Q43" s="78" t="s">
        <v>62</v>
      </c>
      <c r="R43" s="78" t="s">
        <v>62</v>
      </c>
      <c r="S43" s="78" t="s">
        <v>62</v>
      </c>
      <c r="T43" s="78" t="s">
        <v>62</v>
      </c>
      <c r="U43" s="78" t="s">
        <v>62</v>
      </c>
      <c r="V43" s="78" t="s">
        <v>87</v>
      </c>
      <c r="W43" s="78" t="s">
        <v>87</v>
      </c>
      <c r="X43" s="46"/>
      <c r="Y43" s="453" t="s">
        <v>230</v>
      </c>
    </row>
    <row r="44" spans="1:26" ht="15" x14ac:dyDescent="0.2">
      <c r="A44" s="62" t="s">
        <v>231</v>
      </c>
      <c r="B44" s="77" t="s">
        <v>232</v>
      </c>
      <c r="C44" s="75" t="s">
        <v>223</v>
      </c>
      <c r="D44" s="76">
        <v>41.495830410958902</v>
      </c>
      <c r="E44" s="76">
        <v>56.7950819672131</v>
      </c>
      <c r="F44" s="76">
        <v>45.150684931506902</v>
      </c>
      <c r="G44" s="76">
        <v>30.890410958904098</v>
      </c>
      <c r="H44" s="76">
        <v>21.205479452054799</v>
      </c>
      <c r="I44" s="76">
        <v>16.8224043715847</v>
      </c>
      <c r="J44" s="76">
        <v>12.2246575342466</v>
      </c>
      <c r="K44" s="76">
        <v>10.558904109588999</v>
      </c>
      <c r="L44" s="76">
        <f>+P2a!D32+P2a!D33+P2a!D34</f>
        <v>10.942465753424653</v>
      </c>
      <c r="M44" s="76">
        <f>+P2a!E32+P2a!E33+P2a!E34</f>
        <v>9.3597449908925405</v>
      </c>
      <c r="N44" s="76">
        <f>+P2a!F32+P2a!F33+P2a!F34</f>
        <v>11.1111111111111</v>
      </c>
      <c r="O44" s="78" t="s">
        <v>62</v>
      </c>
      <c r="P44" s="78" t="s">
        <v>62</v>
      </c>
      <c r="Q44" s="78" t="s">
        <v>62</v>
      </c>
      <c r="R44" s="78" t="s">
        <v>62</v>
      </c>
      <c r="S44" s="78" t="s">
        <v>62</v>
      </c>
      <c r="T44" s="78" t="s">
        <v>62</v>
      </c>
      <c r="U44" s="78" t="s">
        <v>62</v>
      </c>
      <c r="V44" s="78" t="s">
        <v>87</v>
      </c>
      <c r="W44" s="78" t="s">
        <v>87</v>
      </c>
      <c r="X44" s="46"/>
      <c r="Y44" s="453" t="s">
        <v>233</v>
      </c>
    </row>
    <row r="45" spans="1:26" ht="15" x14ac:dyDescent="0.2">
      <c r="A45" s="62" t="s">
        <v>234</v>
      </c>
      <c r="B45" s="77" t="s">
        <v>235</v>
      </c>
      <c r="C45" s="75" t="s">
        <v>223</v>
      </c>
      <c r="D45" s="76">
        <v>1.7634669863013701</v>
      </c>
      <c r="E45" s="76">
        <v>0.86065573770491799</v>
      </c>
      <c r="F45" s="76">
        <v>0</v>
      </c>
      <c r="G45" s="76">
        <v>0</v>
      </c>
      <c r="H45" s="76">
        <v>0</v>
      </c>
      <c r="I45" s="76">
        <v>0</v>
      </c>
      <c r="J45" s="76">
        <v>0.43013698630136998</v>
      </c>
      <c r="K45" s="76">
        <v>0.147945205479452</v>
      </c>
      <c r="L45" s="76">
        <f>+P2a!D35+P2a!D36+P2a!D37</f>
        <v>0</v>
      </c>
      <c r="M45" s="76">
        <f>+P2a!E35+P2a!E36+P2a!E37</f>
        <v>0</v>
      </c>
      <c r="N45" s="76">
        <f>+P2a!F35+P2a!F36+P2a!F37</f>
        <v>0</v>
      </c>
      <c r="O45" s="78" t="s">
        <v>62</v>
      </c>
      <c r="P45" s="78" t="s">
        <v>62</v>
      </c>
      <c r="Q45" s="78" t="s">
        <v>62</v>
      </c>
      <c r="R45" s="78" t="s">
        <v>62</v>
      </c>
      <c r="S45" s="78" t="s">
        <v>62</v>
      </c>
      <c r="T45" s="78" t="s">
        <v>62</v>
      </c>
      <c r="U45" s="78" t="s">
        <v>62</v>
      </c>
      <c r="V45" s="78" t="s">
        <v>87</v>
      </c>
      <c r="W45" s="78" t="s">
        <v>87</v>
      </c>
      <c r="X45" s="46"/>
      <c r="Y45" s="453" t="s">
        <v>236</v>
      </c>
    </row>
    <row r="46" spans="1:26" ht="15" x14ac:dyDescent="0.2">
      <c r="A46" s="62" t="s">
        <v>237</v>
      </c>
      <c r="B46" s="77" t="s">
        <v>238</v>
      </c>
      <c r="C46" s="63" t="s">
        <v>190</v>
      </c>
      <c r="D46" s="64">
        <f t="shared" ref="D46:W46" si="19">SUM(D41:D45)</f>
        <v>25289.047202885791</v>
      </c>
      <c r="E46" s="64">
        <f t="shared" si="19"/>
        <v>17222.683060109255</v>
      </c>
      <c r="F46" s="64">
        <f t="shared" si="19"/>
        <v>18371.72054794522</v>
      </c>
      <c r="G46" s="64">
        <f t="shared" si="19"/>
        <v>17453.72054794525</v>
      </c>
      <c r="H46" s="64">
        <f t="shared" si="19"/>
        <v>16514.6602739726</v>
      </c>
      <c r="I46" s="64">
        <f t="shared" si="19"/>
        <v>16323.393442623023</v>
      </c>
      <c r="J46" s="64">
        <f t="shared" si="19"/>
        <v>16305.493150684913</v>
      </c>
      <c r="K46" s="64">
        <f t="shared" si="19"/>
        <v>21775.5342465754</v>
      </c>
      <c r="L46" s="64">
        <f t="shared" si="19"/>
        <v>20748.24657534248</v>
      </c>
      <c r="M46" s="64">
        <f t="shared" si="19"/>
        <v>20547.494535519196</v>
      </c>
      <c r="N46" s="64">
        <f t="shared" si="19"/>
        <v>20235.926229508157</v>
      </c>
      <c r="O46" s="64">
        <f t="shared" si="19"/>
        <v>20582.213698629999</v>
      </c>
      <c r="P46" s="64">
        <f t="shared" si="19"/>
        <v>20247.23</v>
      </c>
      <c r="Q46" s="64">
        <f t="shared" si="19"/>
        <v>21380.71</v>
      </c>
      <c r="R46" s="64">
        <f t="shared" si="19"/>
        <v>21076.4164383561</v>
      </c>
      <c r="S46" s="64">
        <f t="shared" si="19"/>
        <v>24541.709589040998</v>
      </c>
      <c r="T46" s="64">
        <f t="shared" si="19"/>
        <v>23966.6493150684</v>
      </c>
      <c r="U46" s="64">
        <f t="shared" si="19"/>
        <v>27207.4972677595</v>
      </c>
      <c r="V46" s="64">
        <f t="shared" si="19"/>
        <v>25304.6420765027</v>
      </c>
      <c r="W46" s="64">
        <f t="shared" si="19"/>
        <v>26487.671232876601</v>
      </c>
      <c r="X46" s="46"/>
      <c r="Y46" s="453" t="s">
        <v>239</v>
      </c>
    </row>
    <row r="47" spans="1:26" ht="15" x14ac:dyDescent="0.2">
      <c r="A47" s="105"/>
      <c r="B47" s="113"/>
      <c r="C47" s="107"/>
      <c r="D47" s="66"/>
      <c r="E47" s="66"/>
      <c r="F47" s="66"/>
      <c r="G47" s="66"/>
      <c r="H47" s="66"/>
      <c r="I47" s="66"/>
      <c r="J47" s="66"/>
      <c r="K47" s="66"/>
      <c r="L47" s="66"/>
      <c r="M47" s="66"/>
      <c r="N47" s="66"/>
      <c r="O47" s="66"/>
      <c r="P47" s="66"/>
      <c r="Q47" s="66"/>
      <c r="R47" s="66"/>
      <c r="S47" s="66"/>
      <c r="T47" s="66"/>
      <c r="U47" s="66"/>
      <c r="V47" s="66"/>
      <c r="W47" s="66"/>
    </row>
    <row r="48" spans="1:26" ht="15" x14ac:dyDescent="0.2">
      <c r="A48" s="62" t="s">
        <v>240</v>
      </c>
      <c r="B48" s="77" t="s">
        <v>241</v>
      </c>
      <c r="C48" s="75" t="s">
        <v>223</v>
      </c>
      <c r="D48" s="76">
        <v>1</v>
      </c>
      <c r="E48" s="76">
        <v>1.27049180327869</v>
      </c>
      <c r="F48" s="76">
        <v>1.9835616438356201</v>
      </c>
      <c r="G48" s="76">
        <v>1.38630136986301</v>
      </c>
      <c r="H48" s="76">
        <v>44.079452054794501</v>
      </c>
      <c r="I48" s="76">
        <v>590.33333333333201</v>
      </c>
      <c r="J48" s="76">
        <v>1305.9506849315101</v>
      </c>
      <c r="K48" s="76">
        <v>1684.2739726027401</v>
      </c>
      <c r="L48" s="76">
        <v>2390.8273972604002</v>
      </c>
      <c r="M48" s="76">
        <v>2348.59289617486</v>
      </c>
      <c r="N48" s="76">
        <f>2669.77868852447-N50</f>
        <v>2312.2431693987901</v>
      </c>
      <c r="O48" s="76">
        <v>2540.5315068493201</v>
      </c>
      <c r="P48" s="76">
        <v>2456</v>
      </c>
      <c r="Q48" s="76">
        <v>3351</v>
      </c>
      <c r="R48" s="76">
        <v>3299.3013698630102</v>
      </c>
      <c r="S48" s="76">
        <v>6203.0082191780803</v>
      </c>
      <c r="T48" s="76">
        <v>5664.6301369863004</v>
      </c>
      <c r="U48" s="76">
        <v>7919.7076502732198</v>
      </c>
      <c r="V48" s="76">
        <v>7214.98360655737</v>
      </c>
      <c r="W48" s="76">
        <v>8185.6575342465803</v>
      </c>
      <c r="X48" s="46"/>
      <c r="Y48" s="453" t="s">
        <v>242</v>
      </c>
    </row>
    <row r="49" spans="1:25" ht="15" x14ac:dyDescent="0.2">
      <c r="A49" s="62" t="s">
        <v>243</v>
      </c>
      <c r="B49" s="77" t="s">
        <v>244</v>
      </c>
      <c r="C49" s="75" t="s">
        <v>223</v>
      </c>
      <c r="D49" s="76">
        <v>15576.569863013699</v>
      </c>
      <c r="E49" s="76">
        <v>17434.860655737801</v>
      </c>
      <c r="F49" s="76">
        <v>14130.9945205483</v>
      </c>
      <c r="G49" s="76">
        <v>8097.4520547944303</v>
      </c>
      <c r="H49" s="76">
        <v>6733.2904109588999</v>
      </c>
      <c r="I49" s="76">
        <v>6240.8169398907203</v>
      </c>
      <c r="J49" s="76">
        <v>5614.2520547945096</v>
      </c>
      <c r="K49" s="76">
        <v>4059.9068493150598</v>
      </c>
      <c r="L49" s="76">
        <v>3928.9698630141302</v>
      </c>
      <c r="M49" s="76">
        <f>3769.47267759563-M50</f>
        <v>3405.948087431696</v>
      </c>
      <c r="N49" s="76">
        <f>3633.9344262298-N50</f>
        <v>3276.3989071041201</v>
      </c>
      <c r="O49" s="76">
        <f>3905.58904109589-O50</f>
        <v>3512.7260273972602</v>
      </c>
      <c r="P49" s="76">
        <v>3562</v>
      </c>
      <c r="Q49" s="76">
        <v>3447</v>
      </c>
      <c r="R49" s="76">
        <v>3491.6383561643802</v>
      </c>
      <c r="S49" s="76">
        <v>3367.5178082191701</v>
      </c>
      <c r="T49" s="76">
        <v>3411.8876712328702</v>
      </c>
      <c r="U49" s="76">
        <v>3491.1748633879802</v>
      </c>
      <c r="V49" s="76">
        <v>3206.6748633879702</v>
      </c>
      <c r="W49" s="76">
        <v>3144.0054794521002</v>
      </c>
      <c r="X49" s="46"/>
      <c r="Y49" s="453" t="s">
        <v>245</v>
      </c>
    </row>
    <row r="50" spans="1:25" ht="15" x14ac:dyDescent="0.2">
      <c r="A50" s="62" t="s">
        <v>246</v>
      </c>
      <c r="B50" s="77" t="s">
        <v>247</v>
      </c>
      <c r="C50" s="75" t="s">
        <v>223</v>
      </c>
      <c r="D50" s="76">
        <v>0</v>
      </c>
      <c r="E50" s="76">
        <v>0</v>
      </c>
      <c r="F50" s="76">
        <v>0</v>
      </c>
      <c r="G50" s="76">
        <v>2.7397260273972599E-3</v>
      </c>
      <c r="H50" s="76">
        <v>11.4082191780822</v>
      </c>
      <c r="I50" s="76">
        <v>154.199453551913</v>
      </c>
      <c r="J50" s="76">
        <v>356.58630136986301</v>
      </c>
      <c r="K50" s="76">
        <v>431.005479452055</v>
      </c>
      <c r="L50" s="76">
        <v>435.484931506843</v>
      </c>
      <c r="M50" s="76">
        <v>363.52459016393402</v>
      </c>
      <c r="N50" s="76">
        <v>357.53551912568003</v>
      </c>
      <c r="O50" s="76">
        <v>392.86301369863003</v>
      </c>
      <c r="P50" s="76">
        <v>434</v>
      </c>
      <c r="Q50" s="76">
        <v>429</v>
      </c>
      <c r="R50" s="76">
        <v>422.57534246575301</v>
      </c>
      <c r="S50" s="76">
        <v>442.79178082191697</v>
      </c>
      <c r="T50" s="76">
        <v>713.74520547945099</v>
      </c>
      <c r="U50" s="76">
        <v>984.26229508196502</v>
      </c>
      <c r="V50" s="76">
        <v>955.91530054644704</v>
      </c>
      <c r="W50" s="76">
        <v>1077.5698630136901</v>
      </c>
      <c r="X50" s="46"/>
      <c r="Y50" s="453" t="s">
        <v>248</v>
      </c>
    </row>
    <row r="51" spans="1:25" ht="15" x14ac:dyDescent="0.2">
      <c r="A51" s="62" t="s">
        <v>249</v>
      </c>
      <c r="B51" s="77" t="s">
        <v>250</v>
      </c>
      <c r="C51" s="75" t="s">
        <v>223</v>
      </c>
      <c r="D51" s="76">
        <v>95.36</v>
      </c>
      <c r="E51" s="76">
        <v>204.9</v>
      </c>
      <c r="F51" s="76">
        <v>494.3</v>
      </c>
      <c r="G51" s="76">
        <v>603</v>
      </c>
      <c r="H51" s="76">
        <v>17989.53</v>
      </c>
      <c r="I51" s="76">
        <v>219537.53</v>
      </c>
      <c r="J51" s="76">
        <v>516316.53</v>
      </c>
      <c r="K51" s="76">
        <v>554562.57999999996</v>
      </c>
      <c r="L51" s="76">
        <v>486636.73999999801</v>
      </c>
      <c r="M51" s="76">
        <v>440264.52</v>
      </c>
      <c r="N51" s="76">
        <v>428411.79630000098</v>
      </c>
      <c r="O51" s="76">
        <v>393693.5232</v>
      </c>
      <c r="P51" s="76">
        <v>377876</v>
      </c>
      <c r="Q51" s="76">
        <v>438728</v>
      </c>
      <c r="R51" s="76">
        <v>435402.98190000001</v>
      </c>
      <c r="S51" s="76">
        <v>713023.52740000002</v>
      </c>
      <c r="T51" s="76">
        <v>669310.39329999802</v>
      </c>
      <c r="U51" s="76">
        <v>1035919.7084999901</v>
      </c>
      <c r="V51" s="76">
        <v>957985.14619999903</v>
      </c>
      <c r="W51" s="76">
        <v>1012108.38309999</v>
      </c>
      <c r="X51" s="46"/>
      <c r="Y51" s="453" t="s">
        <v>250</v>
      </c>
    </row>
    <row r="52" spans="1:25" ht="15" x14ac:dyDescent="0.2">
      <c r="A52" s="62" t="s">
        <v>251</v>
      </c>
      <c r="B52" s="77" t="s">
        <v>252</v>
      </c>
      <c r="C52" s="75" t="s">
        <v>223</v>
      </c>
      <c r="D52" s="76">
        <v>0</v>
      </c>
      <c r="E52" s="76">
        <v>0</v>
      </c>
      <c r="F52" s="76">
        <v>0</v>
      </c>
      <c r="G52" s="76">
        <v>0</v>
      </c>
      <c r="H52" s="76">
        <v>0</v>
      </c>
      <c r="I52" s="76">
        <v>0</v>
      </c>
      <c r="J52" s="76">
        <v>0</v>
      </c>
      <c r="K52" s="76">
        <v>0</v>
      </c>
      <c r="L52" s="76">
        <v>0</v>
      </c>
      <c r="M52" s="76">
        <v>0</v>
      </c>
      <c r="N52" s="76">
        <v>0</v>
      </c>
      <c r="O52" s="76">
        <v>0</v>
      </c>
      <c r="P52" s="76">
        <v>0</v>
      </c>
      <c r="Q52" s="76">
        <v>0</v>
      </c>
      <c r="R52" s="76">
        <v>0</v>
      </c>
      <c r="S52" s="76">
        <v>0</v>
      </c>
      <c r="T52" s="76">
        <v>0</v>
      </c>
      <c r="U52" s="76">
        <v>0</v>
      </c>
      <c r="V52" s="76">
        <v>0</v>
      </c>
      <c r="W52" s="76">
        <v>0</v>
      </c>
      <c r="X52" s="46"/>
      <c r="Y52" s="453" t="s">
        <v>252</v>
      </c>
    </row>
    <row r="53" spans="1:25" ht="15" x14ac:dyDescent="0.2">
      <c r="A53" s="62" t="s">
        <v>253</v>
      </c>
      <c r="B53" s="77" t="s">
        <v>254</v>
      </c>
      <c r="C53" s="75" t="s">
        <v>223</v>
      </c>
      <c r="D53" s="79">
        <f t="shared" ref="D53:O53" si="20">+D51/D48</f>
        <v>95.36</v>
      </c>
      <c r="E53" s="79">
        <f t="shared" si="20"/>
        <v>161.27612903225787</v>
      </c>
      <c r="F53" s="79">
        <f t="shared" si="20"/>
        <v>249.19820441988907</v>
      </c>
      <c r="G53" s="79">
        <f t="shared" si="20"/>
        <v>434.97035573122645</v>
      </c>
      <c r="H53" s="79">
        <f t="shared" si="20"/>
        <v>408.1160078314378</v>
      </c>
      <c r="I53" s="79">
        <f t="shared" si="20"/>
        <v>371.88740259740342</v>
      </c>
      <c r="J53" s="79">
        <f t="shared" si="20"/>
        <v>395.35683541302939</v>
      </c>
      <c r="K53" s="79">
        <f t="shared" si="20"/>
        <v>329.25912827770179</v>
      </c>
      <c r="L53" s="79">
        <f t="shared" si="20"/>
        <v>203.54323384349075</v>
      </c>
      <c r="M53" s="79">
        <f t="shared" si="20"/>
        <v>187.45884853737587</v>
      </c>
      <c r="N53" s="79">
        <f t="shared" si="20"/>
        <v>185.27973267249092</v>
      </c>
      <c r="O53" s="79">
        <f t="shared" si="20"/>
        <v>154.96502292476788</v>
      </c>
      <c r="P53" s="79">
        <v>153.85830618892501</v>
      </c>
      <c r="Q53" s="79">
        <v>130.924500149209</v>
      </c>
      <c r="R53" s="79">
        <v>131.96823602630701</v>
      </c>
      <c r="S53" s="79">
        <v>114.94802234753099</v>
      </c>
      <c r="T53" s="79">
        <v>118.15606264032</v>
      </c>
      <c r="U53" s="79">
        <v>130.802771294753</v>
      </c>
      <c r="V53" s="79">
        <v>132.77717572765201</v>
      </c>
      <c r="W53" s="79">
        <v>123.644115193631</v>
      </c>
      <c r="X53" s="46"/>
      <c r="Y53" s="453" t="s">
        <v>254</v>
      </c>
    </row>
    <row r="54" spans="1:25" ht="15" x14ac:dyDescent="0.2">
      <c r="A54" s="105"/>
      <c r="B54" s="106"/>
      <c r="C54" s="110"/>
      <c r="D54" s="72"/>
      <c r="E54" s="72"/>
      <c r="F54" s="72"/>
      <c r="G54" s="72"/>
      <c r="H54" s="72"/>
      <c r="I54" s="72"/>
      <c r="J54" s="72"/>
      <c r="K54" s="72"/>
      <c r="L54" s="72"/>
      <c r="M54" s="72"/>
      <c r="N54" s="72"/>
      <c r="O54" s="72"/>
      <c r="P54" s="72"/>
      <c r="Q54" s="72"/>
      <c r="R54" s="72"/>
      <c r="S54" s="72"/>
      <c r="T54" s="72"/>
      <c r="U54" s="72"/>
      <c r="V54" s="72"/>
      <c r="W54" s="72"/>
    </row>
    <row r="55" spans="1:25" ht="15.75" x14ac:dyDescent="0.25">
      <c r="A55" s="9"/>
      <c r="B55" s="80" t="s">
        <v>255</v>
      </c>
      <c r="C55" s="114"/>
      <c r="W55" s="81"/>
      <c r="X55" s="46"/>
    </row>
    <row r="56" spans="1:25" ht="15" x14ac:dyDescent="0.2">
      <c r="A56" s="62" t="s">
        <v>256</v>
      </c>
      <c r="B56" s="77" t="s">
        <v>222</v>
      </c>
      <c r="C56" s="75" t="s">
        <v>223</v>
      </c>
      <c r="D56" s="82">
        <v>1335051.5845963999</v>
      </c>
      <c r="E56" s="82">
        <v>900593.33469945297</v>
      </c>
      <c r="F56" s="82">
        <v>932585.64219177596</v>
      </c>
      <c r="G56" s="82">
        <v>907948.63438356295</v>
      </c>
      <c r="H56" s="82">
        <v>854057.73191781098</v>
      </c>
      <c r="I56" s="82">
        <v>846475.05174863199</v>
      </c>
      <c r="J56" s="82">
        <v>851983.77890411101</v>
      </c>
      <c r="K56" s="82">
        <v>880812.87383561803</v>
      </c>
      <c r="L56" s="82">
        <f>+P2a!D41+P2a!D42+P2a!D43</f>
        <v>873424.7766210062</v>
      </c>
      <c r="M56" s="82">
        <f>+P2a!E41+P2a!E42+P2a!E43</f>
        <v>870277.21612331225</v>
      </c>
      <c r="N56" s="82">
        <f>+P2a!F41+P2a!F42+P2a!F43</f>
        <v>863872.85204189259</v>
      </c>
      <c r="O56" s="82">
        <v>1069453.4304362701</v>
      </c>
      <c r="P56" s="82">
        <v>866902</v>
      </c>
      <c r="Q56" s="82">
        <v>897579</v>
      </c>
      <c r="R56" s="82">
        <v>881099.29290684604</v>
      </c>
      <c r="S56" s="82">
        <v>990337.29467123398</v>
      </c>
      <c r="T56" s="82">
        <v>958584.61287122394</v>
      </c>
      <c r="U56" s="82">
        <v>1166082.83896174</v>
      </c>
      <c r="V56" s="82">
        <v>1085391.3280448101</v>
      </c>
      <c r="W56" s="82">
        <v>1124264.6468835699</v>
      </c>
      <c r="X56" s="46"/>
      <c r="Y56" s="453" t="s">
        <v>257</v>
      </c>
    </row>
    <row r="57" spans="1:25" ht="15" x14ac:dyDescent="0.2">
      <c r="A57" s="62" t="s">
        <v>258</v>
      </c>
      <c r="B57" s="77" t="s">
        <v>259</v>
      </c>
      <c r="C57" s="75" t="s">
        <v>223</v>
      </c>
      <c r="D57" s="82">
        <v>322396.59366299602</v>
      </c>
      <c r="E57" s="82">
        <v>372373.51612021797</v>
      </c>
      <c r="F57" s="82">
        <v>315599.50232876698</v>
      </c>
      <c r="G57" s="82">
        <v>223092.493150683</v>
      </c>
      <c r="H57" s="82">
        <v>164344.76712328801</v>
      </c>
      <c r="I57" s="82">
        <v>154654.26229508201</v>
      </c>
      <c r="J57" s="82">
        <v>148105.04109588999</v>
      </c>
      <c r="K57" s="82">
        <v>140120.712328767</v>
      </c>
      <c r="L57" s="82">
        <f>+P2a!D56-L56</f>
        <v>135726.19178082189</v>
      </c>
      <c r="M57" s="82">
        <f>+P2a!E56-M56</f>
        <v>27912.112932604738</v>
      </c>
      <c r="N57" s="82">
        <f>+P2a!F56-N56</f>
        <v>130421.43897996354</v>
      </c>
      <c r="O57" s="78" t="s">
        <v>62</v>
      </c>
      <c r="P57" s="78" t="s">
        <v>62</v>
      </c>
      <c r="Q57" s="78" t="s">
        <v>62</v>
      </c>
      <c r="R57" s="78" t="s">
        <v>62</v>
      </c>
      <c r="S57" s="78" t="s">
        <v>62</v>
      </c>
      <c r="T57" s="78" t="s">
        <v>62</v>
      </c>
      <c r="U57" s="78" t="s">
        <v>62</v>
      </c>
      <c r="V57" s="78" t="s">
        <v>87</v>
      </c>
      <c r="W57" s="78" t="s">
        <v>87</v>
      </c>
      <c r="X57" s="46"/>
      <c r="Y57" s="453" t="s">
        <v>260</v>
      </c>
    </row>
    <row r="58" spans="1:25" ht="15" x14ac:dyDescent="0.2">
      <c r="A58" s="62" t="s">
        <v>261</v>
      </c>
      <c r="B58" s="77" t="s">
        <v>238</v>
      </c>
      <c r="C58" s="63" t="s">
        <v>190</v>
      </c>
      <c r="D58" s="83">
        <f t="shared" ref="D58:W58" si="21">SUM(D56:D57)</f>
        <v>1657448.178259396</v>
      </c>
      <c r="E58" s="83">
        <f t="shared" si="21"/>
        <v>1272966.8508196711</v>
      </c>
      <c r="F58" s="83">
        <f t="shared" si="21"/>
        <v>1248185.1445205431</v>
      </c>
      <c r="G58" s="83">
        <f t="shared" si="21"/>
        <v>1131041.1275342461</v>
      </c>
      <c r="H58" s="83">
        <f t="shared" si="21"/>
        <v>1018402.499041099</v>
      </c>
      <c r="I58" s="83">
        <f t="shared" si="21"/>
        <v>1001129.314043714</v>
      </c>
      <c r="J58" s="83">
        <f t="shared" si="21"/>
        <v>1000088.820000001</v>
      </c>
      <c r="K58" s="83">
        <f t="shared" si="21"/>
        <v>1020933.5861643851</v>
      </c>
      <c r="L58" s="83">
        <f t="shared" si="21"/>
        <v>1009150.9684018281</v>
      </c>
      <c r="M58" s="83">
        <f t="shared" si="21"/>
        <v>898189.32905591698</v>
      </c>
      <c r="N58" s="83">
        <f t="shared" si="21"/>
        <v>994294.29102185613</v>
      </c>
      <c r="O58" s="83">
        <f t="shared" si="21"/>
        <v>1069453.4304362701</v>
      </c>
      <c r="P58" s="83">
        <f t="shared" si="21"/>
        <v>866902</v>
      </c>
      <c r="Q58" s="83">
        <f t="shared" si="21"/>
        <v>897579</v>
      </c>
      <c r="R58" s="83">
        <f t="shared" si="21"/>
        <v>881099.29290684604</v>
      </c>
      <c r="S58" s="83">
        <f t="shared" si="21"/>
        <v>990337.29467123398</v>
      </c>
      <c r="T58" s="83">
        <f t="shared" si="21"/>
        <v>958584.61287122394</v>
      </c>
      <c r="U58" s="83">
        <f t="shared" si="21"/>
        <v>1166082.83896174</v>
      </c>
      <c r="V58" s="83">
        <f t="shared" si="21"/>
        <v>1085391.3280448101</v>
      </c>
      <c r="W58" s="83">
        <f t="shared" si="21"/>
        <v>1124264.6468835699</v>
      </c>
      <c r="X58" s="46"/>
      <c r="Y58" s="453" t="s">
        <v>262</v>
      </c>
    </row>
    <row r="59" spans="1:25" ht="15" x14ac:dyDescent="0.2">
      <c r="A59" s="105"/>
      <c r="B59" s="113"/>
      <c r="C59" s="115"/>
      <c r="D59" s="72"/>
      <c r="E59" s="72"/>
      <c r="F59" s="72"/>
      <c r="G59" s="72"/>
      <c r="H59" s="72"/>
      <c r="I59" s="72"/>
      <c r="J59" s="72"/>
      <c r="K59" s="72"/>
      <c r="L59" s="72"/>
      <c r="M59" s="72"/>
      <c r="N59" s="72"/>
      <c r="O59" s="72"/>
      <c r="P59" s="72"/>
      <c r="Q59" s="72"/>
      <c r="R59" s="72"/>
      <c r="S59" s="72"/>
      <c r="T59" s="72"/>
      <c r="U59" s="72"/>
      <c r="V59" s="72"/>
      <c r="W59" s="72"/>
    </row>
    <row r="60" spans="1:25" ht="31.5" x14ac:dyDescent="0.25">
      <c r="A60" s="9"/>
      <c r="B60" s="80" t="s">
        <v>263</v>
      </c>
      <c r="C60" s="116"/>
      <c r="W60" s="60"/>
    </row>
    <row r="61" spans="1:25" ht="15" x14ac:dyDescent="0.2">
      <c r="A61" s="62" t="s">
        <v>264</v>
      </c>
      <c r="B61" s="77" t="s">
        <v>265</v>
      </c>
      <c r="C61" s="75" t="s">
        <v>223</v>
      </c>
      <c r="D61" s="82">
        <v>1335051.5845963999</v>
      </c>
      <c r="E61" s="82">
        <v>900593.33469945297</v>
      </c>
      <c r="F61" s="82">
        <v>932585.64219177596</v>
      </c>
      <c r="G61" s="82">
        <v>1027660.57547694</v>
      </c>
      <c r="H61" s="82">
        <v>854057.73191781098</v>
      </c>
      <c r="I61" s="82">
        <v>846475.05174863199</v>
      </c>
      <c r="J61" s="82">
        <v>851983.77890411101</v>
      </c>
      <c r="K61" s="82">
        <v>880812.87383561803</v>
      </c>
      <c r="L61" s="82">
        <f>+P2a!D59+P2a!D67+P2a!D75</f>
        <v>873424.7766210062</v>
      </c>
      <c r="M61" s="82">
        <f>+P2a!E59+P2a!E67+P2a!E75</f>
        <v>3256704.1672420511</v>
      </c>
      <c r="N61" s="82">
        <f>+P2a!F59+P2a!F67+P2a!F75</f>
        <v>863872.85204189259</v>
      </c>
      <c r="O61" s="82">
        <v>1069453.4304362701</v>
      </c>
      <c r="P61" s="82">
        <v>866902</v>
      </c>
      <c r="Q61" s="82">
        <v>897579</v>
      </c>
      <c r="R61" s="82">
        <v>881099.29290684604</v>
      </c>
      <c r="S61" s="82">
        <v>990337.29467123398</v>
      </c>
      <c r="T61" s="82">
        <v>958584.61287122394</v>
      </c>
      <c r="U61" s="82">
        <v>1166082.83896174</v>
      </c>
      <c r="V61" s="82">
        <v>1085391.3280448101</v>
      </c>
      <c r="W61" s="82">
        <v>1124264.6468835699</v>
      </c>
      <c r="X61" s="46"/>
      <c r="Y61" s="453" t="s">
        <v>266</v>
      </c>
    </row>
    <row r="62" spans="1:25" ht="15" x14ac:dyDescent="0.2">
      <c r="A62" s="62" t="s">
        <v>267</v>
      </c>
      <c r="B62" s="77" t="s">
        <v>268</v>
      </c>
      <c r="C62" s="75" t="s">
        <v>223</v>
      </c>
      <c r="D62" s="82">
        <v>4216883.1139809797</v>
      </c>
      <c r="E62" s="82">
        <v>3052830.5329508102</v>
      </c>
      <c r="F62" s="82">
        <v>3072131.7453424302</v>
      </c>
      <c r="G62" s="82">
        <v>3420829.2783607198</v>
      </c>
      <c r="H62" s="82">
        <v>2759696.8147945302</v>
      </c>
      <c r="I62" s="82">
        <v>2678457.75491803</v>
      </c>
      <c r="J62" s="82">
        <v>2677890.52630137</v>
      </c>
      <c r="K62" s="82">
        <v>2653455.6013698601</v>
      </c>
      <c r="L62" s="82">
        <f>+P2a!D60+P2a!D68+P2a!D76</f>
        <v>2563366.718949765</v>
      </c>
      <c r="M62" s="82">
        <f>+P2a!E60+P2a!E68+P2a!E76</f>
        <v>147274.25839617499</v>
      </c>
      <c r="N62" s="82">
        <f>+P2a!F60+P2a!F68+P2a!F76</f>
        <v>2514605.5878777867</v>
      </c>
      <c r="O62" s="82">
        <v>3557993.1918267501</v>
      </c>
      <c r="P62" s="82">
        <v>3336723.01134934</v>
      </c>
      <c r="Q62" s="82">
        <v>3306830.25</v>
      </c>
      <c r="R62" s="82">
        <v>3221003.1157520702</v>
      </c>
      <c r="S62" s="82">
        <v>3325632.51118625</v>
      </c>
      <c r="T62" s="82">
        <v>3260901.6562644099</v>
      </c>
      <c r="U62" s="82">
        <v>3590559.2723634099</v>
      </c>
      <c r="V62" s="82">
        <v>3402501.3464639098</v>
      </c>
      <c r="W62" s="82">
        <v>3447029.5635616202</v>
      </c>
      <c r="X62" s="46"/>
      <c r="Y62" s="453" t="s">
        <v>269</v>
      </c>
    </row>
    <row r="63" spans="1:25" ht="30" x14ac:dyDescent="0.2">
      <c r="A63" s="62" t="s">
        <v>270</v>
      </c>
      <c r="B63" s="77" t="s">
        <v>271</v>
      </c>
      <c r="C63" s="75" t="s">
        <v>223</v>
      </c>
      <c r="D63" s="82">
        <v>2478560.1334492099</v>
      </c>
      <c r="E63" s="82">
        <v>2863913.1628961801</v>
      </c>
      <c r="F63" s="82">
        <v>2321327.2871233602</v>
      </c>
      <c r="G63" s="82">
        <v>2346927.42965256</v>
      </c>
      <c r="H63" s="82">
        <v>1276692.79726027</v>
      </c>
      <c r="I63" s="82">
        <v>1210575.13240437</v>
      </c>
      <c r="J63" s="82">
        <v>1203714.28260274</v>
      </c>
      <c r="K63" s="82">
        <v>1086829.90452052</v>
      </c>
      <c r="L63" s="82">
        <f>+P2a!D61+P2a!D69+P2a!D77</f>
        <v>1029363.3812328764</v>
      </c>
      <c r="M63" s="82">
        <f>+P2a!E61+P2a!E69+P2a!E77</f>
        <v>985548.80537285993</v>
      </c>
      <c r="N63" s="82">
        <f>+P2a!F61+P2a!F69+P2a!F77</f>
        <v>1018280.627648451</v>
      </c>
      <c r="O63" s="78" t="s">
        <v>62</v>
      </c>
      <c r="P63" s="78" t="s">
        <v>62</v>
      </c>
      <c r="Q63" s="78" t="s">
        <v>62</v>
      </c>
      <c r="R63" s="78" t="s">
        <v>62</v>
      </c>
      <c r="S63" s="78" t="s">
        <v>62</v>
      </c>
      <c r="T63" s="78" t="s">
        <v>62</v>
      </c>
      <c r="U63" s="78" t="s">
        <v>62</v>
      </c>
      <c r="V63" s="78" t="s">
        <v>87</v>
      </c>
      <c r="W63" s="78" t="s">
        <v>87</v>
      </c>
      <c r="X63" s="46"/>
      <c r="Y63" s="453" t="s">
        <v>272</v>
      </c>
    </row>
    <row r="64" spans="1:25" ht="30" x14ac:dyDescent="0.2">
      <c r="A64" s="62" t="s">
        <v>273</v>
      </c>
      <c r="B64" s="77" t="s">
        <v>274</v>
      </c>
      <c r="C64" s="75" t="s">
        <v>223</v>
      </c>
      <c r="D64" s="82">
        <v>0</v>
      </c>
      <c r="E64" s="82">
        <v>0</v>
      </c>
      <c r="F64" s="82">
        <v>0</v>
      </c>
      <c r="G64" s="82">
        <v>0</v>
      </c>
      <c r="H64" s="82">
        <v>0</v>
      </c>
      <c r="I64" s="82">
        <v>0</v>
      </c>
      <c r="J64" s="82">
        <v>0</v>
      </c>
      <c r="K64" s="78"/>
      <c r="L64" s="82">
        <f>+P2a!D62+P2a!D70+P2a!D78</f>
        <v>0</v>
      </c>
      <c r="M64" s="82">
        <f>+P2a!E62+P2a!E70+P2a!E78</f>
        <v>0</v>
      </c>
      <c r="N64" s="82">
        <f>+P2a!F62+P2a!F70+P2a!F78</f>
        <v>0</v>
      </c>
      <c r="O64" s="78" t="s">
        <v>62</v>
      </c>
      <c r="P64" s="78" t="s">
        <v>62</v>
      </c>
      <c r="Q64" s="78" t="s">
        <v>62</v>
      </c>
      <c r="R64" s="78" t="s">
        <v>62</v>
      </c>
      <c r="S64" s="78" t="s">
        <v>62</v>
      </c>
      <c r="T64" s="78" t="s">
        <v>62</v>
      </c>
      <c r="U64" s="78" t="s">
        <v>62</v>
      </c>
      <c r="V64" s="78" t="s">
        <v>87</v>
      </c>
      <c r="W64" s="78" t="s">
        <v>87</v>
      </c>
      <c r="X64" s="46"/>
      <c r="Y64" s="453" t="s">
        <v>275</v>
      </c>
    </row>
    <row r="65" spans="1:25" ht="15" x14ac:dyDescent="0.2">
      <c r="A65" s="62" t="s">
        <v>276</v>
      </c>
      <c r="B65" s="77" t="s">
        <v>277</v>
      </c>
      <c r="C65" s="75" t="s">
        <v>223</v>
      </c>
      <c r="D65" s="82">
        <v>0</v>
      </c>
      <c r="E65" s="82">
        <v>0</v>
      </c>
      <c r="F65" s="82">
        <v>0</v>
      </c>
      <c r="G65" s="82">
        <v>0</v>
      </c>
      <c r="H65" s="82">
        <v>0</v>
      </c>
      <c r="I65" s="82">
        <v>0</v>
      </c>
      <c r="J65" s="82">
        <v>0</v>
      </c>
      <c r="K65" s="82">
        <v>0</v>
      </c>
      <c r="L65" s="82">
        <f>+P2a!D63+P2a!D71+P2a!D79</f>
        <v>0</v>
      </c>
      <c r="M65" s="82">
        <f>+P2a!E63+P2a!E71+P2a!E79</f>
        <v>0</v>
      </c>
      <c r="N65" s="82">
        <f>+P2a!F63+P2a!F71+P2a!F79</f>
        <v>0</v>
      </c>
      <c r="O65" s="78" t="s">
        <v>62</v>
      </c>
      <c r="P65" s="78" t="s">
        <v>62</v>
      </c>
      <c r="Q65" s="78" t="s">
        <v>62</v>
      </c>
      <c r="R65" s="78" t="s">
        <v>62</v>
      </c>
      <c r="S65" s="78" t="s">
        <v>62</v>
      </c>
      <c r="T65" s="78" t="s">
        <v>62</v>
      </c>
      <c r="U65" s="78" t="s">
        <v>62</v>
      </c>
      <c r="V65" s="78" t="s">
        <v>87</v>
      </c>
      <c r="W65" s="78" t="s">
        <v>87</v>
      </c>
      <c r="X65" s="46"/>
      <c r="Y65" s="453" t="s">
        <v>278</v>
      </c>
    </row>
    <row r="66" spans="1:25" ht="15" x14ac:dyDescent="0.2">
      <c r="A66" s="62" t="s">
        <v>279</v>
      </c>
      <c r="B66" s="71" t="s">
        <v>280</v>
      </c>
      <c r="C66" s="63" t="s">
        <v>190</v>
      </c>
      <c r="D66" s="83">
        <f t="shared" ref="D66:W66" si="22">SUM(D61:D65)</f>
        <v>8030494.8320265897</v>
      </c>
      <c r="E66" s="83">
        <f t="shared" si="22"/>
        <v>6817337.0305464435</v>
      </c>
      <c r="F66" s="83">
        <f t="shared" si="22"/>
        <v>6326044.6746575665</v>
      </c>
      <c r="G66" s="83">
        <f t="shared" si="22"/>
        <v>6795417.2834902201</v>
      </c>
      <c r="H66" s="83">
        <f t="shared" si="22"/>
        <v>4890447.3439726112</v>
      </c>
      <c r="I66" s="83">
        <f t="shared" si="22"/>
        <v>4735507.9390710322</v>
      </c>
      <c r="J66" s="83">
        <f t="shared" si="22"/>
        <v>4733588.5878082216</v>
      </c>
      <c r="K66" s="83">
        <f t="shared" si="22"/>
        <v>4621098.3797259983</v>
      </c>
      <c r="L66" s="83">
        <f t="shared" si="22"/>
        <v>4466154.8768036477</v>
      </c>
      <c r="M66" s="83">
        <f t="shared" si="22"/>
        <v>4389527.2310110861</v>
      </c>
      <c r="N66" s="83">
        <f t="shared" si="22"/>
        <v>4396759.0675681308</v>
      </c>
      <c r="O66" s="83">
        <f t="shared" si="22"/>
        <v>4627446.6222630199</v>
      </c>
      <c r="P66" s="83">
        <f t="shared" si="22"/>
        <v>4203625.01134934</v>
      </c>
      <c r="Q66" s="83">
        <f t="shared" si="22"/>
        <v>4204409.25</v>
      </c>
      <c r="R66" s="83">
        <f t="shared" si="22"/>
        <v>4102102.4086589161</v>
      </c>
      <c r="S66" s="83">
        <f t="shared" si="22"/>
        <v>4315969.8058574842</v>
      </c>
      <c r="T66" s="83">
        <f t="shared" si="22"/>
        <v>4219486.2691356335</v>
      </c>
      <c r="U66" s="83">
        <f t="shared" si="22"/>
        <v>4756642.1113251504</v>
      </c>
      <c r="V66" s="83">
        <f t="shared" si="22"/>
        <v>4487892.6745087197</v>
      </c>
      <c r="W66" s="83">
        <f t="shared" si="22"/>
        <v>4571294.2104451898</v>
      </c>
      <c r="X66" s="46"/>
      <c r="Y66" s="453" t="s">
        <v>281</v>
      </c>
    </row>
    <row r="67" spans="1:25" ht="15" x14ac:dyDescent="0.2">
      <c r="A67" s="105"/>
      <c r="B67" s="106"/>
      <c r="C67" s="110"/>
      <c r="D67" s="72"/>
      <c r="E67" s="72"/>
      <c r="F67" s="72"/>
      <c r="G67" s="72"/>
      <c r="H67" s="72"/>
      <c r="I67" s="72"/>
      <c r="J67" s="72"/>
      <c r="K67" s="72"/>
      <c r="L67" s="72"/>
      <c r="M67" s="72"/>
      <c r="N67" s="72"/>
      <c r="O67" s="72"/>
      <c r="P67" s="72"/>
      <c r="Q67" s="72"/>
      <c r="R67" s="72"/>
      <c r="S67" s="72"/>
      <c r="T67" s="72"/>
      <c r="U67" s="72"/>
      <c r="V67" s="72"/>
      <c r="W67" s="72"/>
    </row>
    <row r="68" spans="1:25" ht="15.75" x14ac:dyDescent="0.25">
      <c r="A68" s="9"/>
      <c r="B68" s="80" t="s">
        <v>282</v>
      </c>
      <c r="C68" s="116"/>
      <c r="W68" s="84"/>
    </row>
    <row r="69" spans="1:25" ht="15" x14ac:dyDescent="0.2">
      <c r="A69" s="62" t="s">
        <v>283</v>
      </c>
      <c r="B69" s="77" t="s">
        <v>222</v>
      </c>
      <c r="C69" s="75" t="s">
        <v>223</v>
      </c>
      <c r="D69" s="76">
        <v>67</v>
      </c>
      <c r="E69" s="76">
        <v>65</v>
      </c>
      <c r="F69" s="76">
        <v>66</v>
      </c>
      <c r="G69" s="76">
        <v>66</v>
      </c>
      <c r="H69" s="76">
        <v>65</v>
      </c>
      <c r="I69" s="76">
        <v>66</v>
      </c>
      <c r="J69" s="76">
        <v>66</v>
      </c>
      <c r="K69" s="76">
        <v>66</v>
      </c>
      <c r="L69" s="76">
        <f>+P2a!D83</f>
        <v>67</v>
      </c>
      <c r="M69" s="76">
        <f>+P2a!E83</f>
        <v>68</v>
      </c>
      <c r="N69" s="76">
        <f>+P2a!F83</f>
        <v>68</v>
      </c>
      <c r="O69" s="76">
        <v>69</v>
      </c>
      <c r="P69" s="76">
        <v>69</v>
      </c>
      <c r="Q69" s="76">
        <v>71</v>
      </c>
      <c r="R69" s="76">
        <v>71</v>
      </c>
      <c r="S69" s="76">
        <v>74</v>
      </c>
      <c r="T69" s="76">
        <v>74</v>
      </c>
      <c r="U69" s="76">
        <v>78</v>
      </c>
      <c r="V69" s="76">
        <v>78</v>
      </c>
      <c r="W69" s="76">
        <v>84.86</v>
      </c>
      <c r="X69" s="46"/>
      <c r="Y69" s="451" t="s">
        <v>284</v>
      </c>
    </row>
    <row r="70" spans="1:25" ht="15" x14ac:dyDescent="0.2">
      <c r="A70" s="62" t="s">
        <v>285</v>
      </c>
      <c r="B70" s="77" t="s">
        <v>226</v>
      </c>
      <c r="C70" s="75" t="s">
        <v>223</v>
      </c>
      <c r="D70" s="76">
        <v>130</v>
      </c>
      <c r="E70" s="76">
        <v>127</v>
      </c>
      <c r="F70" s="76">
        <v>130</v>
      </c>
      <c r="G70" s="76">
        <v>130</v>
      </c>
      <c r="H70" s="76">
        <v>129</v>
      </c>
      <c r="I70" s="76">
        <v>130</v>
      </c>
      <c r="J70" s="76">
        <v>129</v>
      </c>
      <c r="K70" s="76">
        <v>130</v>
      </c>
      <c r="L70" s="76">
        <f>+P2a!D86</f>
        <v>133</v>
      </c>
      <c r="M70" s="76">
        <f>+P2a!E86</f>
        <v>136</v>
      </c>
      <c r="N70" s="76">
        <f>+P2a!F86</f>
        <v>136</v>
      </c>
      <c r="O70" s="78" t="s">
        <v>62</v>
      </c>
      <c r="P70" s="78" t="s">
        <v>62</v>
      </c>
      <c r="Q70" s="78" t="s">
        <v>62</v>
      </c>
      <c r="R70" s="78" t="s">
        <v>62</v>
      </c>
      <c r="S70" s="78" t="s">
        <v>62</v>
      </c>
      <c r="T70" s="78" t="s">
        <v>62</v>
      </c>
      <c r="U70" s="78" t="s">
        <v>62</v>
      </c>
      <c r="V70" s="78" t="s">
        <v>87</v>
      </c>
      <c r="W70" s="78" t="s">
        <v>87</v>
      </c>
      <c r="X70" s="46"/>
      <c r="Y70" s="451" t="s">
        <v>286</v>
      </c>
    </row>
    <row r="71" spans="1:25" ht="15" x14ac:dyDescent="0.2">
      <c r="A71" s="62" t="s">
        <v>287</v>
      </c>
      <c r="B71" s="77" t="s">
        <v>229</v>
      </c>
      <c r="C71" s="75" t="s">
        <v>223</v>
      </c>
      <c r="D71" s="76">
        <v>512</v>
      </c>
      <c r="E71" s="76">
        <v>500</v>
      </c>
      <c r="F71" s="76">
        <v>512</v>
      </c>
      <c r="G71" s="76">
        <v>513</v>
      </c>
      <c r="H71" s="76">
        <v>510</v>
      </c>
      <c r="I71" s="76">
        <v>515</v>
      </c>
      <c r="J71" s="76">
        <v>513</v>
      </c>
      <c r="K71" s="76">
        <v>516</v>
      </c>
      <c r="L71" s="76">
        <f>+P2a!D89</f>
        <v>526</v>
      </c>
      <c r="M71" s="76">
        <f>+P2a!E89</f>
        <v>537</v>
      </c>
      <c r="N71" s="76">
        <f>+P2a!F89</f>
        <v>537</v>
      </c>
      <c r="O71" s="78" t="s">
        <v>62</v>
      </c>
      <c r="P71" s="78" t="s">
        <v>62</v>
      </c>
      <c r="Q71" s="78" t="s">
        <v>62</v>
      </c>
      <c r="R71" s="78" t="s">
        <v>62</v>
      </c>
      <c r="S71" s="78" t="s">
        <v>62</v>
      </c>
      <c r="T71" s="78" t="s">
        <v>62</v>
      </c>
      <c r="U71" s="78" t="s">
        <v>62</v>
      </c>
      <c r="V71" s="78" t="s">
        <v>87</v>
      </c>
      <c r="W71" s="78" t="s">
        <v>87</v>
      </c>
      <c r="X71" s="46"/>
      <c r="Y71" s="451" t="s">
        <v>288</v>
      </c>
    </row>
    <row r="72" spans="1:25" ht="15" x14ac:dyDescent="0.2">
      <c r="A72" s="62" t="s">
        <v>289</v>
      </c>
      <c r="B72" s="77" t="s">
        <v>232</v>
      </c>
      <c r="C72" s="75" t="s">
        <v>223</v>
      </c>
      <c r="D72" s="76">
        <v>925</v>
      </c>
      <c r="E72" s="76">
        <v>903</v>
      </c>
      <c r="F72" s="76">
        <v>924</v>
      </c>
      <c r="G72" s="76">
        <v>925</v>
      </c>
      <c r="H72" s="76">
        <v>920</v>
      </c>
      <c r="I72" s="76">
        <v>929</v>
      </c>
      <c r="J72" s="76">
        <v>925</v>
      </c>
      <c r="K72" s="76">
        <v>931</v>
      </c>
      <c r="L72" s="76">
        <f>+P2a!D92</f>
        <v>950</v>
      </c>
      <c r="M72" s="76">
        <f>+P2a!E92</f>
        <v>969</v>
      </c>
      <c r="N72" s="76">
        <f>+P2a!F92</f>
        <v>969</v>
      </c>
      <c r="O72" s="78" t="s">
        <v>62</v>
      </c>
      <c r="P72" s="78" t="s">
        <v>62</v>
      </c>
      <c r="Q72" s="78" t="s">
        <v>62</v>
      </c>
      <c r="R72" s="78" t="s">
        <v>62</v>
      </c>
      <c r="S72" s="78" t="s">
        <v>62</v>
      </c>
      <c r="T72" s="78" t="s">
        <v>62</v>
      </c>
      <c r="U72" s="78" t="s">
        <v>62</v>
      </c>
      <c r="V72" s="78" t="s">
        <v>87</v>
      </c>
      <c r="W72" s="78" t="s">
        <v>87</v>
      </c>
      <c r="X72" s="46"/>
      <c r="Y72" s="451" t="s">
        <v>290</v>
      </c>
    </row>
    <row r="73" spans="1:25" ht="15" x14ac:dyDescent="0.2">
      <c r="A73" s="62" t="s">
        <v>291</v>
      </c>
      <c r="B73" s="77" t="s">
        <v>235</v>
      </c>
      <c r="C73" s="75" t="s">
        <v>223</v>
      </c>
      <c r="D73" s="76">
        <v>1797</v>
      </c>
      <c r="E73" s="76">
        <v>1755</v>
      </c>
      <c r="F73" s="76">
        <v>1796</v>
      </c>
      <c r="G73" s="76">
        <v>1799</v>
      </c>
      <c r="H73" s="76">
        <v>1790</v>
      </c>
      <c r="I73" s="76">
        <v>1808</v>
      </c>
      <c r="J73" s="76">
        <v>1801</v>
      </c>
      <c r="K73" s="76">
        <v>1812</v>
      </c>
      <c r="L73" s="76">
        <f>+P2a!D95</f>
        <v>1848</v>
      </c>
      <c r="M73" s="76">
        <f>+P2a!E95</f>
        <v>1855</v>
      </c>
      <c r="N73" s="76">
        <f>+P2a!F95</f>
        <v>1855</v>
      </c>
      <c r="O73" s="78" t="s">
        <v>62</v>
      </c>
      <c r="P73" s="78" t="s">
        <v>62</v>
      </c>
      <c r="Q73" s="78" t="s">
        <v>62</v>
      </c>
      <c r="R73" s="78" t="s">
        <v>62</v>
      </c>
      <c r="S73" s="78" t="s">
        <v>62</v>
      </c>
      <c r="T73" s="78" t="s">
        <v>62</v>
      </c>
      <c r="U73" s="78" t="s">
        <v>62</v>
      </c>
      <c r="V73" s="78" t="s">
        <v>87</v>
      </c>
      <c r="W73" s="78" t="s">
        <v>87</v>
      </c>
      <c r="X73" s="46"/>
      <c r="Y73" s="451" t="s">
        <v>292</v>
      </c>
    </row>
    <row r="74" spans="1:25" ht="15.75" x14ac:dyDescent="0.2">
      <c r="A74" s="105"/>
      <c r="B74" s="117"/>
      <c r="C74" s="118"/>
      <c r="D74" s="72"/>
      <c r="E74" s="72"/>
      <c r="F74" s="72"/>
      <c r="G74" s="72"/>
      <c r="H74" s="72"/>
      <c r="I74" s="72"/>
      <c r="J74" s="72"/>
      <c r="K74" s="72"/>
      <c r="L74" s="72"/>
      <c r="M74" s="72"/>
      <c r="N74" s="72"/>
      <c r="O74" s="72"/>
      <c r="P74" s="72"/>
      <c r="Q74" s="72"/>
      <c r="R74" s="72"/>
      <c r="S74" s="72"/>
      <c r="T74" s="72"/>
      <c r="U74" s="72"/>
      <c r="V74" s="72"/>
      <c r="W74" s="72"/>
    </row>
    <row r="75" spans="1:25" ht="15.75" x14ac:dyDescent="0.25">
      <c r="A75" s="9"/>
      <c r="B75" s="80" t="s">
        <v>293</v>
      </c>
      <c r="C75" s="116"/>
      <c r="V75" s="60"/>
      <c r="W75" s="60"/>
    </row>
    <row r="76" spans="1:25" ht="15" x14ac:dyDescent="0.2">
      <c r="A76" s="62" t="s">
        <v>294</v>
      </c>
      <c r="B76" s="77" t="s">
        <v>295</v>
      </c>
      <c r="C76" s="75" t="s">
        <v>223</v>
      </c>
      <c r="D76" s="85">
        <v>0.73621139999999996</v>
      </c>
      <c r="E76" s="85">
        <v>0.67809280000000005</v>
      </c>
      <c r="F76" s="85">
        <v>0.66530359999999999</v>
      </c>
      <c r="G76" s="85">
        <v>0.63806759999999996</v>
      </c>
      <c r="H76" s="85">
        <v>0.61618759999999995</v>
      </c>
      <c r="I76" s="85">
        <v>0.50760000000000005</v>
      </c>
      <c r="J76" s="85">
        <v>0.50560000000000005</v>
      </c>
      <c r="K76" s="85">
        <v>0.50860000000000005</v>
      </c>
      <c r="L76" s="85">
        <f>+P2a!D100</f>
        <v>0.51880000000000004</v>
      </c>
      <c r="M76" s="85">
        <f>+P2a!E100</f>
        <v>0.5292</v>
      </c>
      <c r="N76" s="85">
        <f>+P2a!F100</f>
        <v>0.5292</v>
      </c>
      <c r="O76" s="85">
        <v>0.53979999999999995</v>
      </c>
      <c r="P76" s="85">
        <v>0.53979999999999995</v>
      </c>
      <c r="Q76" s="85">
        <v>0.55130000000000001</v>
      </c>
      <c r="R76" s="85">
        <v>0.55130000000000001</v>
      </c>
      <c r="S76" s="85">
        <v>0.57450000000000001</v>
      </c>
      <c r="T76" s="85">
        <v>0.57450000000000001</v>
      </c>
      <c r="U76" s="85">
        <v>0.60319999999999996</v>
      </c>
      <c r="V76" s="85">
        <v>0.60319999999999996</v>
      </c>
      <c r="W76" s="85">
        <v>0.65629999999999999</v>
      </c>
      <c r="X76" s="46"/>
      <c r="Y76" s="451" t="s">
        <v>296</v>
      </c>
    </row>
    <row r="77" spans="1:25" ht="15" x14ac:dyDescent="0.2">
      <c r="A77" s="62" t="s">
        <v>297</v>
      </c>
      <c r="B77" s="77" t="s">
        <v>298</v>
      </c>
      <c r="C77" s="75" t="s">
        <v>223</v>
      </c>
      <c r="D77" s="85">
        <v>0.50460000000000005</v>
      </c>
      <c r="E77" s="85">
        <v>0.49280000000000002</v>
      </c>
      <c r="F77" s="85">
        <v>0.50439999999999996</v>
      </c>
      <c r="G77" s="85">
        <v>0.50519999999999998</v>
      </c>
      <c r="H77" s="85">
        <v>0.50260000000000005</v>
      </c>
      <c r="I77" s="85">
        <v>0.50760000000000005</v>
      </c>
      <c r="J77" s="85">
        <v>0.50560000000000005</v>
      </c>
      <c r="K77" s="85">
        <v>0.50860000000000005</v>
      </c>
      <c r="L77" s="85">
        <f>+P2a!D101</f>
        <v>0.51880000000000004</v>
      </c>
      <c r="M77" s="85">
        <f>+P2a!E101</f>
        <v>0.5292</v>
      </c>
      <c r="N77" s="85">
        <f>+P2a!F101</f>
        <v>0.5292</v>
      </c>
      <c r="O77" s="85">
        <v>0.53979999999999995</v>
      </c>
      <c r="P77" s="85">
        <v>0.53979999999999995</v>
      </c>
      <c r="Q77" s="85">
        <v>0.55130000000000001</v>
      </c>
      <c r="R77" s="85">
        <v>0.55130000000000001</v>
      </c>
      <c r="S77" s="85">
        <v>0.57450000000000001</v>
      </c>
      <c r="T77" s="85">
        <v>0.57450000000000001</v>
      </c>
      <c r="U77" s="85">
        <v>0.60319999999999996</v>
      </c>
      <c r="V77" s="85">
        <v>0.60319999999999996</v>
      </c>
      <c r="W77" s="85">
        <v>0.65629999999999999</v>
      </c>
      <c r="X77" s="46"/>
      <c r="Y77" s="451" t="s">
        <v>299</v>
      </c>
    </row>
    <row r="78" spans="1:25" ht="15" x14ac:dyDescent="0.2">
      <c r="A78" s="105"/>
      <c r="B78" s="113"/>
      <c r="C78" s="115"/>
      <c r="D78" s="72"/>
      <c r="E78" s="72"/>
      <c r="F78" s="72"/>
      <c r="G78" s="72"/>
      <c r="H78" s="72"/>
      <c r="I78" s="72"/>
      <c r="J78" s="72"/>
      <c r="K78" s="72"/>
      <c r="L78" s="72"/>
      <c r="M78" s="72"/>
      <c r="N78" s="72"/>
      <c r="O78" s="72"/>
      <c r="P78" s="72"/>
      <c r="Q78" s="72"/>
      <c r="R78" s="72"/>
      <c r="S78" s="72"/>
      <c r="T78" s="72"/>
      <c r="U78" s="72"/>
      <c r="V78" s="72"/>
      <c r="W78" s="72"/>
    </row>
    <row r="79" spans="1:25" ht="15.75" x14ac:dyDescent="0.25">
      <c r="A79" s="9"/>
      <c r="B79" s="80" t="s">
        <v>300</v>
      </c>
      <c r="C79" s="116"/>
      <c r="V79" s="60"/>
      <c r="W79" s="60"/>
    </row>
    <row r="80" spans="1:25" ht="15" x14ac:dyDescent="0.2">
      <c r="A80" s="62" t="s">
        <v>301</v>
      </c>
      <c r="B80" s="77" t="s">
        <v>265</v>
      </c>
      <c r="C80" s="75" t="s">
        <v>223</v>
      </c>
      <c r="D80" s="86">
        <v>1.0014575999999999</v>
      </c>
      <c r="E80" s="86">
        <v>0.92233279999999995</v>
      </c>
      <c r="F80" s="86">
        <v>0.90496589999999999</v>
      </c>
      <c r="G80" s="86">
        <v>0.86780729999999995</v>
      </c>
      <c r="H80" s="86">
        <v>0.83809359999999999</v>
      </c>
      <c r="I80" s="86">
        <v>0.69040000000000001</v>
      </c>
      <c r="J80" s="86">
        <v>0.68730000000000002</v>
      </c>
      <c r="K80" s="86">
        <v>0.69140000000000001</v>
      </c>
      <c r="L80" s="86">
        <f>+P2a!D106</f>
        <v>0.70520000000000005</v>
      </c>
      <c r="M80" s="86">
        <f>+P2a!E106</f>
        <v>0.71930000000000005</v>
      </c>
      <c r="N80" s="86">
        <f>+P2a!F106</f>
        <v>0.71930000000000005</v>
      </c>
      <c r="O80" s="86">
        <v>0.73370000000000002</v>
      </c>
      <c r="P80" s="86">
        <v>0.73370000000000002</v>
      </c>
      <c r="Q80" s="86">
        <v>0.752</v>
      </c>
      <c r="R80" s="86">
        <v>0.752</v>
      </c>
      <c r="S80" s="86">
        <v>0.78359999999999996</v>
      </c>
      <c r="T80" s="86">
        <v>0.78359999999999996</v>
      </c>
      <c r="U80" s="86">
        <v>0.82279999999999998</v>
      </c>
      <c r="V80" s="86">
        <v>0.82279999999999998</v>
      </c>
      <c r="W80" s="86">
        <v>0.8952</v>
      </c>
      <c r="X80" s="46"/>
      <c r="Y80" s="451" t="s">
        <v>302</v>
      </c>
    </row>
    <row r="81" spans="1:25" ht="15" x14ac:dyDescent="0.2">
      <c r="A81" s="62" t="s">
        <v>303</v>
      </c>
      <c r="B81" s="77" t="s">
        <v>268</v>
      </c>
      <c r="C81" s="75" t="s">
        <v>223</v>
      </c>
      <c r="D81" s="86">
        <v>0.68640000000000001</v>
      </c>
      <c r="E81" s="86">
        <v>0.67030000000000001</v>
      </c>
      <c r="F81" s="86">
        <v>0.68610000000000004</v>
      </c>
      <c r="G81" s="86">
        <v>0.68710000000000004</v>
      </c>
      <c r="H81" s="86">
        <v>0.68359999999999999</v>
      </c>
      <c r="I81" s="86">
        <v>0.69040000000000001</v>
      </c>
      <c r="J81" s="86">
        <v>0.68730000000000002</v>
      </c>
      <c r="K81" s="86">
        <v>0.69140000000000001</v>
      </c>
      <c r="L81" s="86">
        <f>+P2a!D107</f>
        <v>0.70520000000000005</v>
      </c>
      <c r="M81" s="86">
        <f>+P2a!E107</f>
        <v>0.71930000000000005</v>
      </c>
      <c r="N81" s="86">
        <f>+P2a!F107</f>
        <v>0.71930000000000005</v>
      </c>
      <c r="O81" s="86">
        <v>0.73370000000000002</v>
      </c>
      <c r="P81" s="86">
        <v>0.73370000000000002</v>
      </c>
      <c r="Q81" s="86">
        <v>0.752</v>
      </c>
      <c r="R81" s="86">
        <v>0.752</v>
      </c>
      <c r="S81" s="86">
        <v>0.78359999999999996</v>
      </c>
      <c r="T81" s="86">
        <v>0.78359999999999996</v>
      </c>
      <c r="U81" s="86">
        <v>0.82279999999999998</v>
      </c>
      <c r="V81" s="86">
        <v>0.82279999999999998</v>
      </c>
      <c r="W81" s="86">
        <v>0.8952</v>
      </c>
      <c r="X81" s="46"/>
      <c r="Y81" s="451" t="s">
        <v>304</v>
      </c>
    </row>
    <row r="82" spans="1:25" ht="30" x14ac:dyDescent="0.2">
      <c r="A82" s="62" t="s">
        <v>305</v>
      </c>
      <c r="B82" s="77" t="s">
        <v>271</v>
      </c>
      <c r="C82" s="75" t="s">
        <v>223</v>
      </c>
      <c r="D82" s="86">
        <v>0.68640000000000001</v>
      </c>
      <c r="E82" s="86">
        <v>0.67030000000000001</v>
      </c>
      <c r="F82" s="86">
        <v>0.68610000000000004</v>
      </c>
      <c r="G82" s="86">
        <v>0.68710000000000004</v>
      </c>
      <c r="H82" s="86">
        <v>0.68359999999999999</v>
      </c>
      <c r="I82" s="86">
        <v>0.69040000000000001</v>
      </c>
      <c r="J82" s="86">
        <v>0.68730000000000002</v>
      </c>
      <c r="K82" s="86">
        <v>0.69140000000000001</v>
      </c>
      <c r="L82" s="86">
        <f>+P2a!D108</f>
        <v>0.70520000000000005</v>
      </c>
      <c r="M82" s="86">
        <f>+P2a!E108</f>
        <v>0.71930000000000005</v>
      </c>
      <c r="N82" s="86">
        <f>+P2a!F108</f>
        <v>0.71930000000000005</v>
      </c>
      <c r="O82" s="78" t="s">
        <v>62</v>
      </c>
      <c r="P82" s="78" t="s">
        <v>62</v>
      </c>
      <c r="Q82" s="78" t="s">
        <v>62</v>
      </c>
      <c r="R82" s="78" t="s">
        <v>62</v>
      </c>
      <c r="S82" s="78" t="s">
        <v>62</v>
      </c>
      <c r="T82" s="78" t="s">
        <v>62</v>
      </c>
      <c r="U82" s="78" t="s">
        <v>62</v>
      </c>
      <c r="V82" s="78" t="s">
        <v>87</v>
      </c>
      <c r="W82" s="78" t="s">
        <v>87</v>
      </c>
      <c r="X82" s="46"/>
      <c r="Y82" s="451" t="s">
        <v>306</v>
      </c>
    </row>
    <row r="83" spans="1:25" ht="30" x14ac:dyDescent="0.2">
      <c r="A83" s="62" t="s">
        <v>307</v>
      </c>
      <c r="B83" s="77" t="s">
        <v>274</v>
      </c>
      <c r="C83" s="75" t="s">
        <v>223</v>
      </c>
      <c r="D83" s="86">
        <v>0.5796</v>
      </c>
      <c r="E83" s="86">
        <v>0.56599999999999995</v>
      </c>
      <c r="F83" s="86">
        <v>0.57930000000000004</v>
      </c>
      <c r="G83" s="86">
        <v>0.58020000000000005</v>
      </c>
      <c r="H83" s="86">
        <v>0.57720000000000005</v>
      </c>
      <c r="I83" s="86">
        <v>0.58299999999999996</v>
      </c>
      <c r="J83" s="86">
        <v>0.58069999999999999</v>
      </c>
      <c r="K83" s="86">
        <v>0.58420000000000005</v>
      </c>
      <c r="L83" s="86">
        <f>+P2a!D109</f>
        <v>0.59589999999999999</v>
      </c>
      <c r="M83" s="86">
        <f>+P2a!E109</f>
        <v>0.60780000000000001</v>
      </c>
      <c r="N83" s="86">
        <f>+P2a!F109</f>
        <v>0.60780000000000001</v>
      </c>
      <c r="O83" s="78" t="s">
        <v>62</v>
      </c>
      <c r="P83" s="78" t="s">
        <v>62</v>
      </c>
      <c r="Q83" s="78" t="s">
        <v>62</v>
      </c>
      <c r="R83" s="78" t="s">
        <v>62</v>
      </c>
      <c r="S83" s="78" t="s">
        <v>62</v>
      </c>
      <c r="T83" s="78" t="s">
        <v>62</v>
      </c>
      <c r="U83" s="78" t="s">
        <v>62</v>
      </c>
      <c r="V83" s="78" t="s">
        <v>87</v>
      </c>
      <c r="W83" s="78" t="s">
        <v>87</v>
      </c>
      <c r="X83" s="46"/>
      <c r="Y83" s="451" t="s">
        <v>308</v>
      </c>
    </row>
    <row r="84" spans="1:25" ht="15" x14ac:dyDescent="0.2">
      <c r="A84" s="62" t="s">
        <v>309</v>
      </c>
      <c r="B84" s="77" t="s">
        <v>277</v>
      </c>
      <c r="C84" s="75" t="s">
        <v>223</v>
      </c>
      <c r="D84" s="86">
        <v>0.35570000000000002</v>
      </c>
      <c r="E84" s="86">
        <v>0.34739999999999999</v>
      </c>
      <c r="F84" s="86">
        <v>0.35560000000000003</v>
      </c>
      <c r="G84" s="86">
        <v>0.35610000000000003</v>
      </c>
      <c r="H84" s="86">
        <v>0.3543</v>
      </c>
      <c r="I84" s="86">
        <v>0.35780000000000001</v>
      </c>
      <c r="J84" s="86">
        <v>0.35639999999999999</v>
      </c>
      <c r="K84" s="86">
        <v>0.35849999999999999</v>
      </c>
      <c r="L84" s="86">
        <f>+P2a!D110</f>
        <v>0.36570000000000003</v>
      </c>
      <c r="M84" s="86">
        <f>+P2a!E110</f>
        <v>0.373</v>
      </c>
      <c r="N84" s="86">
        <f>+P2a!F110</f>
        <v>0.373</v>
      </c>
      <c r="O84" s="78" t="s">
        <v>62</v>
      </c>
      <c r="P84" s="78" t="s">
        <v>62</v>
      </c>
      <c r="Q84" s="78" t="s">
        <v>62</v>
      </c>
      <c r="R84" s="78" t="s">
        <v>62</v>
      </c>
      <c r="S84" s="78" t="s">
        <v>62</v>
      </c>
      <c r="T84" s="78" t="s">
        <v>62</v>
      </c>
      <c r="U84" s="78" t="s">
        <v>62</v>
      </c>
      <c r="V84" s="78" t="s">
        <v>87</v>
      </c>
      <c r="W84" s="78" t="s">
        <v>87</v>
      </c>
      <c r="X84" s="46"/>
      <c r="Y84" s="451" t="s">
        <v>310</v>
      </c>
    </row>
    <row r="85" spans="1:25" ht="15" x14ac:dyDescent="0.2">
      <c r="A85" s="105"/>
      <c r="B85" s="106"/>
      <c r="C85" s="110"/>
      <c r="D85" s="72"/>
      <c r="E85" s="72"/>
      <c r="F85" s="72"/>
      <c r="G85" s="72"/>
      <c r="H85" s="72"/>
      <c r="I85" s="72"/>
      <c r="J85" s="72"/>
      <c r="K85" s="72"/>
      <c r="L85" s="72"/>
      <c r="M85" s="72"/>
      <c r="N85" s="72"/>
      <c r="O85" s="72"/>
      <c r="P85" s="72"/>
      <c r="Q85" s="72"/>
      <c r="R85" s="72"/>
      <c r="S85" s="72"/>
      <c r="T85" s="72"/>
      <c r="U85" s="72"/>
      <c r="V85" s="72"/>
      <c r="W85" s="72"/>
    </row>
    <row r="86" spans="1:25" ht="15.75" x14ac:dyDescent="0.25">
      <c r="A86" s="9"/>
      <c r="B86" s="80" t="s">
        <v>311</v>
      </c>
      <c r="C86" s="116"/>
      <c r="V86" s="60"/>
      <c r="W86" s="60"/>
    </row>
    <row r="87" spans="1:25" ht="15" x14ac:dyDescent="0.2">
      <c r="A87" s="62" t="s">
        <v>312</v>
      </c>
      <c r="B87" s="71" t="s">
        <v>313</v>
      </c>
      <c r="C87" s="75" t="s">
        <v>223</v>
      </c>
      <c r="D87" s="82">
        <v>5787</v>
      </c>
      <c r="E87" s="82">
        <v>5904</v>
      </c>
      <c r="F87" s="82">
        <v>6023</v>
      </c>
      <c r="G87" s="82">
        <v>6114</v>
      </c>
      <c r="H87" s="82">
        <v>6123</v>
      </c>
      <c r="I87" s="82">
        <v>7367</v>
      </c>
      <c r="J87" s="82">
        <v>7519</v>
      </c>
      <c r="K87" s="82">
        <v>6039</v>
      </c>
      <c r="L87" s="82">
        <f>+P2a!D127</f>
        <v>6279</v>
      </c>
      <c r="M87" s="82">
        <f>+P2a!E127</f>
        <v>6077</v>
      </c>
      <c r="N87" s="82">
        <f>+P2a!F127</f>
        <v>6263.5839312038997</v>
      </c>
      <c r="O87" s="82">
        <v>5490.8145762713002</v>
      </c>
      <c r="P87" s="82">
        <v>6165.21</v>
      </c>
      <c r="Q87" s="82">
        <v>6044.12</v>
      </c>
      <c r="R87" s="82">
        <v>6256.5808219177998</v>
      </c>
      <c r="S87" s="82">
        <v>6084.2438356164303</v>
      </c>
      <c r="T87" s="82">
        <v>6274.0356164383502</v>
      </c>
      <c r="U87" s="82">
        <v>5005.6767123285799</v>
      </c>
      <c r="V87" s="82">
        <v>6386.5972602737402</v>
      </c>
      <c r="W87" s="82">
        <v>6104.0273972602699</v>
      </c>
      <c r="X87" s="46"/>
      <c r="Y87" s="451" t="s">
        <v>314</v>
      </c>
    </row>
    <row r="88" spans="1:25" ht="15" x14ac:dyDescent="0.2">
      <c r="A88" s="62" t="s">
        <v>315</v>
      </c>
      <c r="B88" s="71" t="s">
        <v>316</v>
      </c>
      <c r="C88" s="75" t="s">
        <v>223</v>
      </c>
      <c r="D88" s="79">
        <v>-15.23</v>
      </c>
      <c r="E88" s="79">
        <v>-14.87</v>
      </c>
      <c r="F88" s="79">
        <v>-15.22</v>
      </c>
      <c r="G88" s="79">
        <v>-15.24</v>
      </c>
      <c r="H88" s="79">
        <v>-15.16</v>
      </c>
      <c r="I88" s="79">
        <v>-15.36</v>
      </c>
      <c r="J88" s="79">
        <v>-15.3</v>
      </c>
      <c r="K88" s="79">
        <v>-15.44</v>
      </c>
      <c r="L88" s="79">
        <f>+P2a!D128</f>
        <v>-15.9</v>
      </c>
      <c r="M88" s="79">
        <f>+P2a!E128</f>
        <v>-16.235199999999999</v>
      </c>
      <c r="N88" s="79">
        <f>+P2a!F128</f>
        <v>-16.235199999999999</v>
      </c>
      <c r="O88" s="79">
        <v>-16.52</v>
      </c>
      <c r="P88" s="79">
        <v>-16.52</v>
      </c>
      <c r="Q88" s="79">
        <v>-16.64</v>
      </c>
      <c r="R88" s="79">
        <v>-16.64</v>
      </c>
      <c r="S88" s="79">
        <v>-17.34</v>
      </c>
      <c r="T88" s="79">
        <v>-17.34</v>
      </c>
      <c r="U88" s="79">
        <v>-19.260000000000002</v>
      </c>
      <c r="V88" s="79">
        <v>-19.260000000000002</v>
      </c>
      <c r="W88" s="79">
        <v>-20.149999999999999</v>
      </c>
      <c r="X88" s="46"/>
      <c r="Y88" s="451" t="s">
        <v>317</v>
      </c>
    </row>
    <row r="89" spans="1:25" ht="15" x14ac:dyDescent="0.2">
      <c r="A89" s="105"/>
      <c r="B89" s="106"/>
      <c r="C89" s="110"/>
      <c r="D89" s="72"/>
      <c r="E89" s="72"/>
      <c r="F89" s="72"/>
      <c r="G89" s="72"/>
      <c r="H89" s="72"/>
      <c r="I89" s="72"/>
      <c r="J89" s="72"/>
      <c r="K89" s="72"/>
      <c r="L89" s="72"/>
      <c r="M89" s="72"/>
      <c r="N89" s="72"/>
      <c r="O89" s="72"/>
      <c r="P89" s="72"/>
      <c r="Q89" s="72"/>
      <c r="R89" s="72"/>
      <c r="S89" s="72"/>
      <c r="T89" s="72"/>
      <c r="U89" s="72"/>
      <c r="V89" s="72"/>
      <c r="W89" s="72"/>
    </row>
    <row r="90" spans="1:25" ht="15.75" x14ac:dyDescent="0.25">
      <c r="A90" s="9"/>
      <c r="B90" s="80" t="s">
        <v>318</v>
      </c>
      <c r="C90" s="116"/>
      <c r="W90" s="60"/>
    </row>
    <row r="91" spans="1:25" ht="15" x14ac:dyDescent="0.2">
      <c r="A91" s="62" t="s">
        <v>319</v>
      </c>
      <c r="B91" s="71" t="s">
        <v>320</v>
      </c>
      <c r="C91" s="63" t="s">
        <v>190</v>
      </c>
      <c r="D91" s="64">
        <f t="shared" ref="D91:K91" si="23">SUMPRODUCT(D41:D45,D69:D73)</f>
        <v>1778094.9352147174</v>
      </c>
      <c r="E91" s="64">
        <f t="shared" si="23"/>
        <v>1218378.5218579213</v>
      </c>
      <c r="F91" s="64">
        <f t="shared" si="23"/>
        <v>1295262.0931506858</v>
      </c>
      <c r="G91" s="64">
        <f t="shared" si="23"/>
        <v>1207186.1890410986</v>
      </c>
      <c r="H91" s="64">
        <f t="shared" si="23"/>
        <v>1111372.3917808216</v>
      </c>
      <c r="I91" s="64">
        <f t="shared" si="23"/>
        <v>1112716.6338797861</v>
      </c>
      <c r="J91" s="64">
        <f t="shared" si="23"/>
        <v>1108817.3068493139</v>
      </c>
      <c r="K91" s="64">
        <f t="shared" si="23"/>
        <v>1466435.2547945241</v>
      </c>
      <c r="L91" s="64">
        <f>+P2a!D131</f>
        <v>1421224.6712328778</v>
      </c>
      <c r="M91" s="64">
        <f>+P2a!E131</f>
        <v>1427495.2531876187</v>
      </c>
      <c r="N91" s="64">
        <f>+P2a!F131</f>
        <v>1407713.6921675745</v>
      </c>
      <c r="O91" s="64">
        <f t="shared" ref="O91:W91" si="24">SUMPRODUCT(O41:O45,O69:O73)</f>
        <v>1420172.7452054699</v>
      </c>
      <c r="P91" s="64">
        <f t="shared" si="24"/>
        <v>1397058.8699999999</v>
      </c>
      <c r="Q91" s="64">
        <f t="shared" si="24"/>
        <v>1518030.41</v>
      </c>
      <c r="R91" s="64">
        <f t="shared" si="24"/>
        <v>1496425.5671232832</v>
      </c>
      <c r="S91" s="64">
        <f t="shared" si="24"/>
        <v>1816086.5095890339</v>
      </c>
      <c r="T91" s="64">
        <f t="shared" si="24"/>
        <v>1773532.0493150617</v>
      </c>
      <c r="U91" s="64">
        <f t="shared" si="24"/>
        <v>2122184.786885241</v>
      </c>
      <c r="V91" s="64">
        <f t="shared" si="24"/>
        <v>1973762.0819672106</v>
      </c>
      <c r="W91" s="64">
        <f t="shared" si="24"/>
        <v>2247743.7808219083</v>
      </c>
      <c r="X91" s="46"/>
      <c r="Y91" s="451" t="s">
        <v>321</v>
      </c>
    </row>
    <row r="92" spans="1:25" ht="15" x14ac:dyDescent="0.2">
      <c r="A92" s="62" t="s">
        <v>322</v>
      </c>
      <c r="B92" s="71" t="s">
        <v>323</v>
      </c>
      <c r="C92" s="63" t="s">
        <v>190</v>
      </c>
      <c r="D92" s="64">
        <f>(D56*D76)+(D77*D57)</f>
        <v>1145561.5173302819</v>
      </c>
      <c r="E92" s="64">
        <f t="shared" ref="E92:K92" si="25">(E56*E76)+(E77*SUM(E57))</f>
        <v>794191.52473173267</v>
      </c>
      <c r="F92" s="64">
        <f t="shared" si="25"/>
        <v>779640.97403313045</v>
      </c>
      <c r="G92" s="64">
        <f t="shared" si="25"/>
        <v>692038.93360412261</v>
      </c>
      <c r="H92" s="64">
        <f t="shared" si="25"/>
        <v>608859.46404804382</v>
      </c>
      <c r="I92" s="64">
        <f t="shared" si="25"/>
        <v>508173.23980858928</v>
      </c>
      <c r="J92" s="64">
        <f t="shared" si="25"/>
        <v>505644.90739200055</v>
      </c>
      <c r="K92" s="64">
        <f t="shared" si="25"/>
        <v>519246.82192320627</v>
      </c>
      <c r="L92" s="64">
        <f>+P2a!D132</f>
        <v>524235.14061204647</v>
      </c>
      <c r="M92" s="64">
        <f>+P2a!E132</f>
        <v>475831.87655466207</v>
      </c>
      <c r="N92" s="64">
        <f>+P2a!F132</f>
        <v>526782.83657300682</v>
      </c>
      <c r="O92" s="64">
        <f t="shared" ref="O92:W92" si="26">(O56*O76)+(O77*SUM(O57))</f>
        <v>577290.9617494985</v>
      </c>
      <c r="P92" s="64">
        <f t="shared" si="26"/>
        <v>467953.69959999993</v>
      </c>
      <c r="Q92" s="64">
        <f t="shared" si="26"/>
        <v>494835.3027</v>
      </c>
      <c r="R92" s="64">
        <f t="shared" si="26"/>
        <v>485750.04017954424</v>
      </c>
      <c r="S92" s="64">
        <f t="shared" si="26"/>
        <v>568948.77578862396</v>
      </c>
      <c r="T92" s="64">
        <f t="shared" si="26"/>
        <v>550706.86009451817</v>
      </c>
      <c r="U92" s="64">
        <f t="shared" si="26"/>
        <v>703381.16846172151</v>
      </c>
      <c r="V92" s="64">
        <f t="shared" si="26"/>
        <v>654708.04907662945</v>
      </c>
      <c r="W92" s="64">
        <f t="shared" si="26"/>
        <v>737854.88774968695</v>
      </c>
      <c r="X92" s="46"/>
      <c r="Y92" s="451" t="s">
        <v>324</v>
      </c>
    </row>
    <row r="93" spans="1:25" ht="15" x14ac:dyDescent="0.2">
      <c r="A93" s="62" t="s">
        <v>325</v>
      </c>
      <c r="B93" s="71" t="s">
        <v>326</v>
      </c>
      <c r="C93" s="63" t="s">
        <v>190</v>
      </c>
      <c r="D93" s="64">
        <f t="shared" ref="D93:K93" si="27">SUMPRODUCT(D61:D65,D80:D84)</f>
        <v>5932749.80082219</v>
      </c>
      <c r="E93" s="64">
        <f t="shared" si="27"/>
        <v>4796640.0713809207</v>
      </c>
      <c r="F93" s="64">
        <f t="shared" si="27"/>
        <v>4544410.4471879378</v>
      </c>
      <c r="G93" s="64">
        <f t="shared" si="27"/>
        <v>4854836.9833970144</v>
      </c>
      <c r="H93" s="64">
        <f t="shared" si="27"/>
        <v>3475056.2579514943</v>
      </c>
      <c r="I93" s="64">
        <f t="shared" si="27"/>
        <v>3269394.6811346407</v>
      </c>
      <c r="J93" s="64">
        <f t="shared" si="27"/>
        <v>3253395.4364005905</v>
      </c>
      <c r="K93" s="64">
        <f t="shared" si="27"/>
        <v>3195027.4197425554</v>
      </c>
      <c r="L93" s="64">
        <f>+P2a!D133</f>
        <v>3153711.4353913981</v>
      </c>
      <c r="M93" s="64">
        <f>+P2a!E133</f>
        <v>3160582.8165229862</v>
      </c>
      <c r="N93" s="64">
        <f>+P2a!F133</f>
        <v>3165591.8995242328</v>
      </c>
      <c r="O93" s="64">
        <f t="shared" ref="O93:W93" si="28">SUMPRODUCT(O61:O65,O80:O84)</f>
        <v>3395157.5867543779</v>
      </c>
      <c r="P93" s="64">
        <f t="shared" si="28"/>
        <v>3084199.6708270106</v>
      </c>
      <c r="Q93" s="64">
        <f t="shared" si="28"/>
        <v>3161715.7560000001</v>
      </c>
      <c r="R93" s="64">
        <f t="shared" si="28"/>
        <v>3084781.011311505</v>
      </c>
      <c r="S93" s="64">
        <f t="shared" si="28"/>
        <v>3381993.9398699244</v>
      </c>
      <c r="T93" s="64">
        <f t="shared" si="28"/>
        <v>3306389.4404946826</v>
      </c>
      <c r="U93" s="64">
        <f t="shared" si="28"/>
        <v>3913765.1291983332</v>
      </c>
      <c r="V93" s="64">
        <f t="shared" si="28"/>
        <v>3692638.0925857746</v>
      </c>
      <c r="W93" s="64">
        <f t="shared" si="28"/>
        <v>4092222.5771905342</v>
      </c>
      <c r="X93" s="46"/>
      <c r="Y93" s="451" t="s">
        <v>327</v>
      </c>
    </row>
    <row r="94" spans="1:25" ht="15" x14ac:dyDescent="0.2">
      <c r="A94" s="62" t="s">
        <v>328</v>
      </c>
      <c r="B94" s="71" t="s">
        <v>329</v>
      </c>
      <c r="C94" s="63" t="s">
        <v>190</v>
      </c>
      <c r="D94" s="64">
        <f t="shared" ref="D94:K94" si="29">D87*D88</f>
        <v>-88136.010000000009</v>
      </c>
      <c r="E94" s="64">
        <f t="shared" si="29"/>
        <v>-87792.48</v>
      </c>
      <c r="F94" s="64">
        <f t="shared" si="29"/>
        <v>-91670.06</v>
      </c>
      <c r="G94" s="64">
        <f t="shared" si="29"/>
        <v>-93177.36</v>
      </c>
      <c r="H94" s="64">
        <f t="shared" si="29"/>
        <v>-92824.680000000008</v>
      </c>
      <c r="I94" s="64">
        <f t="shared" si="29"/>
        <v>-113157.12</v>
      </c>
      <c r="J94" s="64">
        <f t="shared" si="29"/>
        <v>-115040.70000000001</v>
      </c>
      <c r="K94" s="64">
        <f t="shared" si="29"/>
        <v>-93242.16</v>
      </c>
      <c r="L94" s="64">
        <f>+P2a!D134</f>
        <v>-99836.1</v>
      </c>
      <c r="M94" s="64">
        <f>+P2a!E134</f>
        <v>-98661.310399999988</v>
      </c>
      <c r="N94" s="64">
        <f>+P2a!F134</f>
        <v>-101690.53783988155</v>
      </c>
      <c r="O94" s="64">
        <f t="shared" ref="O94:W94" si="30">O87*O88</f>
        <v>-90708.25680000188</v>
      </c>
      <c r="P94" s="64">
        <f t="shared" si="30"/>
        <v>-101849.2692</v>
      </c>
      <c r="Q94" s="64">
        <f t="shared" si="30"/>
        <v>-100574.1568</v>
      </c>
      <c r="R94" s="64">
        <f t="shared" si="30"/>
        <v>-104109.50487671219</v>
      </c>
      <c r="S94" s="64">
        <f t="shared" si="30"/>
        <v>-105500.7881095889</v>
      </c>
      <c r="T94" s="64">
        <f t="shared" si="30"/>
        <v>-108791.777589041</v>
      </c>
      <c r="U94" s="64">
        <f t="shared" si="30"/>
        <v>-96409.333479448454</v>
      </c>
      <c r="V94" s="64">
        <f t="shared" si="30"/>
        <v>-123005.86323287225</v>
      </c>
      <c r="W94" s="64">
        <f t="shared" si="30"/>
        <v>-122996.15205479442</v>
      </c>
      <c r="X94" s="46"/>
      <c r="Y94" s="451" t="s">
        <v>330</v>
      </c>
    </row>
    <row r="95" spans="1:25" ht="15" x14ac:dyDescent="0.2">
      <c r="A95" s="62" t="s">
        <v>331</v>
      </c>
      <c r="B95" s="71" t="s">
        <v>332</v>
      </c>
      <c r="C95" s="63" t="s">
        <v>190</v>
      </c>
      <c r="D95" s="64">
        <f t="shared" ref="D95:K95" si="31">SUM(D91:D94)</f>
        <v>8768270.2433671895</v>
      </c>
      <c r="E95" s="64">
        <f t="shared" si="31"/>
        <v>6721417.6379705742</v>
      </c>
      <c r="F95" s="64">
        <f t="shared" si="31"/>
        <v>6527643.454371755</v>
      </c>
      <c r="G95" s="64">
        <f t="shared" si="31"/>
        <v>6660884.7460422358</v>
      </c>
      <c r="H95" s="64">
        <f t="shared" si="31"/>
        <v>5102463.43378036</v>
      </c>
      <c r="I95" s="64">
        <f t="shared" si="31"/>
        <v>4777127.4348230157</v>
      </c>
      <c r="J95" s="64">
        <f t="shared" si="31"/>
        <v>4752816.950641905</v>
      </c>
      <c r="K95" s="64">
        <f t="shared" si="31"/>
        <v>5087467.3364602858</v>
      </c>
      <c r="L95" s="64">
        <f>+P2a!D135</f>
        <v>4999335.147236323</v>
      </c>
      <c r="M95" s="64">
        <f>+P2a!E135</f>
        <v>4965248.6358652674</v>
      </c>
      <c r="N95" s="64">
        <f>+P2a!F135</f>
        <v>4998397.8904249333</v>
      </c>
      <c r="O95" s="64">
        <f t="shared" ref="O95:W95" si="32">SUM(O91:O94)</f>
        <v>5301913.0369093446</v>
      </c>
      <c r="P95" s="64">
        <f t="shared" si="32"/>
        <v>4847362.9712270107</v>
      </c>
      <c r="Q95" s="64">
        <f t="shared" si="32"/>
        <v>5074007.3119000001</v>
      </c>
      <c r="R95" s="64">
        <f t="shared" si="32"/>
        <v>4962847.1137376204</v>
      </c>
      <c r="S95" s="64">
        <f t="shared" si="32"/>
        <v>5661528.4371379931</v>
      </c>
      <c r="T95" s="64">
        <f t="shared" si="32"/>
        <v>5521836.5723152217</v>
      </c>
      <c r="U95" s="64">
        <f t="shared" si="32"/>
        <v>6642921.7510658475</v>
      </c>
      <c r="V95" s="64">
        <f t="shared" si="32"/>
        <v>6198102.3603967419</v>
      </c>
      <c r="W95" s="64">
        <f t="shared" si="32"/>
        <v>6954825.0937073352</v>
      </c>
      <c r="X95" s="46"/>
      <c r="Y95" s="454" t="s">
        <v>169</v>
      </c>
    </row>
    <row r="96" spans="1:25" ht="15" x14ac:dyDescent="0.2">
      <c r="A96" s="105"/>
      <c r="B96" s="106"/>
      <c r="C96" s="115"/>
      <c r="D96" s="87"/>
      <c r="E96" s="87"/>
      <c r="F96" s="87"/>
      <c r="G96" s="87"/>
      <c r="H96" s="87"/>
      <c r="I96" s="87"/>
      <c r="J96" s="87"/>
      <c r="K96" s="87"/>
      <c r="L96" s="87"/>
      <c r="M96" s="87"/>
      <c r="N96" s="87"/>
      <c r="O96" s="87"/>
      <c r="P96" s="87"/>
      <c r="Q96" s="87"/>
      <c r="R96" s="87"/>
      <c r="S96" s="87"/>
      <c r="T96" s="87"/>
      <c r="U96" s="87"/>
      <c r="V96" s="87"/>
      <c r="W96" s="87"/>
    </row>
    <row r="97" spans="1:25" ht="15.75" x14ac:dyDescent="0.25">
      <c r="A97" s="9"/>
      <c r="B97" s="80" t="s">
        <v>333</v>
      </c>
      <c r="C97" s="119"/>
      <c r="W97" s="84"/>
    </row>
    <row r="98" spans="1:25" ht="15" x14ac:dyDescent="0.2">
      <c r="A98" s="62" t="s">
        <v>334</v>
      </c>
      <c r="B98" s="62" t="s">
        <v>335</v>
      </c>
      <c r="C98" s="75" t="s">
        <v>223</v>
      </c>
      <c r="D98" s="76">
        <v>65.323700000000002</v>
      </c>
      <c r="E98" s="76">
        <v>107.5048</v>
      </c>
      <c r="F98" s="76">
        <v>397.1782</v>
      </c>
      <c r="G98" s="76">
        <v>575.73329999999999</v>
      </c>
      <c r="H98" s="76">
        <v>17115.075499999999</v>
      </c>
      <c r="I98" s="76">
        <v>206789.4817</v>
      </c>
      <c r="J98" s="76">
        <v>476596.28899999999</v>
      </c>
      <c r="K98" s="76">
        <v>534127.51379999903</v>
      </c>
      <c r="L98" s="76">
        <f>+P2a!D138-L102</f>
        <v>507440.97039999993</v>
      </c>
      <c r="M98" s="76">
        <f>+P2a!E138</f>
        <v>504763.907899999</v>
      </c>
      <c r="N98" s="76">
        <f>+P2a!F138-N102</f>
        <v>492913.92100000102</v>
      </c>
      <c r="O98" s="76">
        <v>481544.82620000601</v>
      </c>
      <c r="P98" s="76">
        <v>469295</v>
      </c>
      <c r="Q98" s="76">
        <v>595219</v>
      </c>
      <c r="R98" s="76">
        <v>589003.41019999899</v>
      </c>
      <c r="S98" s="76">
        <v>1063011.4964999999</v>
      </c>
      <c r="T98" s="76">
        <v>985037.44699999795</v>
      </c>
      <c r="U98" s="76">
        <v>1553579.3159999901</v>
      </c>
      <c r="V98" s="76">
        <v>1429099.7386999901</v>
      </c>
      <c r="W98" s="76">
        <v>1691062.96789999</v>
      </c>
      <c r="X98" s="46"/>
      <c r="Y98" s="451" t="s">
        <v>336</v>
      </c>
    </row>
    <row r="99" spans="1:25" ht="30" x14ac:dyDescent="0.2">
      <c r="A99" s="62" t="s">
        <v>337</v>
      </c>
      <c r="B99" s="62" t="s">
        <v>338</v>
      </c>
      <c r="C99" s="63" t="s">
        <v>190</v>
      </c>
      <c r="D99" s="88">
        <f t="shared" ref="D99:W99" si="33">D98/D95</f>
        <v>7.4500098864327893E-6</v>
      </c>
      <c r="E99" s="88">
        <f t="shared" si="33"/>
        <v>1.5994363955705539E-5</v>
      </c>
      <c r="F99" s="88">
        <f t="shared" si="33"/>
        <v>6.0845572031664513E-5</v>
      </c>
      <c r="G99" s="88">
        <f t="shared" si="33"/>
        <v>8.6434959010826473E-5</v>
      </c>
      <c r="H99" s="88">
        <f t="shared" si="33"/>
        <v>3.3542769531068693E-3</v>
      </c>
      <c r="I99" s="88">
        <f t="shared" si="33"/>
        <v>4.328741163415524E-2</v>
      </c>
      <c r="J99" s="88">
        <f t="shared" si="33"/>
        <v>0.1002765925869777</v>
      </c>
      <c r="K99" s="88">
        <f t="shared" si="33"/>
        <v>0.10498888316630052</v>
      </c>
      <c r="L99" s="88">
        <f t="shared" si="33"/>
        <v>0.10150169081593136</v>
      </c>
      <c r="M99" s="88">
        <f t="shared" si="33"/>
        <v>0.1016593417405041</v>
      </c>
      <c r="N99" s="88">
        <f t="shared" si="33"/>
        <v>9.861438240925964E-2</v>
      </c>
      <c r="O99" s="88">
        <f t="shared" si="33"/>
        <v>9.0824731157928218E-2</v>
      </c>
      <c r="P99" s="88">
        <f t="shared" si="33"/>
        <v>9.6814495383498705E-2</v>
      </c>
      <c r="Q99" s="88">
        <f t="shared" si="33"/>
        <v>0.11730747778073575</v>
      </c>
      <c r="R99" s="88">
        <f t="shared" si="33"/>
        <v>0.11868256198535374</v>
      </c>
      <c r="S99" s="88">
        <f t="shared" si="33"/>
        <v>0.18776051525714349</v>
      </c>
      <c r="T99" s="88">
        <f t="shared" si="33"/>
        <v>0.17838946048107809</v>
      </c>
      <c r="U99" s="88">
        <f t="shared" si="33"/>
        <v>0.23386988048605578</v>
      </c>
      <c r="V99" s="88">
        <f t="shared" si="33"/>
        <v>0.23057052878496073</v>
      </c>
      <c r="W99" s="88">
        <f t="shared" si="33"/>
        <v>0.2431496040684113</v>
      </c>
      <c r="X99" s="46"/>
      <c r="Y99" s="451" t="s">
        <v>339</v>
      </c>
    </row>
    <row r="100" spans="1:25" ht="30" x14ac:dyDescent="0.2">
      <c r="A100" s="62" t="s">
        <v>340</v>
      </c>
      <c r="B100" s="62" t="s">
        <v>341</v>
      </c>
      <c r="C100" s="75" t="s">
        <v>223</v>
      </c>
      <c r="D100" s="76">
        <v>0</v>
      </c>
      <c r="E100" s="76">
        <v>0</v>
      </c>
      <c r="F100" s="76">
        <v>0</v>
      </c>
      <c r="G100" s="76">
        <v>0</v>
      </c>
      <c r="H100" s="76">
        <v>0</v>
      </c>
      <c r="I100" s="76">
        <v>0</v>
      </c>
      <c r="J100" s="76">
        <v>0</v>
      </c>
      <c r="K100" s="76">
        <v>267953.8504</v>
      </c>
      <c r="L100" s="76">
        <f>+P2a!D140-L102</f>
        <v>234063.4803000009</v>
      </c>
      <c r="M100" s="76">
        <f>+P2a!E140-M102</f>
        <v>231605.79629999999</v>
      </c>
      <c r="N100" s="76">
        <f>+P2a!F140-N102</f>
        <v>222793.33930000098</v>
      </c>
      <c r="O100" s="76">
        <f>269274.256300011-O102</f>
        <v>242267.92090001112</v>
      </c>
      <c r="P100" s="76">
        <v>245807.8658</v>
      </c>
      <c r="Q100" s="76">
        <v>244728.187799999</v>
      </c>
      <c r="R100" s="76">
        <v>247942.44809999899</v>
      </c>
      <c r="S100" s="76">
        <v>249227.80590000001</v>
      </c>
      <c r="T100" s="76">
        <v>252565.94409999999</v>
      </c>
      <c r="U100" s="76">
        <v>272311.978</v>
      </c>
      <c r="V100" s="76">
        <v>250120.6398</v>
      </c>
      <c r="W100" s="76">
        <v>266806.11259999999</v>
      </c>
      <c r="X100" s="46"/>
      <c r="Y100" s="451" t="s">
        <v>342</v>
      </c>
    </row>
    <row r="101" spans="1:25" ht="30" x14ac:dyDescent="0.2">
      <c r="A101" s="62" t="s">
        <v>343</v>
      </c>
      <c r="B101" s="62" t="s">
        <v>344</v>
      </c>
      <c r="C101" s="63" t="s">
        <v>190</v>
      </c>
      <c r="D101" s="89">
        <f t="shared" ref="D101:W101" si="34">D100/D95</f>
        <v>0</v>
      </c>
      <c r="E101" s="89">
        <f t="shared" si="34"/>
        <v>0</v>
      </c>
      <c r="F101" s="89">
        <f t="shared" si="34"/>
        <v>0</v>
      </c>
      <c r="G101" s="89">
        <f t="shared" si="34"/>
        <v>0</v>
      </c>
      <c r="H101" s="89">
        <f t="shared" si="34"/>
        <v>0</v>
      </c>
      <c r="I101" s="89">
        <f t="shared" si="34"/>
        <v>0</v>
      </c>
      <c r="J101" s="89">
        <f t="shared" si="34"/>
        <v>0</v>
      </c>
      <c r="K101" s="89">
        <f t="shared" si="34"/>
        <v>5.2669399659759704E-2</v>
      </c>
      <c r="L101" s="89">
        <f t="shared" si="34"/>
        <v>4.6818921597883527E-2</v>
      </c>
      <c r="M101" s="89">
        <f t="shared" si="34"/>
        <v>4.6645357218780902E-2</v>
      </c>
      <c r="N101" s="89">
        <f t="shared" si="34"/>
        <v>4.4572950010000195E-2</v>
      </c>
      <c r="O101" s="89">
        <f t="shared" si="34"/>
        <v>4.5694435048907717E-2</v>
      </c>
      <c r="P101" s="89">
        <f t="shared" si="34"/>
        <v>5.0709605874176729E-2</v>
      </c>
      <c r="Q101" s="89">
        <f t="shared" si="34"/>
        <v>4.8231737314615476E-2</v>
      </c>
      <c r="R101" s="89">
        <f t="shared" si="34"/>
        <v>4.9959719172825483E-2</v>
      </c>
      <c r="S101" s="89">
        <f t="shared" si="34"/>
        <v>4.4021293660760845E-2</v>
      </c>
      <c r="T101" s="89">
        <f t="shared" si="34"/>
        <v>4.573948192640967E-2</v>
      </c>
      <c r="U101" s="89">
        <f t="shared" si="34"/>
        <v>4.0992802294608985E-2</v>
      </c>
      <c r="V101" s="89">
        <f t="shared" si="34"/>
        <v>4.0354389982031488E-2</v>
      </c>
      <c r="W101" s="89">
        <f t="shared" si="34"/>
        <v>3.8362735080340674E-2</v>
      </c>
      <c r="X101" s="46"/>
      <c r="Y101" s="451" t="s">
        <v>345</v>
      </c>
    </row>
    <row r="102" spans="1:25" ht="15" x14ac:dyDescent="0.2">
      <c r="A102" s="62" t="s">
        <v>346</v>
      </c>
      <c r="B102" s="62" t="s">
        <v>347</v>
      </c>
      <c r="C102" s="75" t="s">
        <v>223</v>
      </c>
      <c r="D102" s="76">
        <v>0</v>
      </c>
      <c r="E102" s="76">
        <v>0</v>
      </c>
      <c r="F102" s="76">
        <v>0</v>
      </c>
      <c r="G102" s="76">
        <v>0</v>
      </c>
      <c r="H102" s="76">
        <v>0</v>
      </c>
      <c r="I102" s="76">
        <v>0</v>
      </c>
      <c r="J102" s="76">
        <v>0</v>
      </c>
      <c r="K102" s="76">
        <v>28446.3606</v>
      </c>
      <c r="L102" s="76">
        <f>+P2a!D142</f>
        <v>29177.4890000001</v>
      </c>
      <c r="M102" s="76">
        <f>+P2a!E142</f>
        <v>24719.813699999999</v>
      </c>
      <c r="N102" s="76">
        <f>+P2a!F142</f>
        <v>24312.415099999998</v>
      </c>
      <c r="O102" s="76">
        <v>27006.335399999902</v>
      </c>
      <c r="P102" s="76">
        <v>29942</v>
      </c>
      <c r="Q102" s="76">
        <v>30444</v>
      </c>
      <c r="R102" s="76">
        <v>30010.6505</v>
      </c>
      <c r="S102" s="76">
        <v>32766.505099999998</v>
      </c>
      <c r="T102" s="76">
        <v>52817.138499999899</v>
      </c>
      <c r="U102" s="76">
        <v>76772.554099999994</v>
      </c>
      <c r="V102" s="76">
        <v>74561.3897</v>
      </c>
      <c r="W102" s="76">
        <v>91442.6853999999</v>
      </c>
      <c r="X102" s="46"/>
      <c r="Y102" s="451" t="s">
        <v>348</v>
      </c>
    </row>
    <row r="103" spans="1:25" ht="30" x14ac:dyDescent="0.2">
      <c r="A103" s="62" t="s">
        <v>349</v>
      </c>
      <c r="B103" s="62" t="s">
        <v>350</v>
      </c>
      <c r="C103" s="63" t="s">
        <v>190</v>
      </c>
      <c r="D103" s="89">
        <f t="shared" ref="D103:W103" si="35">D102/D95</f>
        <v>0</v>
      </c>
      <c r="E103" s="89">
        <f t="shared" si="35"/>
        <v>0</v>
      </c>
      <c r="F103" s="89">
        <f t="shared" si="35"/>
        <v>0</v>
      </c>
      <c r="G103" s="89">
        <f t="shared" si="35"/>
        <v>0</v>
      </c>
      <c r="H103" s="89">
        <f t="shared" si="35"/>
        <v>0</v>
      </c>
      <c r="I103" s="89">
        <f t="shared" si="35"/>
        <v>0</v>
      </c>
      <c r="J103" s="89">
        <f t="shared" si="35"/>
        <v>0</v>
      </c>
      <c r="K103" s="89">
        <f t="shared" si="35"/>
        <v>5.5914581300864257E-3</v>
      </c>
      <c r="L103" s="89">
        <f t="shared" si="35"/>
        <v>5.8362738525601096E-3</v>
      </c>
      <c r="M103" s="89">
        <f t="shared" si="35"/>
        <v>4.9785651259118078E-3</v>
      </c>
      <c r="N103" s="89">
        <f t="shared" si="35"/>
        <v>4.8640415655131263E-3</v>
      </c>
      <c r="O103" s="89">
        <f t="shared" si="35"/>
        <v>5.0936964095779965E-3</v>
      </c>
      <c r="P103" s="89">
        <f t="shared" si="35"/>
        <v>6.1769667709494413E-3</v>
      </c>
      <c r="Q103" s="89">
        <f t="shared" si="35"/>
        <v>5.9999913536979152E-3</v>
      </c>
      <c r="R103" s="89">
        <f t="shared" si="35"/>
        <v>6.0470632707841712E-3</v>
      </c>
      <c r="S103" s="89">
        <f t="shared" si="35"/>
        <v>5.7875722896773207E-3</v>
      </c>
      <c r="T103" s="89">
        <f t="shared" si="35"/>
        <v>9.5651397516559392E-3</v>
      </c>
      <c r="U103" s="89">
        <f t="shared" si="35"/>
        <v>1.1557046278270845E-2</v>
      </c>
      <c r="V103" s="89">
        <f t="shared" si="35"/>
        <v>1.202971254176372E-2</v>
      </c>
      <c r="W103" s="89">
        <f t="shared" si="35"/>
        <v>1.3148092751137113E-2</v>
      </c>
      <c r="X103" s="46"/>
    </row>
    <row r="104" spans="1:25" ht="15" x14ac:dyDescent="0.2">
      <c r="A104" s="108"/>
      <c r="B104" s="109"/>
      <c r="C104" s="110"/>
      <c r="D104" s="72"/>
      <c r="E104" s="72"/>
      <c r="F104" s="72"/>
      <c r="G104" s="72"/>
      <c r="H104" s="72"/>
      <c r="I104" s="72"/>
      <c r="J104" s="72"/>
      <c r="K104" s="72"/>
      <c r="L104" s="72"/>
      <c r="M104" s="72"/>
      <c r="N104" s="72"/>
      <c r="O104" s="72"/>
      <c r="P104" s="72"/>
      <c r="Q104" s="72"/>
      <c r="R104" s="72"/>
      <c r="S104" s="72"/>
      <c r="T104" s="72"/>
      <c r="U104" s="72"/>
      <c r="V104" s="72"/>
      <c r="W104" s="72"/>
    </row>
    <row r="105" spans="1:25" ht="15" x14ac:dyDescent="0.2">
      <c r="W105" s="59"/>
    </row>
    <row r="106" spans="1:25" ht="15" x14ac:dyDescent="0.2">
      <c r="W106" s="59"/>
    </row>
    <row r="107" spans="1:25" ht="15.75" x14ac:dyDescent="0.25">
      <c r="B107" s="73" t="s">
        <v>351</v>
      </c>
      <c r="W107" s="60"/>
    </row>
    <row r="108" spans="1:25" ht="31.5" x14ac:dyDescent="0.2">
      <c r="A108" s="9"/>
      <c r="B108" s="9" t="s">
        <v>352</v>
      </c>
      <c r="C108" s="31" t="s">
        <v>159</v>
      </c>
      <c r="D108" s="61" t="str">
        <f t="shared" ref="D108:O108" si="36">+D$14</f>
        <v>2010-11 RF</v>
      </c>
      <c r="E108" s="61" t="str">
        <f t="shared" si="36"/>
        <v>2011-12 RF</v>
      </c>
      <c r="F108" s="61" t="str">
        <f t="shared" si="36"/>
        <v>2012-13 RF</v>
      </c>
      <c r="G108" s="61" t="str">
        <f t="shared" si="36"/>
        <v>2013-14 RF</v>
      </c>
      <c r="H108" s="61" t="str">
        <f t="shared" si="36"/>
        <v>2014-15 RF</v>
      </c>
      <c r="I108" s="61" t="str">
        <f t="shared" si="36"/>
        <v>2015-16 RF</v>
      </c>
      <c r="J108" s="61" t="str">
        <f t="shared" si="36"/>
        <v>2016-17 RF</v>
      </c>
      <c r="K108" s="61" t="str">
        <f t="shared" si="36"/>
        <v>2017-18 RF</v>
      </c>
      <c r="L108" s="61" t="str">
        <f t="shared" si="36"/>
        <v>2018-19 RF</v>
      </c>
      <c r="M108" s="61" t="str">
        <f t="shared" si="36"/>
        <v>2019-20 month</v>
      </c>
      <c r="N108" s="61" t="str">
        <f t="shared" si="36"/>
        <v>2019-20 RF</v>
      </c>
      <c r="O108" s="61" t="str">
        <f t="shared" si="36"/>
        <v>2020-21 month</v>
      </c>
      <c r="P108" s="61" t="s">
        <v>18</v>
      </c>
      <c r="Q108" s="61" t="s">
        <v>162</v>
      </c>
      <c r="R108" s="61" t="s">
        <v>20</v>
      </c>
      <c r="S108" s="61" t="s">
        <v>163</v>
      </c>
      <c r="T108" s="61" t="s">
        <v>22</v>
      </c>
      <c r="U108" s="61" t="s">
        <v>23</v>
      </c>
      <c r="V108" s="61" t="s">
        <v>24</v>
      </c>
      <c r="W108" s="61" t="s">
        <v>25</v>
      </c>
      <c r="X108" s="46"/>
    </row>
    <row r="109" spans="1:25" ht="15" x14ac:dyDescent="0.2">
      <c r="A109" s="62" t="s">
        <v>353</v>
      </c>
      <c r="B109" s="74" t="s">
        <v>222</v>
      </c>
      <c r="C109" s="75" t="s">
        <v>223</v>
      </c>
      <c r="D109" s="76">
        <v>86604.214518712193</v>
      </c>
      <c r="E109" s="76">
        <v>97424.669398907296</v>
      </c>
      <c r="F109" s="76">
        <v>99428.665753424095</v>
      </c>
      <c r="G109" s="76">
        <v>100253.358904109</v>
      </c>
      <c r="H109" s="76">
        <v>100917.531506851</v>
      </c>
      <c r="I109" s="76">
        <v>102790.846994536</v>
      </c>
      <c r="J109" s="76">
        <v>104937.479452058</v>
      </c>
      <c r="K109" s="76">
        <v>116153.443835616</v>
      </c>
      <c r="L109" s="76">
        <f>+P2a!D147</f>
        <v>117504.79452054801</v>
      </c>
      <c r="M109" s="76">
        <f>+P2a!E147</f>
        <v>119903.69398907101</v>
      </c>
      <c r="N109" s="76">
        <f>+P2a!F147</f>
        <v>119176.057377039</v>
      </c>
      <c r="O109" s="76">
        <v>120263.78630136899</v>
      </c>
      <c r="P109" s="76">
        <v>119779.82</v>
      </c>
      <c r="Q109" s="76">
        <v>121014.48</v>
      </c>
      <c r="R109" s="76">
        <v>120798.769863012</v>
      </c>
      <c r="S109" s="76">
        <v>122004.02191779501</v>
      </c>
      <c r="T109" s="76">
        <v>121154.890410958</v>
      </c>
      <c r="U109" s="76">
        <v>122248.204918034</v>
      </c>
      <c r="V109" s="76">
        <v>120751.5</v>
      </c>
      <c r="W109" s="76">
        <v>121251.95890409499</v>
      </c>
      <c r="X109" s="46"/>
      <c r="Y109" s="451" t="s">
        <v>354</v>
      </c>
    </row>
    <row r="110" spans="1:25" ht="15" x14ac:dyDescent="0.2">
      <c r="A110" s="62" t="s">
        <v>355</v>
      </c>
      <c r="B110" s="77" t="s">
        <v>226</v>
      </c>
      <c r="C110" s="75" t="s">
        <v>223</v>
      </c>
      <c r="D110" s="76">
        <v>8737.5650281369508</v>
      </c>
      <c r="E110" s="76">
        <v>8651.7021857923501</v>
      </c>
      <c r="F110" s="76">
        <v>8467.94246575344</v>
      </c>
      <c r="G110" s="76">
        <v>8212.2931506849309</v>
      </c>
      <c r="H110" s="76">
        <v>8234.4657534246508</v>
      </c>
      <c r="I110" s="76">
        <v>8391</v>
      </c>
      <c r="J110" s="76">
        <v>8355.6136986301408</v>
      </c>
      <c r="K110" s="76">
        <v>8915.7506849315105</v>
      </c>
      <c r="L110" s="76">
        <f>+P2a!D148</f>
        <v>8644.5095890411194</v>
      </c>
      <c r="M110" s="76">
        <f>+P2a!E148</f>
        <v>8596.2295081967204</v>
      </c>
      <c r="N110" s="76">
        <f>+P2a!F148</f>
        <v>8528.8360655738306</v>
      </c>
      <c r="O110" s="76">
        <v>8451.7972602739792</v>
      </c>
      <c r="P110" s="76">
        <v>8420.59</v>
      </c>
      <c r="Q110" s="76">
        <v>8357.27</v>
      </c>
      <c r="R110" s="76">
        <v>8332.1945205479406</v>
      </c>
      <c r="S110" s="76">
        <v>8306.1780821918892</v>
      </c>
      <c r="T110" s="76">
        <v>8277.7890410958807</v>
      </c>
      <c r="U110" s="76">
        <v>8271.6475409836403</v>
      </c>
      <c r="V110" s="76">
        <v>8209.1885245901594</v>
      </c>
      <c r="W110" s="76">
        <v>8178.4383561641698</v>
      </c>
      <c r="X110" s="46"/>
      <c r="Y110" s="451" t="s">
        <v>356</v>
      </c>
    </row>
    <row r="111" spans="1:25" ht="15" x14ac:dyDescent="0.2">
      <c r="A111" s="62" t="s">
        <v>357</v>
      </c>
      <c r="B111" s="77" t="s">
        <v>229</v>
      </c>
      <c r="C111" s="75" t="s">
        <v>223</v>
      </c>
      <c r="D111" s="76">
        <v>1443.00903375343</v>
      </c>
      <c r="E111" s="76">
        <v>1519.17759562842</v>
      </c>
      <c r="F111" s="76">
        <v>1603.1369863013699</v>
      </c>
      <c r="G111" s="76">
        <v>1637.36712328767</v>
      </c>
      <c r="H111" s="76">
        <v>1680.9232876712299</v>
      </c>
      <c r="I111" s="76">
        <v>1667.1967213114799</v>
      </c>
      <c r="J111" s="76">
        <v>1664.0465753424701</v>
      </c>
      <c r="K111" s="76">
        <v>1767.95616438356</v>
      </c>
      <c r="L111" s="76">
        <f>+P2a!D149</f>
        <v>1743.1123287671201</v>
      </c>
      <c r="M111" s="76">
        <f>+P2a!E149</f>
        <v>1775.47540983607</v>
      </c>
      <c r="N111" s="76">
        <f>+P2a!F149</f>
        <v>1762.9972677595599</v>
      </c>
      <c r="O111" s="76">
        <v>1795.4821917808199</v>
      </c>
      <c r="P111" s="76">
        <v>1784.08</v>
      </c>
      <c r="Q111" s="76">
        <v>1819.82</v>
      </c>
      <c r="R111" s="76">
        <v>1819.61643835616</v>
      </c>
      <c r="S111" s="76">
        <v>1845.9232876712099</v>
      </c>
      <c r="T111" s="76">
        <v>1843.28767123287</v>
      </c>
      <c r="U111" s="76">
        <v>1870.6775956284</v>
      </c>
      <c r="V111" s="76">
        <v>1860.8825136611999</v>
      </c>
      <c r="W111" s="76">
        <v>1884.1863013698501</v>
      </c>
      <c r="X111" s="46"/>
      <c r="Y111" s="451" t="s">
        <v>358</v>
      </c>
    </row>
    <row r="112" spans="1:25" ht="15" x14ac:dyDescent="0.2">
      <c r="A112" s="62" t="s">
        <v>359</v>
      </c>
      <c r="B112" s="77" t="s">
        <v>232</v>
      </c>
      <c r="C112" s="75" t="s">
        <v>223</v>
      </c>
      <c r="D112" s="76">
        <v>1191.12783054794</v>
      </c>
      <c r="E112" s="76">
        <v>1285.96174863388</v>
      </c>
      <c r="F112" s="76">
        <v>1304.7178082191799</v>
      </c>
      <c r="G112" s="76">
        <v>1324.9315068493099</v>
      </c>
      <c r="H112" s="76">
        <v>1330.3780821917801</v>
      </c>
      <c r="I112" s="76">
        <v>1297.0218579235</v>
      </c>
      <c r="J112" s="76">
        <v>1260.5397260274001</v>
      </c>
      <c r="K112" s="76">
        <v>1287.92602739726</v>
      </c>
      <c r="L112" s="76">
        <f>+P2a!D150</f>
        <v>1262.38356164384</v>
      </c>
      <c r="M112" s="76">
        <f>+P2a!E150</f>
        <v>1252.34699453552</v>
      </c>
      <c r="N112" s="76">
        <f>+P2a!F150</f>
        <v>1238.62295081967</v>
      </c>
      <c r="O112" s="76">
        <v>1231.2821917808201</v>
      </c>
      <c r="P112" s="76">
        <v>1225.1600000000001</v>
      </c>
      <c r="Q112" s="76">
        <v>1218.8499999999999</v>
      </c>
      <c r="R112" s="76">
        <v>1212.25753424657</v>
      </c>
      <c r="S112" s="76">
        <v>1209.96438356164</v>
      </c>
      <c r="T112" s="76">
        <v>1210.6136986301301</v>
      </c>
      <c r="U112" s="76">
        <v>1209.0874316939801</v>
      </c>
      <c r="V112" s="76">
        <v>1202.43169398907</v>
      </c>
      <c r="W112" s="76">
        <v>1194.1808219177899</v>
      </c>
      <c r="X112" s="46"/>
      <c r="Y112" s="451" t="s">
        <v>360</v>
      </c>
    </row>
    <row r="113" spans="1:25" ht="15" x14ac:dyDescent="0.2">
      <c r="A113" s="62" t="s">
        <v>361</v>
      </c>
      <c r="B113" s="77" t="s">
        <v>235</v>
      </c>
      <c r="C113" s="75" t="s">
        <v>223</v>
      </c>
      <c r="D113" s="76">
        <v>387.895888410959</v>
      </c>
      <c r="E113" s="76">
        <v>356.58196721311498</v>
      </c>
      <c r="F113" s="76">
        <v>354.03013698630099</v>
      </c>
      <c r="G113" s="76">
        <v>281.17260273972602</v>
      </c>
      <c r="H113" s="76">
        <v>269.16712328767102</v>
      </c>
      <c r="I113" s="76">
        <v>270.33333333333297</v>
      </c>
      <c r="J113" s="76">
        <v>267.24657534246597</v>
      </c>
      <c r="K113" s="76">
        <v>312.55890410958898</v>
      </c>
      <c r="L113" s="76">
        <f>+P2a!D151</f>
        <v>304.15068493150699</v>
      </c>
      <c r="M113" s="76">
        <f>+P2a!E151</f>
        <v>302.72404371584702</v>
      </c>
      <c r="N113" s="76">
        <f>+P2a!F151</f>
        <v>297.37158469945399</v>
      </c>
      <c r="O113" s="76">
        <v>300.42465753424699</v>
      </c>
      <c r="P113" s="76">
        <v>293.75</v>
      </c>
      <c r="Q113" s="76">
        <v>284.08</v>
      </c>
      <c r="R113" s="76">
        <v>280.34246575342399</v>
      </c>
      <c r="S113" s="76">
        <v>282.25753424657501</v>
      </c>
      <c r="T113" s="76">
        <v>281.03013698630099</v>
      </c>
      <c r="U113" s="76">
        <v>283.85519125682998</v>
      </c>
      <c r="V113" s="76">
        <v>280.30601092896097</v>
      </c>
      <c r="W113" s="76">
        <v>287.68493150684901</v>
      </c>
      <c r="X113" s="46"/>
      <c r="Y113" s="451" t="s">
        <v>362</v>
      </c>
    </row>
    <row r="114" spans="1:25" ht="15" x14ac:dyDescent="0.2">
      <c r="A114" s="62" t="s">
        <v>363</v>
      </c>
      <c r="B114" s="77" t="s">
        <v>364</v>
      </c>
      <c r="C114" s="75" t="s">
        <v>223</v>
      </c>
      <c r="D114" s="76">
        <v>80.772602739725997</v>
      </c>
      <c r="E114" s="76">
        <v>80.565573770491795</v>
      </c>
      <c r="F114" s="76">
        <v>76.095890410958901</v>
      </c>
      <c r="G114" s="76">
        <v>78.580821917808194</v>
      </c>
      <c r="H114" s="76">
        <v>79.868493150684898</v>
      </c>
      <c r="I114" s="76">
        <v>73.571038251366105</v>
      </c>
      <c r="J114" s="76">
        <v>68.805479452054797</v>
      </c>
      <c r="K114" s="76">
        <v>71.586301369862994</v>
      </c>
      <c r="L114" s="76">
        <f>+P2a!D152</f>
        <v>69.715068493150696</v>
      </c>
      <c r="M114" s="76">
        <f>+P2a!E152</f>
        <v>69</v>
      </c>
      <c r="N114" s="76">
        <f>+P2a!F152</f>
        <v>68</v>
      </c>
      <c r="O114" s="76">
        <v>67.512328767123293</v>
      </c>
      <c r="P114" s="76">
        <v>67.56</v>
      </c>
      <c r="Q114" s="76">
        <v>64.08</v>
      </c>
      <c r="R114" s="76">
        <v>62.986301369863</v>
      </c>
      <c r="S114" s="76">
        <v>63.087671232876701</v>
      </c>
      <c r="T114" s="76">
        <v>63.087671232876701</v>
      </c>
      <c r="U114" s="76">
        <v>64.330601092896103</v>
      </c>
      <c r="V114" s="76">
        <v>63.5300546448087</v>
      </c>
      <c r="W114" s="76">
        <v>61.115068493150602</v>
      </c>
      <c r="X114" s="46"/>
      <c r="Y114" s="451" t="s">
        <v>365</v>
      </c>
    </row>
    <row r="115" spans="1:25" ht="15" x14ac:dyDescent="0.2">
      <c r="A115" s="62" t="s">
        <v>366</v>
      </c>
      <c r="B115" s="77" t="s">
        <v>367</v>
      </c>
      <c r="C115" s="75" t="s">
        <v>223</v>
      </c>
      <c r="D115" s="76">
        <v>15.328767123287699</v>
      </c>
      <c r="E115" s="76">
        <v>16.4125683060109</v>
      </c>
      <c r="F115" s="76">
        <v>19.057534246575301</v>
      </c>
      <c r="G115" s="76">
        <v>19.610958904109602</v>
      </c>
      <c r="H115" s="76">
        <v>20.2712328767123</v>
      </c>
      <c r="I115" s="76">
        <v>21.841530054644799</v>
      </c>
      <c r="J115" s="76">
        <v>20.065753424657501</v>
      </c>
      <c r="K115" s="76">
        <v>20.356164383561602</v>
      </c>
      <c r="L115" s="76">
        <f>+P2a!D153</f>
        <v>21.578082191780801</v>
      </c>
      <c r="M115" s="76">
        <f>+P2a!E153</f>
        <v>21</v>
      </c>
      <c r="N115" s="76">
        <f>+P2a!F153</f>
        <v>21</v>
      </c>
      <c r="O115" s="76">
        <v>20.873972602739698</v>
      </c>
      <c r="P115" s="76">
        <v>20</v>
      </c>
      <c r="Q115" s="76">
        <v>19.48</v>
      </c>
      <c r="R115" s="76">
        <v>19.4767123287671</v>
      </c>
      <c r="S115" s="76">
        <v>19</v>
      </c>
      <c r="T115" s="76">
        <v>19</v>
      </c>
      <c r="U115" s="76">
        <v>19.002732240437101</v>
      </c>
      <c r="V115" s="76">
        <v>19.002732240437101</v>
      </c>
      <c r="W115" s="76">
        <v>18.9972602739726</v>
      </c>
      <c r="X115" s="46"/>
      <c r="Y115" s="451" t="s">
        <v>368</v>
      </c>
    </row>
    <row r="116" spans="1:25" ht="15" x14ac:dyDescent="0.2">
      <c r="A116" s="62" t="s">
        <v>369</v>
      </c>
      <c r="B116" s="77" t="s">
        <v>370</v>
      </c>
      <c r="C116" s="75" t="s">
        <v>223</v>
      </c>
      <c r="D116" s="76">
        <v>5.2054794520547896</v>
      </c>
      <c r="E116" s="76">
        <v>5</v>
      </c>
      <c r="F116" s="76">
        <v>4.2821917808219201</v>
      </c>
      <c r="G116" s="76">
        <v>3.0849315068493199</v>
      </c>
      <c r="H116" s="76">
        <v>3</v>
      </c>
      <c r="I116" s="76">
        <v>2.2841530054644799</v>
      </c>
      <c r="J116" s="76">
        <v>0.142465753424658</v>
      </c>
      <c r="K116" s="76">
        <v>0</v>
      </c>
      <c r="L116" s="76">
        <f>+P2a!D154</f>
        <v>0</v>
      </c>
      <c r="M116" s="76">
        <f>+P2a!E154</f>
        <v>0</v>
      </c>
      <c r="N116" s="76">
        <f>+P2a!F154</f>
        <v>0</v>
      </c>
      <c r="O116" s="76">
        <v>0</v>
      </c>
      <c r="P116" s="76">
        <v>0</v>
      </c>
      <c r="Q116" s="76">
        <v>0</v>
      </c>
      <c r="R116" s="76">
        <v>0</v>
      </c>
      <c r="S116" s="76">
        <v>0</v>
      </c>
      <c r="T116" s="76">
        <v>0</v>
      </c>
      <c r="U116" s="76">
        <v>0.87978142076502697</v>
      </c>
      <c r="V116" s="76">
        <v>0.87978142076502697</v>
      </c>
      <c r="W116" s="76">
        <v>1</v>
      </c>
      <c r="X116" s="46"/>
      <c r="Y116" s="451" t="s">
        <v>371</v>
      </c>
    </row>
    <row r="117" spans="1:25" ht="15" x14ac:dyDescent="0.2">
      <c r="A117" s="62" t="s">
        <v>372</v>
      </c>
      <c r="B117" s="77" t="s">
        <v>373</v>
      </c>
      <c r="C117" s="75" t="s">
        <v>223</v>
      </c>
      <c r="D117" s="76">
        <v>2</v>
      </c>
      <c r="E117" s="76">
        <v>2</v>
      </c>
      <c r="F117" s="76">
        <v>2</v>
      </c>
      <c r="G117" s="76">
        <v>2</v>
      </c>
      <c r="H117" s="76">
        <v>2</v>
      </c>
      <c r="I117" s="76">
        <v>2</v>
      </c>
      <c r="J117" s="76">
        <v>1.09315068493151</v>
      </c>
      <c r="K117" s="76">
        <v>1</v>
      </c>
      <c r="L117" s="76">
        <f>+P2a!D155</f>
        <v>1</v>
      </c>
      <c r="M117" s="76">
        <f>+P2a!E155</f>
        <v>1</v>
      </c>
      <c r="N117" s="76">
        <f>+P2a!F155</f>
        <v>1</v>
      </c>
      <c r="O117" s="76">
        <v>1</v>
      </c>
      <c r="P117" s="76">
        <v>1</v>
      </c>
      <c r="Q117" s="76">
        <v>1.17</v>
      </c>
      <c r="R117" s="76">
        <v>1</v>
      </c>
      <c r="S117" s="76">
        <v>1</v>
      </c>
      <c r="T117" s="76">
        <v>1</v>
      </c>
      <c r="U117" s="76">
        <v>1</v>
      </c>
      <c r="V117" s="76">
        <v>1</v>
      </c>
      <c r="W117" s="76">
        <v>1</v>
      </c>
      <c r="X117" s="46"/>
      <c r="Y117" s="451" t="s">
        <v>374</v>
      </c>
    </row>
    <row r="118" spans="1:25" ht="15" x14ac:dyDescent="0.2">
      <c r="A118" s="62" t="s">
        <v>375</v>
      </c>
      <c r="B118" s="77" t="s">
        <v>376</v>
      </c>
      <c r="C118" s="75" t="s">
        <v>223</v>
      </c>
      <c r="D118" s="76">
        <v>2</v>
      </c>
      <c r="E118" s="76">
        <v>2</v>
      </c>
      <c r="F118" s="76">
        <v>2</v>
      </c>
      <c r="G118" s="76">
        <v>2.0027397260274</v>
      </c>
      <c r="H118" s="76">
        <v>2</v>
      </c>
      <c r="I118" s="76">
        <v>2</v>
      </c>
      <c r="J118" s="76">
        <v>2</v>
      </c>
      <c r="K118" s="76">
        <v>2</v>
      </c>
      <c r="L118" s="76">
        <f>+P2a!D156</f>
        <v>2</v>
      </c>
      <c r="M118" s="76">
        <f>+P2a!E156</f>
        <v>2</v>
      </c>
      <c r="N118" s="76">
        <f>+P2a!F156</f>
        <v>2</v>
      </c>
      <c r="O118" s="76">
        <v>2</v>
      </c>
      <c r="P118" s="76">
        <v>2</v>
      </c>
      <c r="Q118" s="76">
        <v>2</v>
      </c>
      <c r="R118" s="76">
        <v>2</v>
      </c>
      <c r="S118" s="76">
        <v>2</v>
      </c>
      <c r="T118" s="76">
        <v>2</v>
      </c>
      <c r="U118" s="76">
        <v>2</v>
      </c>
      <c r="V118" s="76">
        <v>2</v>
      </c>
      <c r="W118" s="76">
        <v>2</v>
      </c>
      <c r="X118" s="46"/>
      <c r="Y118" s="451" t="s">
        <v>377</v>
      </c>
    </row>
    <row r="119" spans="1:25" ht="15" x14ac:dyDescent="0.2">
      <c r="A119" s="62" t="s">
        <v>378</v>
      </c>
      <c r="B119" s="71" t="s">
        <v>238</v>
      </c>
      <c r="C119" s="63" t="s">
        <v>190</v>
      </c>
      <c r="D119" s="64">
        <f t="shared" ref="D119:W119" si="37">SUM(D109:D118)</f>
        <v>98469.119148876533</v>
      </c>
      <c r="E119" s="64">
        <f t="shared" si="37"/>
        <v>109344.07103825158</v>
      </c>
      <c r="F119" s="64">
        <f t="shared" si="37"/>
        <v>111261.92876712274</v>
      </c>
      <c r="G119" s="64">
        <f t="shared" si="37"/>
        <v>111814.40273972544</v>
      </c>
      <c r="H119" s="64">
        <f t="shared" si="37"/>
        <v>112539.60547945372</v>
      </c>
      <c r="I119" s="64">
        <f t="shared" si="37"/>
        <v>114518.09562841577</v>
      </c>
      <c r="J119" s="64">
        <f t="shared" si="37"/>
        <v>116577.03287671554</v>
      </c>
      <c r="K119" s="64">
        <f t="shared" si="37"/>
        <v>128532.57808219135</v>
      </c>
      <c r="L119" s="64">
        <f t="shared" si="37"/>
        <v>129553.24383561654</v>
      </c>
      <c r="M119" s="64">
        <f t="shared" si="37"/>
        <v>131923.46994535514</v>
      </c>
      <c r="N119" s="64">
        <f t="shared" si="37"/>
        <v>131095.88524589152</v>
      </c>
      <c r="O119" s="64">
        <f t="shared" si="37"/>
        <v>132134.15890410874</v>
      </c>
      <c r="P119" s="64">
        <f t="shared" si="37"/>
        <v>131593.96</v>
      </c>
      <c r="Q119" s="64">
        <f t="shared" si="37"/>
        <v>132781.23000000001</v>
      </c>
      <c r="R119" s="64">
        <f t="shared" si="37"/>
        <v>132528.6438356147</v>
      </c>
      <c r="S119" s="64">
        <f t="shared" si="37"/>
        <v>133733.4328766992</v>
      </c>
      <c r="T119" s="64">
        <f t="shared" si="37"/>
        <v>132852.69863013606</v>
      </c>
      <c r="U119" s="64">
        <f t="shared" si="37"/>
        <v>133970.68579235097</v>
      </c>
      <c r="V119" s="64">
        <f t="shared" si="37"/>
        <v>132390.72131147541</v>
      </c>
      <c r="W119" s="64">
        <f t="shared" si="37"/>
        <v>132880.56164382075</v>
      </c>
      <c r="X119" s="46"/>
      <c r="Y119" s="451" t="s">
        <v>379</v>
      </c>
    </row>
    <row r="120" spans="1:25" ht="15" x14ac:dyDescent="0.2">
      <c r="A120" s="105"/>
      <c r="B120" s="106"/>
      <c r="C120" s="120"/>
      <c r="D120" s="69"/>
      <c r="E120" s="69"/>
      <c r="F120" s="69"/>
      <c r="G120" s="69"/>
      <c r="H120" s="69"/>
      <c r="I120" s="69"/>
      <c r="J120" s="69"/>
      <c r="K120" s="69"/>
      <c r="L120" s="69"/>
      <c r="M120" s="69"/>
      <c r="N120" s="69"/>
      <c r="O120" s="69"/>
      <c r="P120" s="69"/>
      <c r="Q120" s="69"/>
      <c r="R120" s="69"/>
      <c r="S120" s="69"/>
      <c r="T120" s="69"/>
      <c r="U120" s="69"/>
      <c r="V120" s="69"/>
      <c r="W120" s="69"/>
    </row>
    <row r="121" spans="1:25" ht="15" x14ac:dyDescent="0.2">
      <c r="A121" s="62" t="s">
        <v>380</v>
      </c>
      <c r="B121" s="77" t="s">
        <v>381</v>
      </c>
      <c r="C121" s="75" t="s">
        <v>223</v>
      </c>
      <c r="D121" s="76">
        <v>2</v>
      </c>
      <c r="E121" s="76">
        <v>2</v>
      </c>
      <c r="F121" s="76">
        <v>2</v>
      </c>
      <c r="G121" s="76">
        <v>3.4931506849315102</v>
      </c>
      <c r="H121" s="76">
        <v>319.11232876712302</v>
      </c>
      <c r="I121" s="76">
        <v>2747.2322404371498</v>
      </c>
      <c r="J121" s="76">
        <v>4822.6438356164399</v>
      </c>
      <c r="K121" s="76">
        <v>6268.4164383561601</v>
      </c>
      <c r="L121" s="76">
        <v>7905.6054794520296</v>
      </c>
      <c r="M121" s="76">
        <v>8744.7650273224008</v>
      </c>
      <c r="N121" s="76">
        <v>8654.4617486339102</v>
      </c>
      <c r="O121" s="76">
        <v>8985.5616438356192</v>
      </c>
      <c r="P121" s="76">
        <v>9011</v>
      </c>
      <c r="Q121" s="76">
        <v>9956</v>
      </c>
      <c r="R121" s="76">
        <v>9877.0493150684906</v>
      </c>
      <c r="S121" s="76">
        <v>10843.454794520499</v>
      </c>
      <c r="T121" s="76">
        <v>10614.9342465753</v>
      </c>
      <c r="U121" s="76">
        <v>11234.9808743169</v>
      </c>
      <c r="V121" s="76">
        <v>10839.633879781401</v>
      </c>
      <c r="W121" s="76">
        <v>11233.2794520548</v>
      </c>
      <c r="X121" s="46"/>
      <c r="Y121" s="453" t="s">
        <v>382</v>
      </c>
    </row>
    <row r="122" spans="1:25" ht="30" x14ac:dyDescent="0.2">
      <c r="A122" s="62" t="s">
        <v>383</v>
      </c>
      <c r="B122" s="77" t="s">
        <v>384</v>
      </c>
      <c r="C122" s="75" t="s">
        <v>223</v>
      </c>
      <c r="D122" s="76">
        <v>13482.7123287671</v>
      </c>
      <c r="E122" s="76">
        <v>12905.393442622901</v>
      </c>
      <c r="F122" s="76">
        <v>11383.3616438356</v>
      </c>
      <c r="G122" s="76">
        <v>10261.4136986301</v>
      </c>
      <c r="H122" s="76">
        <v>10108.734246575101</v>
      </c>
      <c r="I122" s="76">
        <v>10201.090163934499</v>
      </c>
      <c r="J122" s="76">
        <v>10078.923287671199</v>
      </c>
      <c r="K122" s="76">
        <v>8328.6547945205202</v>
      </c>
      <c r="L122" s="76">
        <v>8377.2986301369492</v>
      </c>
      <c r="M122" s="76">
        <f>8878.75956284153-M123</f>
        <v>8326.3688524590143</v>
      </c>
      <c r="N122" s="76">
        <v>8173.17759562831</v>
      </c>
      <c r="O122" s="76">
        <f>14271.3424657534-O123</f>
        <v>13440.887671232851</v>
      </c>
      <c r="P122" s="76">
        <v>9834</v>
      </c>
      <c r="Q122" s="76">
        <v>9151</v>
      </c>
      <c r="R122" s="76">
        <v>9289.1452054794499</v>
      </c>
      <c r="S122" s="76">
        <v>9201.1397260273898</v>
      </c>
      <c r="T122" s="76">
        <v>8716.6054794520405</v>
      </c>
      <c r="U122" s="76">
        <v>8614.8579234972694</v>
      </c>
      <c r="V122" s="76">
        <v>8113.9781420765003</v>
      </c>
      <c r="W122" s="76">
        <v>8411.4273972602696</v>
      </c>
      <c r="X122" s="46"/>
      <c r="Y122" s="453" t="s">
        <v>385</v>
      </c>
    </row>
    <row r="123" spans="1:25" ht="30" x14ac:dyDescent="0.2">
      <c r="A123" s="62" t="s">
        <v>386</v>
      </c>
      <c r="B123" s="77" t="s">
        <v>387</v>
      </c>
      <c r="C123" s="75" t="s">
        <v>223</v>
      </c>
      <c r="D123" s="76">
        <v>0</v>
      </c>
      <c r="E123" s="76">
        <v>0</v>
      </c>
      <c r="F123" s="76">
        <v>0</v>
      </c>
      <c r="G123" s="76">
        <v>6.8493150684931503E-2</v>
      </c>
      <c r="H123" s="76">
        <v>40.624657534246602</v>
      </c>
      <c r="I123" s="76">
        <v>239.133879781421</v>
      </c>
      <c r="J123" s="76">
        <v>357.11780821917802</v>
      </c>
      <c r="K123" s="76">
        <v>498.34246575342502</v>
      </c>
      <c r="L123" s="76">
        <v>551.44109589041102</v>
      </c>
      <c r="M123" s="76">
        <v>552.39071038251404</v>
      </c>
      <c r="N123" s="76">
        <v>543.12021857923503</v>
      </c>
      <c r="O123" s="76">
        <v>830.45479452054803</v>
      </c>
      <c r="P123" s="76">
        <v>680</v>
      </c>
      <c r="Q123" s="76">
        <v>582</v>
      </c>
      <c r="R123" s="76">
        <v>580.78630136986305</v>
      </c>
      <c r="S123" s="76">
        <v>564.45479452054701</v>
      </c>
      <c r="T123" s="76">
        <v>511.58904109589002</v>
      </c>
      <c r="U123" s="76">
        <v>519.92622950819703</v>
      </c>
      <c r="V123" s="76">
        <v>524.34426229508199</v>
      </c>
      <c r="W123" s="76">
        <v>609.94794520547896</v>
      </c>
      <c r="X123" s="46"/>
      <c r="Y123" s="453" t="s">
        <v>388</v>
      </c>
    </row>
    <row r="124" spans="1:25" ht="15" x14ac:dyDescent="0.2">
      <c r="A124" s="62" t="s">
        <v>389</v>
      </c>
      <c r="B124" s="77" t="s">
        <v>390</v>
      </c>
      <c r="C124" s="75" t="s">
        <v>223</v>
      </c>
      <c r="D124" s="76">
        <v>2929.17</v>
      </c>
      <c r="E124" s="76">
        <v>333.43</v>
      </c>
      <c r="F124" s="76">
        <v>264.01</v>
      </c>
      <c r="G124" s="76">
        <v>681.3</v>
      </c>
      <c r="H124" s="76">
        <v>122894.84</v>
      </c>
      <c r="I124" s="76">
        <v>979152.04</v>
      </c>
      <c r="J124" s="76">
        <v>1343244.58</v>
      </c>
      <c r="K124" s="76">
        <v>1715354.94</v>
      </c>
      <c r="L124" s="76">
        <v>1703733.45</v>
      </c>
      <c r="M124" s="76">
        <v>1930450.2187000001</v>
      </c>
      <c r="N124" s="76">
        <v>1818216.9719</v>
      </c>
      <c r="O124" s="76">
        <f>1684157.8585-O125</f>
        <v>1660560.0820000002</v>
      </c>
      <c r="P124" s="76">
        <v>1612153.5142000001</v>
      </c>
      <c r="Q124" s="76">
        <v>2016428.5112999899</v>
      </c>
      <c r="R124" s="76">
        <v>1929820.6543999901</v>
      </c>
      <c r="S124" s="76">
        <v>2307776.3763000001</v>
      </c>
      <c r="T124" s="76">
        <v>2267378.0274999999</v>
      </c>
      <c r="U124" s="76">
        <v>2850524.9909999999</v>
      </c>
      <c r="V124" s="76">
        <v>2630919.60759999</v>
      </c>
      <c r="W124" s="76">
        <v>2815603.1841999898</v>
      </c>
      <c r="X124" s="46"/>
      <c r="Y124" s="453" t="s">
        <v>390</v>
      </c>
    </row>
    <row r="125" spans="1:25" ht="15" x14ac:dyDescent="0.2">
      <c r="A125" s="62" t="s">
        <v>391</v>
      </c>
      <c r="B125" s="77" t="s">
        <v>392</v>
      </c>
      <c r="C125" s="75" t="s">
        <v>223</v>
      </c>
      <c r="D125" s="76">
        <v>0</v>
      </c>
      <c r="E125" s="76">
        <v>0</v>
      </c>
      <c r="F125" s="76">
        <v>0</v>
      </c>
      <c r="G125" s="76">
        <v>0</v>
      </c>
      <c r="H125" s="76">
        <v>0</v>
      </c>
      <c r="I125" s="76">
        <v>0</v>
      </c>
      <c r="J125" s="76">
        <v>0</v>
      </c>
      <c r="K125" s="76">
        <v>26988.78</v>
      </c>
      <c r="L125" s="76">
        <v>40922.230000000003</v>
      </c>
      <c r="M125" s="76">
        <v>22803.253100000002</v>
      </c>
      <c r="N125" s="76">
        <v>45046.04</v>
      </c>
      <c r="O125" s="76">
        <v>23597.7765</v>
      </c>
      <c r="P125" s="76">
        <v>37368</v>
      </c>
      <c r="Q125" s="76">
        <v>18518</v>
      </c>
      <c r="R125" s="76">
        <v>42818.763399999902</v>
      </c>
      <c r="S125" s="76">
        <v>18244.090899999999</v>
      </c>
      <c r="T125" s="76">
        <v>32469.031599999998</v>
      </c>
      <c r="U125" s="76">
        <v>12971.546899999899</v>
      </c>
      <c r="V125" s="76">
        <v>39946.549499999899</v>
      </c>
      <c r="W125" s="76">
        <v>26405.7946999999</v>
      </c>
      <c r="X125" s="46"/>
      <c r="Y125" s="453" t="s">
        <v>392</v>
      </c>
    </row>
    <row r="126" spans="1:25" ht="15" x14ac:dyDescent="0.2">
      <c r="A126" s="62" t="s">
        <v>393</v>
      </c>
      <c r="B126" s="77" t="s">
        <v>254</v>
      </c>
      <c r="C126" s="75" t="s">
        <v>223</v>
      </c>
      <c r="D126" s="76">
        <f t="shared" ref="D126:S126" si="38">+D124/D121</f>
        <v>1464.585</v>
      </c>
      <c r="E126" s="76">
        <f t="shared" si="38"/>
        <v>166.715</v>
      </c>
      <c r="F126" s="76">
        <f t="shared" si="38"/>
        <v>132.005</v>
      </c>
      <c r="G126" s="76">
        <f t="shared" si="38"/>
        <v>195.03882352941156</v>
      </c>
      <c r="H126" s="76">
        <f t="shared" si="38"/>
        <v>385.11467255056868</v>
      </c>
      <c r="I126" s="76">
        <f t="shared" si="38"/>
        <v>356.41400300550993</v>
      </c>
      <c r="J126" s="76">
        <f t="shared" si="38"/>
        <v>278.52867136482286</v>
      </c>
      <c r="K126" s="76">
        <f t="shared" si="38"/>
        <v>273.65044375543073</v>
      </c>
      <c r="L126" s="76">
        <f t="shared" si="38"/>
        <v>215.50954628690792</v>
      </c>
      <c r="M126" s="76">
        <f t="shared" si="38"/>
        <v>220.75495598434546</v>
      </c>
      <c r="N126" s="76">
        <f t="shared" si="38"/>
        <v>210.09012746367526</v>
      </c>
      <c r="O126" s="76">
        <f t="shared" si="38"/>
        <v>184.80314840855797</v>
      </c>
      <c r="P126" s="90">
        <f t="shared" si="38"/>
        <v>178.90950107646211</v>
      </c>
      <c r="Q126" s="90">
        <f t="shared" si="38"/>
        <v>202.53400073322518</v>
      </c>
      <c r="R126" s="90">
        <f t="shared" si="38"/>
        <v>195.38432914937897</v>
      </c>
      <c r="S126" s="90">
        <f t="shared" si="38"/>
        <v>212.82667010021419</v>
      </c>
      <c r="T126" s="76">
        <v>213.60264461661799</v>
      </c>
      <c r="U126" s="76">
        <v>253.71872216678901</v>
      </c>
      <c r="V126" s="76">
        <v>242.71295846138401</v>
      </c>
      <c r="W126" s="76">
        <v>250.64836998112401</v>
      </c>
      <c r="X126" s="46"/>
      <c r="Y126" s="453" t="s">
        <v>254</v>
      </c>
    </row>
    <row r="127" spans="1:25" ht="15" x14ac:dyDescent="0.2">
      <c r="A127" s="105"/>
      <c r="B127" s="106"/>
      <c r="C127" s="110"/>
      <c r="D127" s="72"/>
      <c r="E127" s="72"/>
      <c r="F127" s="72"/>
      <c r="G127" s="72"/>
      <c r="H127" s="72"/>
      <c r="I127" s="72"/>
      <c r="J127" s="72"/>
      <c r="K127" s="72"/>
      <c r="L127" s="72"/>
      <c r="M127" s="72"/>
      <c r="N127" s="72"/>
      <c r="O127" s="72"/>
      <c r="P127" s="72"/>
      <c r="Q127" s="72"/>
      <c r="R127" s="72"/>
      <c r="S127" s="72"/>
      <c r="T127" s="72"/>
      <c r="U127" s="72"/>
      <c r="V127" s="72"/>
      <c r="W127" s="72"/>
    </row>
    <row r="128" spans="1:25" ht="15.75" x14ac:dyDescent="0.25">
      <c r="A128" s="9"/>
      <c r="B128" s="80" t="s">
        <v>394</v>
      </c>
      <c r="C128" s="116"/>
      <c r="V128" s="60"/>
      <c r="W128" s="60"/>
    </row>
    <row r="129" spans="1:25" ht="15" x14ac:dyDescent="0.2">
      <c r="A129" s="62" t="s">
        <v>395</v>
      </c>
      <c r="B129" s="74" t="s">
        <v>396</v>
      </c>
      <c r="C129" s="75" t="s">
        <v>223</v>
      </c>
      <c r="D129" s="76">
        <v>4259474.7505625403</v>
      </c>
      <c r="E129" s="76">
        <v>4497904.9165573502</v>
      </c>
      <c r="F129" s="76">
        <v>4456941.6776711997</v>
      </c>
      <c r="G129" s="76">
        <v>4904550.9473216599</v>
      </c>
      <c r="H129" s="76">
        <v>4501028.2184931496</v>
      </c>
      <c r="I129" s="76">
        <v>4574916.2906556902</v>
      </c>
      <c r="J129" s="76">
        <v>4669944.8989040898</v>
      </c>
      <c r="K129" s="76">
        <v>4870333.5238355603</v>
      </c>
      <c r="L129" s="76">
        <f>+P2a!D160</f>
        <v>4933957.4689040696</v>
      </c>
      <c r="M129" s="76">
        <f>+P2a!E160</f>
        <v>5210208.5575304898</v>
      </c>
      <c r="N129" s="76">
        <f>+P2a!F160</f>
        <v>4887356.0982049303</v>
      </c>
      <c r="O129" s="76">
        <v>4563801.6466112603</v>
      </c>
      <c r="P129" s="76">
        <v>4517330</v>
      </c>
      <c r="Q129" s="76">
        <v>4825111</v>
      </c>
      <c r="R129" s="76">
        <v>4898679.7693027202</v>
      </c>
      <c r="S129" s="76">
        <v>4945064.2665958703</v>
      </c>
      <c r="T129" s="76">
        <v>5006507.1219492899</v>
      </c>
      <c r="U129" s="76">
        <v>5000368.2234257404</v>
      </c>
      <c r="V129" s="76">
        <v>4976792.6043808497</v>
      </c>
      <c r="W129" s="76">
        <v>4950205.8296520496</v>
      </c>
      <c r="X129" s="46"/>
      <c r="Y129" s="451" t="s">
        <v>397</v>
      </c>
    </row>
    <row r="130" spans="1:25" ht="15" x14ac:dyDescent="0.2">
      <c r="A130" s="62" t="s">
        <v>398</v>
      </c>
      <c r="B130" s="74" t="s">
        <v>259</v>
      </c>
      <c r="C130" s="75" t="s">
        <v>223</v>
      </c>
      <c r="D130" s="76">
        <v>12541304.1011502</v>
      </c>
      <c r="E130" s="76">
        <v>12142631.564098399</v>
      </c>
      <c r="F130" s="76">
        <v>12214653.750274001</v>
      </c>
      <c r="G130" s="76">
        <v>13085158.055674501</v>
      </c>
      <c r="H130" s="76">
        <v>12097211.8561644</v>
      </c>
      <c r="I130" s="76">
        <v>11823309.6845902</v>
      </c>
      <c r="J130" s="76">
        <v>11358817.3831507</v>
      </c>
      <c r="K130" s="76">
        <v>11358815.1234247</v>
      </c>
      <c r="L130" s="76">
        <f>+P2a!D161</f>
        <v>11478990.1990411</v>
      </c>
      <c r="M130" s="76">
        <f>+P2a!E161</f>
        <v>12133116.673703499</v>
      </c>
      <c r="N130" s="76">
        <f>+P2a!F161</f>
        <v>10845204.764118901</v>
      </c>
      <c r="O130" s="76">
        <v>11408113.268823801</v>
      </c>
      <c r="P130" s="76">
        <v>10749001</v>
      </c>
      <c r="Q130" s="76">
        <v>10885739</v>
      </c>
      <c r="R130" s="76">
        <v>10846638.288632801</v>
      </c>
      <c r="S130" s="76">
        <v>10895979.675698601</v>
      </c>
      <c r="T130" s="76">
        <v>11004074.2716575</v>
      </c>
      <c r="U130" s="76">
        <v>11009594.3107611</v>
      </c>
      <c r="V130" s="76">
        <v>11008750.725733301</v>
      </c>
      <c r="W130" s="76">
        <v>10775145.590815</v>
      </c>
      <c r="X130" s="46"/>
      <c r="Y130" s="451" t="s">
        <v>399</v>
      </c>
    </row>
    <row r="131" spans="1:25" ht="15" x14ac:dyDescent="0.2">
      <c r="A131" s="62" t="s">
        <v>400</v>
      </c>
      <c r="B131" s="71" t="s">
        <v>238</v>
      </c>
      <c r="C131" s="63" t="s">
        <v>190</v>
      </c>
      <c r="D131" s="64">
        <f t="shared" ref="D131:W131" si="39">SUM(D129:D130)</f>
        <v>16800778.851712741</v>
      </c>
      <c r="E131" s="64">
        <f t="shared" si="39"/>
        <v>16640536.480655748</v>
      </c>
      <c r="F131" s="64">
        <f t="shared" si="39"/>
        <v>16671595.4279452</v>
      </c>
      <c r="G131" s="64">
        <f t="shared" si="39"/>
        <v>17989709.002996162</v>
      </c>
      <c r="H131" s="64">
        <f t="shared" si="39"/>
        <v>16598240.074657548</v>
      </c>
      <c r="I131" s="64">
        <f t="shared" si="39"/>
        <v>16398225.975245889</v>
      </c>
      <c r="J131" s="64">
        <f t="shared" si="39"/>
        <v>16028762.282054789</v>
      </c>
      <c r="K131" s="64">
        <f t="shared" si="39"/>
        <v>16229148.64726026</v>
      </c>
      <c r="L131" s="64">
        <f t="shared" si="39"/>
        <v>16412947.667945169</v>
      </c>
      <c r="M131" s="64">
        <f t="shared" si="39"/>
        <v>17343325.231233988</v>
      </c>
      <c r="N131" s="64">
        <f t="shared" si="39"/>
        <v>15732560.862323832</v>
      </c>
      <c r="O131" s="64">
        <f t="shared" si="39"/>
        <v>15971914.915435061</v>
      </c>
      <c r="P131" s="64">
        <f t="shared" si="39"/>
        <v>15266331</v>
      </c>
      <c r="Q131" s="64">
        <f t="shared" si="39"/>
        <v>15710850</v>
      </c>
      <c r="R131" s="64">
        <f t="shared" si="39"/>
        <v>15745318.057935521</v>
      </c>
      <c r="S131" s="64">
        <f t="shared" si="39"/>
        <v>15841043.942294471</v>
      </c>
      <c r="T131" s="64">
        <f t="shared" si="39"/>
        <v>16010581.393606789</v>
      </c>
      <c r="U131" s="64">
        <f t="shared" si="39"/>
        <v>16009962.53418684</v>
      </c>
      <c r="V131" s="64">
        <f t="shared" si="39"/>
        <v>15985543.33011415</v>
      </c>
      <c r="W131" s="64">
        <f t="shared" si="39"/>
        <v>15725351.420467049</v>
      </c>
      <c r="X131" s="46"/>
      <c r="Y131" s="451" t="s">
        <v>401</v>
      </c>
    </row>
    <row r="132" spans="1:25" ht="15" x14ac:dyDescent="0.2">
      <c r="A132" s="108"/>
      <c r="B132" s="106"/>
      <c r="C132" s="110"/>
      <c r="D132" s="72"/>
      <c r="E132" s="72"/>
      <c r="F132" s="72"/>
      <c r="G132" s="72"/>
      <c r="H132" s="72"/>
      <c r="I132" s="72"/>
      <c r="J132" s="72"/>
      <c r="K132" s="72"/>
      <c r="L132" s="72"/>
      <c r="M132" s="72"/>
      <c r="N132" s="72"/>
      <c r="O132" s="72"/>
      <c r="P132" s="72"/>
      <c r="Q132" s="72"/>
      <c r="R132" s="72"/>
      <c r="S132" s="72"/>
      <c r="T132" s="72"/>
      <c r="U132" s="72"/>
      <c r="V132" s="72"/>
      <c r="W132" s="72"/>
    </row>
    <row r="133" spans="1:25" ht="15.75" x14ac:dyDescent="0.25">
      <c r="B133" s="80" t="s">
        <v>402</v>
      </c>
      <c r="C133" s="116"/>
      <c r="W133" s="60"/>
    </row>
    <row r="134" spans="1:25" ht="30" x14ac:dyDescent="0.2">
      <c r="A134" s="62" t="s">
        <v>403</v>
      </c>
      <c r="B134" s="77" t="s">
        <v>404</v>
      </c>
      <c r="C134" s="75" t="s">
        <v>223</v>
      </c>
      <c r="D134" s="76">
        <v>4259474.7505625403</v>
      </c>
      <c r="E134" s="76">
        <v>4497904.9165573502</v>
      </c>
      <c r="F134" s="76">
        <v>4456941.6776711997</v>
      </c>
      <c r="G134" s="76">
        <v>4491623.4856163897</v>
      </c>
      <c r="H134" s="76">
        <v>4501028.2184931496</v>
      </c>
      <c r="I134" s="76">
        <v>4574916.2906556902</v>
      </c>
      <c r="J134" s="76">
        <v>4669944.8989040898</v>
      </c>
      <c r="K134" s="76">
        <v>4870333.5238355603</v>
      </c>
      <c r="L134" s="76">
        <f>+P2a!D165</f>
        <v>4933957.4689040696</v>
      </c>
      <c r="M134" s="76">
        <f>+P2a!E165</f>
        <v>5157504.5851894999</v>
      </c>
      <c r="N134" s="76">
        <f>+P2a!F165</f>
        <v>4887356.0982049303</v>
      </c>
      <c r="O134" s="76">
        <v>4390628.5046578404</v>
      </c>
      <c r="P134" s="76">
        <v>4517330</v>
      </c>
      <c r="Q134" s="76">
        <v>4825111</v>
      </c>
      <c r="R134" s="76">
        <v>4898679.7693027202</v>
      </c>
      <c r="S134" s="76">
        <v>4945064.2665958703</v>
      </c>
      <c r="T134" s="76">
        <v>5006507.1219492899</v>
      </c>
      <c r="U134" s="76">
        <v>5000368.2234257404</v>
      </c>
      <c r="V134" s="76">
        <v>4976792.6043808497</v>
      </c>
      <c r="W134" s="76">
        <v>4950205.8296520496</v>
      </c>
      <c r="X134" s="46"/>
      <c r="Y134" s="451" t="s">
        <v>397</v>
      </c>
    </row>
    <row r="135" spans="1:25" ht="15" x14ac:dyDescent="0.2">
      <c r="A135" s="62" t="s">
        <v>405</v>
      </c>
      <c r="B135" s="77" t="s">
        <v>406</v>
      </c>
      <c r="C135" s="75" t="s">
        <v>223</v>
      </c>
      <c r="D135" s="76">
        <v>32551140.7545164</v>
      </c>
      <c r="E135" s="76">
        <v>30752537.1101094</v>
      </c>
      <c r="F135" s="76">
        <v>29857636.7882195</v>
      </c>
      <c r="G135" s="76">
        <v>30051274.063835599</v>
      </c>
      <c r="H135" s="76">
        <v>30369335.774931699</v>
      </c>
      <c r="I135" s="76">
        <v>30442418.8942624</v>
      </c>
      <c r="J135" s="76">
        <v>31322183.892191801</v>
      </c>
      <c r="K135" s="76">
        <v>32553209.274520699</v>
      </c>
      <c r="L135" s="76">
        <f>+P2a!D166</f>
        <v>33245115.979040898</v>
      </c>
      <c r="M135" s="76">
        <f>+P2a!E166</f>
        <v>34697277.345373496</v>
      </c>
      <c r="N135" s="76">
        <f>+P2a!F166</f>
        <v>32257631.558177099</v>
      </c>
      <c r="O135" s="76">
        <v>29387932.657468401</v>
      </c>
      <c r="P135" s="76">
        <v>29654932</v>
      </c>
      <c r="Q135" s="76">
        <v>32586641</v>
      </c>
      <c r="R135" s="76">
        <v>33201083.505010601</v>
      </c>
      <c r="S135" s="76">
        <v>34572491.335454904</v>
      </c>
      <c r="T135" s="76">
        <v>35014554.0139274</v>
      </c>
      <c r="U135" s="76">
        <v>34927102.716176197</v>
      </c>
      <c r="V135" s="76">
        <v>35154756.288210303</v>
      </c>
      <c r="W135" s="76">
        <v>34256663.068621702</v>
      </c>
      <c r="X135" s="46"/>
      <c r="Y135" s="451" t="s">
        <v>407</v>
      </c>
    </row>
    <row r="136" spans="1:25" ht="30" x14ac:dyDescent="0.2">
      <c r="A136" s="62" t="s">
        <v>408</v>
      </c>
      <c r="B136" s="77" t="s">
        <v>409</v>
      </c>
      <c r="C136" s="75" t="s">
        <v>223</v>
      </c>
      <c r="D136" s="76">
        <v>44891859.507711999</v>
      </c>
      <c r="E136" s="76">
        <v>45853142.346557297</v>
      </c>
      <c r="F136" s="76">
        <v>44065467.645753197</v>
      </c>
      <c r="G136" s="76">
        <v>42141311.480958901</v>
      </c>
      <c r="H136" s="76">
        <v>45674576.701918103</v>
      </c>
      <c r="I136" s="76">
        <v>45687470.2827323</v>
      </c>
      <c r="J136" s="76">
        <v>45701296.020410597</v>
      </c>
      <c r="K136" s="76">
        <v>46124214.909726299</v>
      </c>
      <c r="L136" s="76">
        <f>+P2a!D167</f>
        <v>45948388.373425104</v>
      </c>
      <c r="M136" s="76">
        <f>+P2a!E167</f>
        <v>45011073.074992597</v>
      </c>
      <c r="N136" s="76">
        <f>+P2a!F167</f>
        <v>45283438.922063701</v>
      </c>
      <c r="O136" s="76">
        <v>37223485.316393703</v>
      </c>
      <c r="P136" s="76">
        <v>47979887</v>
      </c>
      <c r="Q136" s="76">
        <v>52075379</v>
      </c>
      <c r="R136" s="76">
        <v>52708017.272386096</v>
      </c>
      <c r="S136" s="76">
        <v>55030622.491745196</v>
      </c>
      <c r="T136" s="76">
        <v>55526200.981254503</v>
      </c>
      <c r="U136" s="76">
        <v>56321834.425550401</v>
      </c>
      <c r="V136" s="76">
        <v>55833133.556564301</v>
      </c>
      <c r="W136" s="76">
        <v>54482113.305494398</v>
      </c>
      <c r="X136" s="46"/>
      <c r="Y136" s="451" t="s">
        <v>410</v>
      </c>
    </row>
    <row r="137" spans="1:25" ht="30" x14ac:dyDescent="0.2">
      <c r="A137" s="62" t="s">
        <v>411</v>
      </c>
      <c r="B137" s="77" t="s">
        <v>412</v>
      </c>
      <c r="C137" s="75" t="s">
        <v>223</v>
      </c>
      <c r="D137" s="76">
        <v>1239930.0006849701</v>
      </c>
      <c r="E137" s="76">
        <v>455120.88032786897</v>
      </c>
      <c r="F137" s="76">
        <v>526260.049999999</v>
      </c>
      <c r="G137" s="76">
        <v>2871413.3253424</v>
      </c>
      <c r="H137" s="76">
        <v>540915.87808219204</v>
      </c>
      <c r="I137" s="76">
        <v>518346.43999999901</v>
      </c>
      <c r="J137" s="76">
        <v>1004394.42</v>
      </c>
      <c r="K137" s="76">
        <v>668565.53821917798</v>
      </c>
      <c r="L137" s="76">
        <f>+P2a!D168</f>
        <v>697387.46</v>
      </c>
      <c r="M137" s="76">
        <f>+P2a!E168</f>
        <v>541358.95669999998</v>
      </c>
      <c r="N137" s="76">
        <f>+P2a!F168</f>
        <v>492050.90969535499</v>
      </c>
      <c r="O137" s="76">
        <v>354684.19722328801</v>
      </c>
      <c r="P137" s="76">
        <v>6858855</v>
      </c>
      <c r="Q137" s="76">
        <v>7424934</v>
      </c>
      <c r="R137" s="76">
        <v>7362441.1742794504</v>
      </c>
      <c r="S137" s="76">
        <v>7253593.4945</v>
      </c>
      <c r="T137" s="76">
        <v>7177138.9942416502</v>
      </c>
      <c r="U137" s="76">
        <v>6420613.6066852398</v>
      </c>
      <c r="V137" s="76">
        <v>6128346.3979163896</v>
      </c>
      <c r="W137" s="76">
        <v>5094466.9006137</v>
      </c>
      <c r="X137" s="46"/>
      <c r="Y137" s="451" t="s">
        <v>413</v>
      </c>
    </row>
    <row r="138" spans="1:25" ht="15" x14ac:dyDescent="0.2">
      <c r="A138" s="62" t="s">
        <v>414</v>
      </c>
      <c r="B138" s="77" t="s">
        <v>415</v>
      </c>
      <c r="C138" s="75" t="s">
        <v>223</v>
      </c>
      <c r="D138" s="76">
        <v>411352.93</v>
      </c>
      <c r="E138" s="76">
        <v>4225.7595628425497</v>
      </c>
      <c r="F138" s="76">
        <v>0</v>
      </c>
      <c r="G138" s="76">
        <v>605136.71191780595</v>
      </c>
      <c r="H138" s="76">
        <v>5014.5858904123297</v>
      </c>
      <c r="I138" s="76">
        <v>0</v>
      </c>
      <c r="J138" s="76">
        <v>0</v>
      </c>
      <c r="K138" s="76">
        <v>0</v>
      </c>
      <c r="L138" s="76">
        <f>+P2a!D169</f>
        <v>0</v>
      </c>
      <c r="M138" s="76">
        <f>+P2a!E169</f>
        <v>0</v>
      </c>
      <c r="N138" s="76">
        <f>+P2a!F169</f>
        <v>0</v>
      </c>
      <c r="O138" s="76">
        <v>0</v>
      </c>
      <c r="P138" s="76">
        <v>8526781</v>
      </c>
      <c r="Q138" s="76">
        <v>7287735</v>
      </c>
      <c r="R138" s="76">
        <v>7442367.5114000002</v>
      </c>
      <c r="S138" s="76">
        <v>8170666.0799000002</v>
      </c>
      <c r="T138" s="76">
        <v>8045310.4337904202</v>
      </c>
      <c r="U138" s="76">
        <v>7396597.9132000003</v>
      </c>
      <c r="V138" s="76">
        <v>7534128.0070999898</v>
      </c>
      <c r="W138" s="76">
        <v>8055703.8221000005</v>
      </c>
      <c r="X138" s="46"/>
      <c r="Y138" s="451" t="s">
        <v>416</v>
      </c>
    </row>
    <row r="139" spans="1:25" ht="30" x14ac:dyDescent="0.2">
      <c r="A139" s="62" t="s">
        <v>417</v>
      </c>
      <c r="B139" s="77" t="s">
        <v>418</v>
      </c>
      <c r="C139" s="75" t="s">
        <v>223</v>
      </c>
      <c r="D139" s="76">
        <v>7138.15</v>
      </c>
      <c r="E139" s="76">
        <v>5426.5866120218598</v>
      </c>
      <c r="F139" s="76">
        <v>4924.6550684931499</v>
      </c>
      <c r="G139" s="76">
        <v>4672.13849315069</v>
      </c>
      <c r="H139" s="76">
        <v>4604.0235616438404</v>
      </c>
      <c r="I139" s="76">
        <v>4819.0683060109304</v>
      </c>
      <c r="J139" s="76">
        <v>4667.0712328767104</v>
      </c>
      <c r="K139" s="76">
        <v>4743.3334246575396</v>
      </c>
      <c r="L139" s="76">
        <f>+P2a!D170</f>
        <v>2331.2382191780798</v>
      </c>
      <c r="M139" s="76">
        <f>+P2a!E170</f>
        <v>4231.2423136611997</v>
      </c>
      <c r="N139" s="76">
        <f>+P2a!F170</f>
        <v>2231.8075382513698</v>
      </c>
      <c r="O139" s="76">
        <v>3631.7901342465798</v>
      </c>
      <c r="P139" s="78" t="s">
        <v>62</v>
      </c>
      <c r="Q139" s="78" t="s">
        <v>62</v>
      </c>
      <c r="R139" s="78" t="s">
        <v>62</v>
      </c>
      <c r="S139" s="78" t="s">
        <v>62</v>
      </c>
      <c r="T139" s="78" t="s">
        <v>62</v>
      </c>
      <c r="U139" s="78" t="s">
        <v>62</v>
      </c>
      <c r="V139" s="78" t="s">
        <v>87</v>
      </c>
      <c r="W139" s="78" t="s">
        <v>87</v>
      </c>
      <c r="X139" s="46"/>
      <c r="Y139" s="451" t="s">
        <v>419</v>
      </c>
    </row>
    <row r="140" spans="1:25" ht="15" x14ac:dyDescent="0.2">
      <c r="A140" s="62" t="s">
        <v>420</v>
      </c>
      <c r="B140" s="77" t="s">
        <v>421</v>
      </c>
      <c r="C140" s="75" t="s">
        <v>223</v>
      </c>
      <c r="D140" s="76">
        <v>105839.21876712301</v>
      </c>
      <c r="E140" s="76">
        <v>294018.73076502699</v>
      </c>
      <c r="F140" s="76">
        <v>296874.39616438397</v>
      </c>
      <c r="G140" s="76">
        <v>294573.20438356203</v>
      </c>
      <c r="H140" s="76">
        <v>260899.259452055</v>
      </c>
      <c r="I140" s="76">
        <v>231398.618087432</v>
      </c>
      <c r="J140" s="76">
        <v>254889.846027397</v>
      </c>
      <c r="K140" s="76">
        <v>109017.42287671199</v>
      </c>
      <c r="L140" s="76">
        <f>+P2a!D171</f>
        <v>224546.69027397301</v>
      </c>
      <c r="M140" s="76">
        <f>+P2a!E171</f>
        <v>264900.05681694002</v>
      </c>
      <c r="N140" s="76">
        <f>+P2a!F171</f>
        <v>211409.19127595599</v>
      </c>
      <c r="O140" s="76">
        <v>214244.49280410999</v>
      </c>
      <c r="P140" s="78" t="s">
        <v>62</v>
      </c>
      <c r="Q140" s="78" t="s">
        <v>62</v>
      </c>
      <c r="R140" s="78" t="s">
        <v>62</v>
      </c>
      <c r="S140" s="78" t="s">
        <v>62</v>
      </c>
      <c r="T140" s="78" t="s">
        <v>62</v>
      </c>
      <c r="U140" s="78" t="s">
        <v>62</v>
      </c>
      <c r="V140" s="78" t="s">
        <v>87</v>
      </c>
      <c r="W140" s="78" t="s">
        <v>87</v>
      </c>
      <c r="X140" s="46"/>
      <c r="Y140" s="451" t="s">
        <v>422</v>
      </c>
    </row>
    <row r="141" spans="1:25" ht="30" x14ac:dyDescent="0.2">
      <c r="A141" s="62" t="s">
        <v>423</v>
      </c>
      <c r="B141" s="77" t="s">
        <v>424</v>
      </c>
      <c r="C141" s="75" t="s">
        <v>223</v>
      </c>
      <c r="D141" s="76">
        <v>10011043.195479499</v>
      </c>
      <c r="E141" s="76">
        <v>8841443.0988524593</v>
      </c>
      <c r="F141" s="76">
        <v>8574647.7205479499</v>
      </c>
      <c r="G141" s="76">
        <v>8110784.7147945203</v>
      </c>
      <c r="H141" s="76">
        <v>8135493.26369863</v>
      </c>
      <c r="I141" s="76">
        <v>7872415.9920765003</v>
      </c>
      <c r="J141" s="76">
        <v>7542948.16972603</v>
      </c>
      <c r="K141" s="76">
        <v>7489673.5499999998</v>
      </c>
      <c r="L141" s="76">
        <f>+P2a!D172</f>
        <v>7744529.5313698603</v>
      </c>
      <c r="M141" s="76">
        <f>+P2a!E172</f>
        <v>7223367.8908311501</v>
      </c>
      <c r="N141" s="76">
        <f>+P2a!F172</f>
        <v>7280759.1530683003</v>
      </c>
      <c r="O141" s="76">
        <v>6818053.7893246599</v>
      </c>
      <c r="P141" s="78" t="s">
        <v>62</v>
      </c>
      <c r="Q141" s="78" t="s">
        <v>62</v>
      </c>
      <c r="R141" s="78" t="s">
        <v>62</v>
      </c>
      <c r="S141" s="78" t="s">
        <v>62</v>
      </c>
      <c r="T141" s="78" t="s">
        <v>62</v>
      </c>
      <c r="U141" s="78" t="s">
        <v>62</v>
      </c>
      <c r="V141" s="78" t="s">
        <v>87</v>
      </c>
      <c r="W141" s="78" t="s">
        <v>87</v>
      </c>
      <c r="X141" s="46"/>
      <c r="Y141" s="451" t="s">
        <v>425</v>
      </c>
    </row>
    <row r="142" spans="1:25" ht="30" x14ac:dyDescent="0.2">
      <c r="A142" s="62" t="s">
        <v>426</v>
      </c>
      <c r="B142" s="77" t="s">
        <v>427</v>
      </c>
      <c r="C142" s="75" t="s">
        <v>223</v>
      </c>
      <c r="D142" s="76">
        <v>7143686.8580821902</v>
      </c>
      <c r="E142" s="76">
        <v>6960874.13639344</v>
      </c>
      <c r="F142" s="76">
        <v>6618897.9361643903</v>
      </c>
      <c r="G142" s="76">
        <v>6343244.0257534198</v>
      </c>
      <c r="H142" s="76">
        <v>6567884.1091780802</v>
      </c>
      <c r="I142" s="76">
        <v>6103768.75989071</v>
      </c>
      <c r="J142" s="76">
        <v>5931986.2328767097</v>
      </c>
      <c r="K142" s="76">
        <v>6980268.3965753401</v>
      </c>
      <c r="L142" s="76">
        <f>+P2a!D173</f>
        <v>5918097.2454794496</v>
      </c>
      <c r="M142" s="76">
        <f>+P2a!E173</f>
        <v>4950762.2843021899</v>
      </c>
      <c r="N142" s="76">
        <f>+P2a!F173</f>
        <v>5159258.9699057397</v>
      </c>
      <c r="O142" s="76">
        <v>4846771.9372438397</v>
      </c>
      <c r="P142" s="78" t="s">
        <v>62</v>
      </c>
      <c r="Q142" s="78" t="s">
        <v>62</v>
      </c>
      <c r="R142" s="78" t="s">
        <v>62</v>
      </c>
      <c r="S142" s="78" t="s">
        <v>62</v>
      </c>
      <c r="T142" s="78" t="s">
        <v>62</v>
      </c>
      <c r="U142" s="78" t="s">
        <v>62</v>
      </c>
      <c r="V142" s="78" t="s">
        <v>87</v>
      </c>
      <c r="W142" s="78" t="s">
        <v>87</v>
      </c>
      <c r="X142" s="46"/>
      <c r="Y142" s="451" t="s">
        <v>428</v>
      </c>
    </row>
    <row r="143" spans="1:25" ht="30" x14ac:dyDescent="0.2">
      <c r="A143" s="62" t="s">
        <v>429</v>
      </c>
      <c r="B143" s="77" t="s">
        <v>430</v>
      </c>
      <c r="C143" s="75" t="s">
        <v>223</v>
      </c>
      <c r="D143" s="76">
        <v>10129962.251369899</v>
      </c>
      <c r="E143" s="76">
        <v>9749594.5899999999</v>
      </c>
      <c r="F143" s="76">
        <v>9762264.2130136993</v>
      </c>
      <c r="G143" s="76">
        <v>9025734.5399999991</v>
      </c>
      <c r="H143" s="76">
        <v>7245303.1500000004</v>
      </c>
      <c r="I143" s="76">
        <v>6877933.1101092901</v>
      </c>
      <c r="J143" s="76">
        <v>6058750.18369863</v>
      </c>
      <c r="K143" s="76">
        <v>5462095.4345205501</v>
      </c>
      <c r="L143" s="76">
        <f>+P2a!D174</f>
        <v>6532639.9964383598</v>
      </c>
      <c r="M143" s="76">
        <f>+P2a!E174</f>
        <v>6661784.9300721297</v>
      </c>
      <c r="N143" s="76">
        <f>+P2a!F174</f>
        <v>6723210.22697814</v>
      </c>
      <c r="O143" s="76">
        <v>6251426.2751424704</v>
      </c>
      <c r="P143" s="78" t="s">
        <v>62</v>
      </c>
      <c r="Q143" s="78" t="s">
        <v>62</v>
      </c>
      <c r="R143" s="78" t="s">
        <v>62</v>
      </c>
      <c r="S143" s="78" t="s">
        <v>62</v>
      </c>
      <c r="T143" s="78" t="s">
        <v>62</v>
      </c>
      <c r="U143" s="78" t="s">
        <v>62</v>
      </c>
      <c r="V143" s="78" t="s">
        <v>87</v>
      </c>
      <c r="W143" s="78" t="s">
        <v>87</v>
      </c>
      <c r="X143" s="46"/>
      <c r="Y143" s="451" t="s">
        <v>431</v>
      </c>
    </row>
    <row r="144" spans="1:25" ht="15" x14ac:dyDescent="0.2">
      <c r="A144" s="62" t="s">
        <v>432</v>
      </c>
      <c r="B144" s="77" t="s">
        <v>433</v>
      </c>
      <c r="C144" s="75" t="s">
        <v>223</v>
      </c>
      <c r="D144" s="76">
        <v>11148037.773150699</v>
      </c>
      <c r="E144" s="76">
        <v>11143066.43</v>
      </c>
      <c r="F144" s="76">
        <v>10029523.014383599</v>
      </c>
      <c r="G144" s="76">
        <v>9694243.6899999995</v>
      </c>
      <c r="H144" s="76">
        <v>10070810.640000001</v>
      </c>
      <c r="I144" s="76">
        <v>10758737.960000001</v>
      </c>
      <c r="J144" s="76">
        <v>7906441.3250684896</v>
      </c>
      <c r="K144" s="76">
        <v>7392834.8216438303</v>
      </c>
      <c r="L144" s="76">
        <f>+P2a!D175</f>
        <v>8717377.9299999997</v>
      </c>
      <c r="M144" s="76">
        <f>+P2a!E175</f>
        <v>6002116.3587999996</v>
      </c>
      <c r="N144" s="76">
        <f>+P2a!F175</f>
        <v>6628154.1018497301</v>
      </c>
      <c r="O144" s="76">
        <v>8610559.9627</v>
      </c>
      <c r="P144" s="78" t="s">
        <v>62</v>
      </c>
      <c r="Q144" s="78" t="s">
        <v>62</v>
      </c>
      <c r="R144" s="78" t="s">
        <v>62</v>
      </c>
      <c r="S144" s="78" t="s">
        <v>62</v>
      </c>
      <c r="T144" s="78" t="s">
        <v>62</v>
      </c>
      <c r="U144" s="78" t="s">
        <v>62</v>
      </c>
      <c r="V144" s="78" t="s">
        <v>87</v>
      </c>
      <c r="W144" s="78" t="s">
        <v>87</v>
      </c>
      <c r="X144" s="46"/>
      <c r="Y144" s="451" t="s">
        <v>434</v>
      </c>
    </row>
    <row r="145" spans="1:25" ht="15" x14ac:dyDescent="0.2">
      <c r="A145" s="62" t="s">
        <v>435</v>
      </c>
      <c r="B145" s="74" t="s">
        <v>238</v>
      </c>
      <c r="C145" s="63" t="s">
        <v>190</v>
      </c>
      <c r="D145" s="64">
        <f t="shared" ref="D145:W145" si="40">SUM(D134:D144)</f>
        <v>121899465.39032534</v>
      </c>
      <c r="E145" s="64">
        <f t="shared" si="40"/>
        <v>118557354.58573771</v>
      </c>
      <c r="F145" s="64">
        <f t="shared" si="40"/>
        <v>114193438.0969864</v>
      </c>
      <c r="G145" s="64">
        <f t="shared" si="40"/>
        <v>113634011.38109574</v>
      </c>
      <c r="H145" s="64">
        <f t="shared" si="40"/>
        <v>113375865.60520598</v>
      </c>
      <c r="I145" s="64">
        <f t="shared" si="40"/>
        <v>113072225.41612032</v>
      </c>
      <c r="J145" s="64">
        <f t="shared" si="40"/>
        <v>110397502.0601366</v>
      </c>
      <c r="K145" s="64">
        <f t="shared" si="40"/>
        <v>111654956.20534283</v>
      </c>
      <c r="L145" s="64">
        <f t="shared" si="40"/>
        <v>113964371.91315088</v>
      </c>
      <c r="M145" s="64">
        <f t="shared" si="40"/>
        <v>110514376.72539167</v>
      </c>
      <c r="N145" s="64">
        <f t="shared" si="40"/>
        <v>108925500.93875721</v>
      </c>
      <c r="O145" s="64">
        <f t="shared" si="40"/>
        <v>98101418.923092559</v>
      </c>
      <c r="P145" s="64">
        <f t="shared" si="40"/>
        <v>97537785</v>
      </c>
      <c r="Q145" s="64">
        <f t="shared" si="40"/>
        <v>104199800</v>
      </c>
      <c r="R145" s="64">
        <f t="shared" si="40"/>
        <v>105612589.23237887</v>
      </c>
      <c r="S145" s="64">
        <f t="shared" si="40"/>
        <v>109972437.66819596</v>
      </c>
      <c r="T145" s="64">
        <f t="shared" si="40"/>
        <v>110769711.54516327</v>
      </c>
      <c r="U145" s="64">
        <f t="shared" si="40"/>
        <v>110066516.88503757</v>
      </c>
      <c r="V145" s="64">
        <f t="shared" si="40"/>
        <v>109627156.85417183</v>
      </c>
      <c r="W145" s="64">
        <f t="shared" si="40"/>
        <v>106839152.92648184</v>
      </c>
      <c r="X145" s="46"/>
      <c r="Y145" s="451" t="s">
        <v>436</v>
      </c>
    </row>
    <row r="146" spans="1:25" ht="15" x14ac:dyDescent="0.2">
      <c r="A146" s="108"/>
      <c r="B146" s="106"/>
      <c r="C146" s="110"/>
      <c r="D146" s="72"/>
      <c r="E146" s="72"/>
      <c r="F146" s="72"/>
      <c r="G146" s="72"/>
      <c r="H146" s="72"/>
      <c r="I146" s="72"/>
      <c r="J146" s="72"/>
      <c r="K146" s="72"/>
      <c r="L146" s="72"/>
      <c r="M146" s="72"/>
      <c r="N146" s="72"/>
      <c r="O146" s="72"/>
      <c r="P146" s="72"/>
      <c r="Q146" s="72"/>
      <c r="R146" s="72"/>
      <c r="S146" s="72"/>
      <c r="T146" s="72"/>
      <c r="U146" s="72"/>
      <c r="V146" s="72"/>
      <c r="W146" s="72"/>
    </row>
    <row r="147" spans="1:25" ht="15.75" x14ac:dyDescent="0.25">
      <c r="B147" s="80" t="s">
        <v>282</v>
      </c>
      <c r="C147" s="116"/>
      <c r="W147" s="60"/>
    </row>
    <row r="148" spans="1:25" ht="15" x14ac:dyDescent="0.2">
      <c r="A148" s="62" t="s">
        <v>437</v>
      </c>
      <c r="B148" s="74" t="s">
        <v>222</v>
      </c>
      <c r="C148" s="75" t="s">
        <v>223</v>
      </c>
      <c r="D148" s="76">
        <v>67</v>
      </c>
      <c r="E148" s="76">
        <v>65</v>
      </c>
      <c r="F148" s="76">
        <v>66</v>
      </c>
      <c r="G148" s="76">
        <v>66</v>
      </c>
      <c r="H148" s="76">
        <v>65</v>
      </c>
      <c r="I148" s="76">
        <v>66</v>
      </c>
      <c r="J148" s="76">
        <v>66</v>
      </c>
      <c r="K148" s="76">
        <v>66</v>
      </c>
      <c r="L148" s="76">
        <f>+P2a!D179</f>
        <v>67</v>
      </c>
      <c r="M148" s="76">
        <f>+P2a!E179</f>
        <v>68</v>
      </c>
      <c r="N148" s="76">
        <f>+P2a!F179</f>
        <v>68</v>
      </c>
      <c r="O148" s="76">
        <v>69</v>
      </c>
      <c r="P148" s="76">
        <v>69</v>
      </c>
      <c r="Q148" s="76">
        <v>71</v>
      </c>
      <c r="R148" s="76">
        <v>71</v>
      </c>
      <c r="S148" s="76">
        <v>74</v>
      </c>
      <c r="T148" s="76">
        <v>74</v>
      </c>
      <c r="U148" s="76">
        <v>78</v>
      </c>
      <c r="V148" s="76">
        <v>78</v>
      </c>
      <c r="W148" s="76">
        <v>84.86</v>
      </c>
      <c r="X148" s="46"/>
      <c r="Y148" s="451" t="s">
        <v>284</v>
      </c>
    </row>
    <row r="149" spans="1:25" ht="15" x14ac:dyDescent="0.2">
      <c r="A149" s="62" t="s">
        <v>438</v>
      </c>
      <c r="B149" s="77" t="s">
        <v>226</v>
      </c>
      <c r="C149" s="75" t="s">
        <v>223</v>
      </c>
      <c r="D149" s="76">
        <v>130</v>
      </c>
      <c r="E149" s="76">
        <v>127</v>
      </c>
      <c r="F149" s="76">
        <v>130</v>
      </c>
      <c r="G149" s="76">
        <v>130</v>
      </c>
      <c r="H149" s="76">
        <v>129</v>
      </c>
      <c r="I149" s="76">
        <v>130</v>
      </c>
      <c r="J149" s="76">
        <v>129</v>
      </c>
      <c r="K149" s="76">
        <v>130</v>
      </c>
      <c r="L149" s="76">
        <f>+P2a!D180</f>
        <v>133</v>
      </c>
      <c r="M149" s="76">
        <f>+P2a!E180</f>
        <v>136</v>
      </c>
      <c r="N149" s="76">
        <f>+P2a!F180</f>
        <v>136</v>
      </c>
      <c r="O149" s="76">
        <v>139</v>
      </c>
      <c r="P149" s="76">
        <v>139</v>
      </c>
      <c r="Q149" s="76">
        <v>142</v>
      </c>
      <c r="R149" s="76">
        <v>142</v>
      </c>
      <c r="S149" s="76">
        <v>148</v>
      </c>
      <c r="T149" s="76">
        <v>148</v>
      </c>
      <c r="U149" s="76">
        <v>155</v>
      </c>
      <c r="V149" s="76">
        <v>155</v>
      </c>
      <c r="W149" s="76">
        <v>168.64</v>
      </c>
      <c r="X149" s="46"/>
      <c r="Y149" s="451" t="s">
        <v>286</v>
      </c>
    </row>
    <row r="150" spans="1:25" ht="15" x14ac:dyDescent="0.2">
      <c r="A150" s="62" t="s">
        <v>439</v>
      </c>
      <c r="B150" s="77" t="s">
        <v>229</v>
      </c>
      <c r="C150" s="75" t="s">
        <v>223</v>
      </c>
      <c r="D150" s="76">
        <v>512</v>
      </c>
      <c r="E150" s="76">
        <v>500</v>
      </c>
      <c r="F150" s="76">
        <v>512</v>
      </c>
      <c r="G150" s="76">
        <v>513</v>
      </c>
      <c r="H150" s="76">
        <v>510</v>
      </c>
      <c r="I150" s="76">
        <v>515</v>
      </c>
      <c r="J150" s="76">
        <v>513</v>
      </c>
      <c r="K150" s="76">
        <v>516</v>
      </c>
      <c r="L150" s="76">
        <f>+P2a!D181</f>
        <v>526</v>
      </c>
      <c r="M150" s="76">
        <f>+P2a!E181</f>
        <v>537</v>
      </c>
      <c r="N150" s="76">
        <f>+P2a!F181</f>
        <v>537</v>
      </c>
      <c r="O150" s="76">
        <v>548</v>
      </c>
      <c r="P150" s="76">
        <v>548</v>
      </c>
      <c r="Q150" s="76">
        <v>562</v>
      </c>
      <c r="R150" s="76">
        <v>562</v>
      </c>
      <c r="S150" s="76">
        <v>586</v>
      </c>
      <c r="T150" s="76">
        <v>586</v>
      </c>
      <c r="U150" s="76">
        <v>615</v>
      </c>
      <c r="V150" s="76">
        <v>615</v>
      </c>
      <c r="W150" s="76">
        <v>669</v>
      </c>
      <c r="X150" s="46"/>
      <c r="Y150" s="451" t="s">
        <v>440</v>
      </c>
    </row>
    <row r="151" spans="1:25" ht="15" x14ac:dyDescent="0.2">
      <c r="A151" s="62" t="s">
        <v>441</v>
      </c>
      <c r="B151" s="77" t="s">
        <v>232</v>
      </c>
      <c r="C151" s="75" t="s">
        <v>223</v>
      </c>
      <c r="D151" s="76">
        <v>925</v>
      </c>
      <c r="E151" s="76">
        <v>903</v>
      </c>
      <c r="F151" s="76">
        <v>924</v>
      </c>
      <c r="G151" s="76">
        <v>925</v>
      </c>
      <c r="H151" s="76">
        <v>920</v>
      </c>
      <c r="I151" s="76">
        <v>929</v>
      </c>
      <c r="J151" s="76">
        <v>925</v>
      </c>
      <c r="K151" s="76">
        <v>931</v>
      </c>
      <c r="L151" s="76">
        <f>+P2a!D182</f>
        <v>950</v>
      </c>
      <c r="M151" s="76">
        <f>+P2a!E182</f>
        <v>969</v>
      </c>
      <c r="N151" s="76">
        <f>+P2a!F182</f>
        <v>969</v>
      </c>
      <c r="O151" s="76">
        <v>988</v>
      </c>
      <c r="P151" s="76">
        <v>988</v>
      </c>
      <c r="Q151" s="76">
        <v>1013</v>
      </c>
      <c r="R151" s="76">
        <v>1013</v>
      </c>
      <c r="S151" s="76">
        <v>1056</v>
      </c>
      <c r="T151" s="76">
        <v>1056</v>
      </c>
      <c r="U151" s="76">
        <v>1109</v>
      </c>
      <c r="V151" s="76">
        <v>1109</v>
      </c>
      <c r="W151" s="76">
        <v>1207</v>
      </c>
      <c r="X151" s="46"/>
      <c r="Y151" s="451" t="s">
        <v>290</v>
      </c>
    </row>
    <row r="152" spans="1:25" ht="15" x14ac:dyDescent="0.2">
      <c r="A152" s="62" t="s">
        <v>442</v>
      </c>
      <c r="B152" s="77" t="s">
        <v>235</v>
      </c>
      <c r="C152" s="75" t="s">
        <v>223</v>
      </c>
      <c r="D152" s="76">
        <v>1797</v>
      </c>
      <c r="E152" s="76">
        <v>1755</v>
      </c>
      <c r="F152" s="76">
        <v>1796</v>
      </c>
      <c r="G152" s="76">
        <v>1799</v>
      </c>
      <c r="H152" s="76">
        <v>1790</v>
      </c>
      <c r="I152" s="76">
        <v>1808</v>
      </c>
      <c r="J152" s="76">
        <v>1801</v>
      </c>
      <c r="K152" s="76">
        <v>1812</v>
      </c>
      <c r="L152" s="76">
        <f>+P2a!D183</f>
        <v>1848</v>
      </c>
      <c r="M152" s="76">
        <f>+P2a!E183</f>
        <v>1885</v>
      </c>
      <c r="N152" s="76">
        <f>+P2a!F183</f>
        <v>1885</v>
      </c>
      <c r="O152" s="76">
        <v>1923</v>
      </c>
      <c r="P152" s="76">
        <v>1923</v>
      </c>
      <c r="Q152" s="76">
        <v>1971</v>
      </c>
      <c r="R152" s="76">
        <v>1971</v>
      </c>
      <c r="S152" s="76">
        <v>2054</v>
      </c>
      <c r="T152" s="76">
        <v>2054</v>
      </c>
      <c r="U152" s="76">
        <v>2157</v>
      </c>
      <c r="V152" s="76">
        <v>2157</v>
      </c>
      <c r="W152" s="76">
        <v>2347</v>
      </c>
      <c r="X152" s="46"/>
      <c r="Y152" s="451" t="s">
        <v>292</v>
      </c>
    </row>
    <row r="153" spans="1:25" ht="15" x14ac:dyDescent="0.2">
      <c r="A153" s="62" t="s">
        <v>443</v>
      </c>
      <c r="B153" s="77" t="s">
        <v>364</v>
      </c>
      <c r="C153" s="75" t="s">
        <v>223</v>
      </c>
      <c r="D153" s="76">
        <v>1949</v>
      </c>
      <c r="E153" s="76">
        <v>1903</v>
      </c>
      <c r="F153" s="76">
        <v>1948</v>
      </c>
      <c r="G153" s="76">
        <v>1951</v>
      </c>
      <c r="H153" s="76">
        <v>1941</v>
      </c>
      <c r="I153" s="76">
        <v>1960</v>
      </c>
      <c r="J153" s="76">
        <v>1952</v>
      </c>
      <c r="K153" s="76">
        <v>1964</v>
      </c>
      <c r="L153" s="76">
        <f>+P2a!D184</f>
        <v>2003</v>
      </c>
      <c r="M153" s="76">
        <f>+P2a!E184</f>
        <v>2043</v>
      </c>
      <c r="N153" s="76">
        <f>+P2a!F184</f>
        <v>2043</v>
      </c>
      <c r="O153" s="76">
        <v>2084</v>
      </c>
      <c r="P153" s="76">
        <v>2084</v>
      </c>
      <c r="Q153" s="76">
        <v>2136</v>
      </c>
      <c r="R153" s="76">
        <v>2136</v>
      </c>
      <c r="S153" s="76">
        <v>2226</v>
      </c>
      <c r="T153" s="76">
        <v>2226</v>
      </c>
      <c r="U153" s="76">
        <v>2337</v>
      </c>
      <c r="V153" s="76">
        <v>2337</v>
      </c>
      <c r="W153" s="76">
        <v>2543</v>
      </c>
      <c r="X153" s="46"/>
      <c r="Y153" s="451" t="s">
        <v>444</v>
      </c>
    </row>
    <row r="154" spans="1:25" ht="15" x14ac:dyDescent="0.2">
      <c r="A154" s="62" t="s">
        <v>445</v>
      </c>
      <c r="B154" s="77" t="s">
        <v>367</v>
      </c>
      <c r="C154" s="75" t="s">
        <v>223</v>
      </c>
      <c r="D154" s="76">
        <v>4104</v>
      </c>
      <c r="E154" s="76">
        <v>4008</v>
      </c>
      <c r="F154" s="76">
        <v>4102</v>
      </c>
      <c r="G154" s="76">
        <v>4108</v>
      </c>
      <c r="H154" s="76">
        <v>4087</v>
      </c>
      <c r="I154" s="76">
        <v>4128</v>
      </c>
      <c r="J154" s="76">
        <v>4111</v>
      </c>
      <c r="K154" s="76">
        <v>4136</v>
      </c>
      <c r="L154" s="76">
        <f>+P2a!D185</f>
        <v>4219</v>
      </c>
      <c r="M154" s="76">
        <f>+P2a!E185</f>
        <v>4303</v>
      </c>
      <c r="N154" s="76">
        <f>+P2a!F185</f>
        <v>4303</v>
      </c>
      <c r="O154" s="76">
        <v>4389</v>
      </c>
      <c r="P154" s="76">
        <v>4389</v>
      </c>
      <c r="Q154" s="76">
        <v>4499</v>
      </c>
      <c r="R154" s="76">
        <v>4499</v>
      </c>
      <c r="S154" s="76">
        <v>4688</v>
      </c>
      <c r="T154" s="76">
        <v>4688</v>
      </c>
      <c r="U154" s="76">
        <v>4922</v>
      </c>
      <c r="V154" s="76">
        <v>4922</v>
      </c>
      <c r="W154" s="76">
        <v>5355</v>
      </c>
      <c r="X154" s="46"/>
      <c r="Y154" s="451" t="s">
        <v>446</v>
      </c>
    </row>
    <row r="155" spans="1:25" ht="15" x14ac:dyDescent="0.2">
      <c r="A155" s="62" t="s">
        <v>447</v>
      </c>
      <c r="B155" s="77" t="s">
        <v>370</v>
      </c>
      <c r="C155" s="75" t="s">
        <v>223</v>
      </c>
      <c r="D155" s="76">
        <v>30780</v>
      </c>
      <c r="E155" s="76">
        <v>30060</v>
      </c>
      <c r="F155" s="76">
        <v>30766</v>
      </c>
      <c r="G155" s="76">
        <v>30812</v>
      </c>
      <c r="H155" s="76">
        <v>30655</v>
      </c>
      <c r="I155" s="76">
        <v>30962</v>
      </c>
      <c r="J155" s="76">
        <v>30838</v>
      </c>
      <c r="K155" s="76">
        <v>31023</v>
      </c>
      <c r="L155" s="76">
        <f>+P2a!D186</f>
        <v>31643</v>
      </c>
      <c r="M155" s="76">
        <f>+P2a!E186</f>
        <v>32276</v>
      </c>
      <c r="N155" s="76">
        <f>+P2a!F186</f>
        <v>32276</v>
      </c>
      <c r="O155" s="76">
        <v>32922</v>
      </c>
      <c r="P155" s="76">
        <v>32922</v>
      </c>
      <c r="Q155" s="76">
        <v>33745</v>
      </c>
      <c r="R155" s="76">
        <v>33745</v>
      </c>
      <c r="S155" s="76">
        <v>35162</v>
      </c>
      <c r="T155" s="76">
        <v>35162</v>
      </c>
      <c r="U155" s="76">
        <v>36920</v>
      </c>
      <c r="V155" s="76">
        <v>36920</v>
      </c>
      <c r="W155" s="76">
        <v>40169</v>
      </c>
      <c r="X155" s="46"/>
      <c r="Y155" s="451" t="s">
        <v>448</v>
      </c>
    </row>
    <row r="156" spans="1:25" ht="15" x14ac:dyDescent="0.2">
      <c r="A156" s="62" t="s">
        <v>449</v>
      </c>
      <c r="B156" s="77" t="s">
        <v>373</v>
      </c>
      <c r="C156" s="75" t="s">
        <v>223</v>
      </c>
      <c r="D156" s="76">
        <v>82080</v>
      </c>
      <c r="E156" s="76">
        <v>80159</v>
      </c>
      <c r="F156" s="76">
        <v>82043</v>
      </c>
      <c r="G156" s="76">
        <v>82166</v>
      </c>
      <c r="H156" s="76">
        <v>81747</v>
      </c>
      <c r="I156" s="76">
        <v>82564</v>
      </c>
      <c r="J156" s="76">
        <v>82234</v>
      </c>
      <c r="K156" s="76">
        <v>82727</v>
      </c>
      <c r="L156" s="76">
        <f>+P2a!D187</f>
        <v>84382</v>
      </c>
      <c r="M156" s="76">
        <f>+P2a!E187</f>
        <v>86070</v>
      </c>
      <c r="N156" s="76">
        <f>+P2a!F187</f>
        <v>86070</v>
      </c>
      <c r="O156" s="76">
        <v>87791</v>
      </c>
      <c r="P156" s="76">
        <v>87791</v>
      </c>
      <c r="Q156" s="76">
        <v>89986</v>
      </c>
      <c r="R156" s="76">
        <v>89986</v>
      </c>
      <c r="S156" s="76">
        <v>93765</v>
      </c>
      <c r="T156" s="76">
        <v>93765</v>
      </c>
      <c r="U156" s="76">
        <v>98453</v>
      </c>
      <c r="V156" s="76">
        <v>98453</v>
      </c>
      <c r="W156" s="76">
        <v>107117</v>
      </c>
      <c r="X156" s="46"/>
      <c r="Y156" s="451" t="s">
        <v>450</v>
      </c>
    </row>
    <row r="157" spans="1:25" ht="15" x14ac:dyDescent="0.2">
      <c r="A157" s="62" t="s">
        <v>451</v>
      </c>
      <c r="B157" s="77" t="s">
        <v>376</v>
      </c>
      <c r="C157" s="75" t="s">
        <v>223</v>
      </c>
      <c r="D157" s="76">
        <v>101575</v>
      </c>
      <c r="E157" s="76">
        <v>99198</v>
      </c>
      <c r="F157" s="76">
        <v>101529</v>
      </c>
      <c r="G157" s="76">
        <v>101681</v>
      </c>
      <c r="H157" s="76">
        <v>101162</v>
      </c>
      <c r="I157" s="76">
        <v>102174</v>
      </c>
      <c r="J157" s="76">
        <v>101765</v>
      </c>
      <c r="K157" s="76">
        <v>102376</v>
      </c>
      <c r="L157" s="76">
        <f>+P2a!D188</f>
        <v>104424</v>
      </c>
      <c r="M157" s="76">
        <f>+P2a!E188</f>
        <v>106512</v>
      </c>
      <c r="N157" s="76">
        <f>+P2a!F188</f>
        <v>106512</v>
      </c>
      <c r="O157" s="76">
        <v>108642</v>
      </c>
      <c r="P157" s="76">
        <v>108642</v>
      </c>
      <c r="Q157" s="76">
        <v>111358</v>
      </c>
      <c r="R157" s="76">
        <v>111358</v>
      </c>
      <c r="S157" s="76">
        <v>116035</v>
      </c>
      <c r="T157" s="76">
        <v>116035</v>
      </c>
      <c r="U157" s="76">
        <v>121837</v>
      </c>
      <c r="V157" s="76">
        <v>121837</v>
      </c>
      <c r="W157" s="76">
        <v>132559</v>
      </c>
      <c r="X157" s="46"/>
      <c r="Y157" s="451" t="s">
        <v>452</v>
      </c>
    </row>
    <row r="158" spans="1:25" ht="15" x14ac:dyDescent="0.2">
      <c r="A158" s="108"/>
      <c r="B158" s="106"/>
      <c r="C158" s="110"/>
      <c r="D158" s="72"/>
      <c r="E158" s="72"/>
      <c r="F158" s="72"/>
      <c r="G158" s="72"/>
      <c r="H158" s="72"/>
      <c r="I158" s="72"/>
      <c r="J158" s="72"/>
      <c r="K158" s="72"/>
      <c r="L158" s="72"/>
      <c r="M158" s="72"/>
      <c r="N158" s="72"/>
      <c r="O158" s="72"/>
      <c r="P158" s="72"/>
      <c r="Q158" s="72"/>
      <c r="R158" s="72"/>
      <c r="S158" s="72"/>
      <c r="T158" s="72"/>
      <c r="U158" s="72"/>
      <c r="V158" s="72"/>
      <c r="W158" s="72"/>
    </row>
    <row r="159" spans="1:25" ht="15.75" x14ac:dyDescent="0.25">
      <c r="B159" s="80" t="s">
        <v>293</v>
      </c>
      <c r="C159" s="116"/>
      <c r="V159" s="60"/>
      <c r="W159" s="60"/>
    </row>
    <row r="160" spans="1:25" ht="15" x14ac:dyDescent="0.2">
      <c r="A160" s="62" t="s">
        <v>453</v>
      </c>
      <c r="B160" s="74" t="s">
        <v>454</v>
      </c>
      <c r="C160" s="75" t="s">
        <v>223</v>
      </c>
      <c r="D160" s="85">
        <v>0.73621139999999996</v>
      </c>
      <c r="E160" s="85">
        <v>0.67809280000000005</v>
      </c>
      <c r="F160" s="85">
        <v>0.66530359999999999</v>
      </c>
      <c r="G160" s="85">
        <v>0.63806759999999996</v>
      </c>
      <c r="H160" s="85">
        <v>0.61618759999999995</v>
      </c>
      <c r="I160" s="85">
        <v>0.50760000000000005</v>
      </c>
      <c r="J160" s="85">
        <v>0.50560000000000005</v>
      </c>
      <c r="K160" s="85">
        <v>0.50860000000000005</v>
      </c>
      <c r="L160" s="85">
        <f>+P2a!D191</f>
        <v>0.51880000000000004</v>
      </c>
      <c r="M160" s="85">
        <f>+P2a!E191</f>
        <v>0.5292</v>
      </c>
      <c r="N160" s="85">
        <f>+P2a!F191</f>
        <v>0.5292</v>
      </c>
      <c r="O160" s="85">
        <v>0.53979999999999995</v>
      </c>
      <c r="P160" s="85">
        <v>0.53979999999999995</v>
      </c>
      <c r="Q160" s="85">
        <v>0.55130000000000001</v>
      </c>
      <c r="R160" s="85">
        <v>0.55130000000000001</v>
      </c>
      <c r="S160" s="85">
        <v>0.57450000000000001</v>
      </c>
      <c r="T160" s="85">
        <v>0.57450000000000001</v>
      </c>
      <c r="U160" s="85">
        <v>0.60319999999999996</v>
      </c>
      <c r="V160" s="85">
        <v>0.60319999999999996</v>
      </c>
      <c r="W160" s="85">
        <v>0.65629999999999999</v>
      </c>
      <c r="X160" s="46"/>
      <c r="Y160" s="451" t="s">
        <v>455</v>
      </c>
    </row>
    <row r="161" spans="1:25" ht="15" x14ac:dyDescent="0.2">
      <c r="A161" s="62" t="s">
        <v>456</v>
      </c>
      <c r="B161" s="74" t="s">
        <v>298</v>
      </c>
      <c r="C161" s="75" t="s">
        <v>223</v>
      </c>
      <c r="D161" s="85">
        <v>0.50460000000000005</v>
      </c>
      <c r="E161" s="85">
        <v>0.49280000000000002</v>
      </c>
      <c r="F161" s="85">
        <v>0.50439999999999996</v>
      </c>
      <c r="G161" s="85">
        <v>0.50519999999999998</v>
      </c>
      <c r="H161" s="85">
        <v>0.50260000000000005</v>
      </c>
      <c r="I161" s="85">
        <v>0.50760000000000005</v>
      </c>
      <c r="J161" s="85">
        <v>0.50560000000000005</v>
      </c>
      <c r="K161" s="85">
        <v>0.50860000000000005</v>
      </c>
      <c r="L161" s="85">
        <f>+P2a!D192</f>
        <v>0.51880000000000004</v>
      </c>
      <c r="M161" s="85">
        <f>+P2a!E192</f>
        <v>0.5292</v>
      </c>
      <c r="N161" s="85">
        <f>+P2a!F192</f>
        <v>0.5292</v>
      </c>
      <c r="O161" s="85">
        <v>0.53979999999999995</v>
      </c>
      <c r="P161" s="85">
        <v>0.53979999999999995</v>
      </c>
      <c r="Q161" s="85">
        <v>0.55130000000000001</v>
      </c>
      <c r="R161" s="85">
        <v>0.55130000000000001</v>
      </c>
      <c r="S161" s="85">
        <v>0.57450000000000001</v>
      </c>
      <c r="T161" s="85">
        <v>0.57450000000000001</v>
      </c>
      <c r="U161" s="85">
        <v>0.60319999999999996</v>
      </c>
      <c r="V161" s="85">
        <v>0.60319999999999996</v>
      </c>
      <c r="W161" s="85">
        <v>0.65629999999999999</v>
      </c>
      <c r="X161" s="46"/>
      <c r="Y161" s="451" t="s">
        <v>457</v>
      </c>
    </row>
    <row r="162" spans="1:25" ht="15" x14ac:dyDescent="0.2">
      <c r="A162" s="105"/>
      <c r="B162" s="120"/>
      <c r="C162" s="110"/>
      <c r="D162" s="72"/>
      <c r="E162" s="72"/>
      <c r="F162" s="72"/>
      <c r="G162" s="72"/>
      <c r="H162" s="72"/>
      <c r="I162" s="72"/>
      <c r="J162" s="72"/>
      <c r="K162" s="72"/>
      <c r="L162" s="72"/>
      <c r="M162" s="72"/>
      <c r="N162" s="72"/>
      <c r="O162" s="72"/>
      <c r="P162" s="72"/>
      <c r="Q162" s="72"/>
      <c r="R162" s="72"/>
      <c r="S162" s="72"/>
      <c r="T162" s="72"/>
      <c r="U162" s="72"/>
      <c r="V162" s="72"/>
      <c r="W162" s="72"/>
    </row>
    <row r="163" spans="1:25" ht="15.75" x14ac:dyDescent="0.25">
      <c r="A163" s="62"/>
      <c r="B163" s="80" t="s">
        <v>458</v>
      </c>
      <c r="C163" s="116"/>
      <c r="V163" s="60"/>
      <c r="W163" s="60"/>
    </row>
    <row r="164" spans="1:25" ht="30" x14ac:dyDescent="0.2">
      <c r="A164" s="62" t="s">
        <v>459</v>
      </c>
      <c r="B164" s="62" t="s">
        <v>404</v>
      </c>
      <c r="C164" s="75" t="s">
        <v>223</v>
      </c>
      <c r="D164" s="85">
        <v>1.0014575999999999</v>
      </c>
      <c r="E164" s="85">
        <v>0.92233279999999995</v>
      </c>
      <c r="F164" s="85">
        <v>0.90496589999999999</v>
      </c>
      <c r="G164" s="85">
        <v>0.86780729999999995</v>
      </c>
      <c r="H164" s="85">
        <v>0.83809359999999999</v>
      </c>
      <c r="I164" s="85">
        <v>0.69040000000000001</v>
      </c>
      <c r="J164" s="85">
        <v>0.68730000000000002</v>
      </c>
      <c r="K164" s="85">
        <v>0.69140000000000001</v>
      </c>
      <c r="L164" s="85">
        <f>+P2a!D195</f>
        <v>0.70520000000000005</v>
      </c>
      <c r="M164" s="85">
        <f>+P2a!E195</f>
        <v>0.71930000000000005</v>
      </c>
      <c r="N164" s="85">
        <f>+P2a!F195</f>
        <v>0.71930000000000005</v>
      </c>
      <c r="O164" s="85">
        <v>0.73370000000000002</v>
      </c>
      <c r="P164" s="85">
        <v>0.73370000000000002</v>
      </c>
      <c r="Q164" s="85">
        <v>0.752</v>
      </c>
      <c r="R164" s="85">
        <v>0.752</v>
      </c>
      <c r="S164" s="85">
        <v>0.78359999999999996</v>
      </c>
      <c r="T164" s="85">
        <v>0.78359999999999996</v>
      </c>
      <c r="U164" s="85">
        <v>0.82279999999999998</v>
      </c>
      <c r="V164" s="85">
        <v>0.82279999999999998</v>
      </c>
      <c r="W164" s="85">
        <v>0.8952</v>
      </c>
      <c r="X164" s="46"/>
      <c r="Y164" s="451" t="s">
        <v>460</v>
      </c>
    </row>
    <row r="165" spans="1:25" ht="15" x14ac:dyDescent="0.2">
      <c r="A165" s="62" t="s">
        <v>461</v>
      </c>
      <c r="B165" s="62" t="s">
        <v>406</v>
      </c>
      <c r="C165" s="75" t="s">
        <v>223</v>
      </c>
      <c r="D165" s="85">
        <v>0.68640000000000001</v>
      </c>
      <c r="E165" s="85">
        <v>0.67030000000000001</v>
      </c>
      <c r="F165" s="85">
        <v>0.68610000000000004</v>
      </c>
      <c r="G165" s="85">
        <v>0.68710000000000004</v>
      </c>
      <c r="H165" s="85">
        <v>0.68359999999999999</v>
      </c>
      <c r="I165" s="85">
        <v>0.69040000000000001</v>
      </c>
      <c r="J165" s="85">
        <v>0.68730000000000002</v>
      </c>
      <c r="K165" s="85">
        <v>0.69140000000000001</v>
      </c>
      <c r="L165" s="85">
        <f>+P2a!D196</f>
        <v>0.70520000000000005</v>
      </c>
      <c r="M165" s="85">
        <f>+P2a!E196</f>
        <v>0.71930000000000005</v>
      </c>
      <c r="N165" s="85">
        <f>+P2a!F196</f>
        <v>0.71930000000000005</v>
      </c>
      <c r="O165" s="85">
        <v>0.73370000000000002</v>
      </c>
      <c r="P165" s="85">
        <v>0.73370000000000002</v>
      </c>
      <c r="Q165" s="85">
        <v>0.752</v>
      </c>
      <c r="R165" s="85">
        <v>0.752</v>
      </c>
      <c r="S165" s="85">
        <v>0.78359999999999996</v>
      </c>
      <c r="T165" s="85">
        <v>0.78359999999999996</v>
      </c>
      <c r="U165" s="85">
        <v>0.82279999999999998</v>
      </c>
      <c r="V165" s="85">
        <v>0.82279999999999998</v>
      </c>
      <c r="W165" s="85">
        <v>0.8952</v>
      </c>
      <c r="X165" s="46"/>
      <c r="Y165" s="451" t="s">
        <v>462</v>
      </c>
    </row>
    <row r="166" spans="1:25" ht="30" x14ac:dyDescent="0.2">
      <c r="A166" s="62" t="s">
        <v>463</v>
      </c>
      <c r="B166" s="77" t="s">
        <v>409</v>
      </c>
      <c r="C166" s="75" t="s">
        <v>223</v>
      </c>
      <c r="D166" s="85">
        <v>0.68640000000000001</v>
      </c>
      <c r="E166" s="85">
        <v>0.67030000000000001</v>
      </c>
      <c r="F166" s="85">
        <v>0.68610000000000004</v>
      </c>
      <c r="G166" s="85">
        <v>0.68710000000000004</v>
      </c>
      <c r="H166" s="85">
        <v>0.68359999999999999</v>
      </c>
      <c r="I166" s="85">
        <v>0.69040000000000001</v>
      </c>
      <c r="J166" s="85">
        <v>0.68730000000000002</v>
      </c>
      <c r="K166" s="85">
        <v>0.69140000000000001</v>
      </c>
      <c r="L166" s="85">
        <f>+P2a!D197</f>
        <v>0.70520000000000005</v>
      </c>
      <c r="M166" s="85">
        <f>+P2a!E197</f>
        <v>0.71930000000000005</v>
      </c>
      <c r="N166" s="85">
        <f>+P2a!F197</f>
        <v>0.71930000000000005</v>
      </c>
      <c r="O166" s="85">
        <v>0.73370000000000002</v>
      </c>
      <c r="P166" s="85">
        <v>0.73370000000000002</v>
      </c>
      <c r="Q166" s="85">
        <v>0.752</v>
      </c>
      <c r="R166" s="85">
        <v>0.752</v>
      </c>
      <c r="S166" s="85">
        <v>0.78359999999999996</v>
      </c>
      <c r="T166" s="85">
        <v>0.78359999999999996</v>
      </c>
      <c r="U166" s="85">
        <v>0.82279999999999998</v>
      </c>
      <c r="V166" s="85">
        <v>0.82279999999999998</v>
      </c>
      <c r="W166" s="85">
        <v>0.8952</v>
      </c>
      <c r="X166" s="46"/>
      <c r="Y166" s="451" t="s">
        <v>464</v>
      </c>
    </row>
    <row r="167" spans="1:25" ht="30" x14ac:dyDescent="0.2">
      <c r="A167" s="62" t="s">
        <v>465</v>
      </c>
      <c r="B167" s="77" t="s">
        <v>412</v>
      </c>
      <c r="C167" s="75" t="s">
        <v>223</v>
      </c>
      <c r="D167" s="85">
        <v>0.5796</v>
      </c>
      <c r="E167" s="85">
        <v>0.56599999999999995</v>
      </c>
      <c r="F167" s="85">
        <v>0.57930000000000004</v>
      </c>
      <c r="G167" s="85">
        <v>0.58020000000000005</v>
      </c>
      <c r="H167" s="85">
        <v>0.57720000000000005</v>
      </c>
      <c r="I167" s="85">
        <v>0.58299999999999996</v>
      </c>
      <c r="J167" s="85">
        <v>0.58069999999999999</v>
      </c>
      <c r="K167" s="85">
        <v>0.58420000000000005</v>
      </c>
      <c r="L167" s="85">
        <f>+P2a!D198</f>
        <v>0.59589999999999999</v>
      </c>
      <c r="M167" s="85">
        <f>+P2a!E198</f>
        <v>0.60780000000000001</v>
      </c>
      <c r="N167" s="85">
        <f>+P2a!F198</f>
        <v>0.60780000000000001</v>
      </c>
      <c r="O167" s="85">
        <v>0.62</v>
      </c>
      <c r="P167" s="85">
        <v>0.62</v>
      </c>
      <c r="Q167" s="85">
        <v>0.63549999999999995</v>
      </c>
      <c r="R167" s="85">
        <v>0.63549999999999995</v>
      </c>
      <c r="S167" s="85">
        <v>0.66220000000000001</v>
      </c>
      <c r="T167" s="85">
        <v>0.66220000000000001</v>
      </c>
      <c r="U167" s="85">
        <v>0.69530000000000003</v>
      </c>
      <c r="V167" s="85">
        <v>0.69530000000000003</v>
      </c>
      <c r="W167" s="85">
        <v>0.75649999999999995</v>
      </c>
      <c r="X167" s="46"/>
      <c r="Y167" s="451" t="s">
        <v>466</v>
      </c>
    </row>
    <row r="168" spans="1:25" ht="15" x14ac:dyDescent="0.2">
      <c r="A168" s="62" t="s">
        <v>467</v>
      </c>
      <c r="B168" s="77" t="s">
        <v>415</v>
      </c>
      <c r="C168" s="75" t="s">
        <v>223</v>
      </c>
      <c r="D168" s="85">
        <v>0.35570000000000002</v>
      </c>
      <c r="E168" s="85">
        <v>0.34739999999999999</v>
      </c>
      <c r="F168" s="85">
        <v>0.35560000000000003</v>
      </c>
      <c r="G168" s="85">
        <v>0.35610000000000003</v>
      </c>
      <c r="H168" s="85">
        <v>0.3543</v>
      </c>
      <c r="I168" s="85">
        <v>0.35780000000000001</v>
      </c>
      <c r="J168" s="85">
        <v>0.35639999999999999</v>
      </c>
      <c r="K168" s="85">
        <v>0.35849999999999999</v>
      </c>
      <c r="L168" s="85">
        <f>+P2a!D199</f>
        <v>0.36570000000000003</v>
      </c>
      <c r="M168" s="85">
        <f>+P2a!E199</f>
        <v>0.373</v>
      </c>
      <c r="N168" s="85">
        <f>+P2a!F199</f>
        <v>0.373</v>
      </c>
      <c r="O168" s="85">
        <v>0.3805</v>
      </c>
      <c r="P168" s="85">
        <v>0.3805</v>
      </c>
      <c r="Q168" s="85">
        <v>0.39</v>
      </c>
      <c r="R168" s="85">
        <v>0.39</v>
      </c>
      <c r="S168" s="85">
        <v>0.40639999999999998</v>
      </c>
      <c r="T168" s="85">
        <v>0.40639999999999998</v>
      </c>
      <c r="U168" s="85">
        <v>0.42670000000000002</v>
      </c>
      <c r="V168" s="85">
        <v>0.42670000000000002</v>
      </c>
      <c r="W168" s="85">
        <v>0.4642</v>
      </c>
      <c r="X168" s="46"/>
      <c r="Y168" s="451" t="s">
        <v>468</v>
      </c>
    </row>
    <row r="169" spans="1:25" ht="30" x14ac:dyDescent="0.2">
      <c r="A169" s="62" t="s">
        <v>469</v>
      </c>
      <c r="B169" s="77" t="s">
        <v>418</v>
      </c>
      <c r="C169" s="75" t="s">
        <v>223</v>
      </c>
      <c r="D169" s="85">
        <v>0.68640000000000001</v>
      </c>
      <c r="E169" s="85">
        <v>0.67030000000000001</v>
      </c>
      <c r="F169" s="85">
        <v>0.68610000000000004</v>
      </c>
      <c r="G169" s="85">
        <v>0.68710000000000004</v>
      </c>
      <c r="H169" s="85">
        <v>0.68359999999999999</v>
      </c>
      <c r="I169" s="85">
        <v>0.69040000000000001</v>
      </c>
      <c r="J169" s="85">
        <v>0.68730000000000002</v>
      </c>
      <c r="K169" s="85">
        <v>0.69140000000000001</v>
      </c>
      <c r="L169" s="85">
        <f>+P2a!D200</f>
        <v>0.70520000000000005</v>
      </c>
      <c r="M169" s="85">
        <f>+P2a!E200</f>
        <v>0.71930000000000005</v>
      </c>
      <c r="N169" s="85">
        <f>+P2a!F200</f>
        <v>0.71930000000000005</v>
      </c>
      <c r="O169" s="85">
        <v>0.73370000000000002</v>
      </c>
      <c r="P169" s="85">
        <v>0.73370000000000002</v>
      </c>
      <c r="Q169" s="85">
        <v>0.752</v>
      </c>
      <c r="R169" s="85">
        <v>0.752</v>
      </c>
      <c r="S169" s="85">
        <v>0.78359999999999996</v>
      </c>
      <c r="T169" s="85">
        <v>0.78359999999999996</v>
      </c>
      <c r="U169" s="85">
        <v>0.82279999999999998</v>
      </c>
      <c r="V169" s="85">
        <v>0.82279999999999998</v>
      </c>
      <c r="W169" s="85">
        <v>0.8952</v>
      </c>
      <c r="X169" s="46"/>
      <c r="Y169" s="451" t="s">
        <v>470</v>
      </c>
    </row>
    <row r="170" spans="1:25" ht="15" x14ac:dyDescent="0.2">
      <c r="A170" s="62" t="s">
        <v>471</v>
      </c>
      <c r="B170" s="77" t="s">
        <v>421</v>
      </c>
      <c r="C170" s="75" t="s">
        <v>223</v>
      </c>
      <c r="D170" s="85">
        <v>0.68640000000000001</v>
      </c>
      <c r="E170" s="85">
        <v>0.67030000000000001</v>
      </c>
      <c r="F170" s="85">
        <v>0.68610000000000004</v>
      </c>
      <c r="G170" s="85">
        <v>0.68710000000000004</v>
      </c>
      <c r="H170" s="85">
        <v>0.68359999999999999</v>
      </c>
      <c r="I170" s="85">
        <v>0.69040000000000001</v>
      </c>
      <c r="J170" s="85">
        <v>0.68730000000000002</v>
      </c>
      <c r="K170" s="85">
        <v>0.69140000000000001</v>
      </c>
      <c r="L170" s="85">
        <f>+P2a!D201</f>
        <v>0.70520000000000005</v>
      </c>
      <c r="M170" s="85">
        <f>+P2a!E201</f>
        <v>0.71930000000000005</v>
      </c>
      <c r="N170" s="85">
        <f>+P2a!F201</f>
        <v>0.71930000000000005</v>
      </c>
      <c r="O170" s="85">
        <v>0.73370000000000002</v>
      </c>
      <c r="P170" s="85">
        <v>0.73370000000000002</v>
      </c>
      <c r="Q170" s="85">
        <v>0.752</v>
      </c>
      <c r="R170" s="85">
        <v>0.752</v>
      </c>
      <c r="S170" s="85">
        <v>0.78359999999999996</v>
      </c>
      <c r="T170" s="85">
        <v>0.78359999999999996</v>
      </c>
      <c r="U170" s="85">
        <v>0.82279999999999998</v>
      </c>
      <c r="V170" s="85">
        <v>0.82279999999999998</v>
      </c>
      <c r="W170" s="85">
        <v>0.8952</v>
      </c>
      <c r="X170" s="46"/>
      <c r="Y170" s="451" t="s">
        <v>472</v>
      </c>
    </row>
    <row r="171" spans="1:25" ht="30" x14ac:dyDescent="0.2">
      <c r="A171" s="62" t="s">
        <v>473</v>
      </c>
      <c r="B171" s="77" t="s">
        <v>424</v>
      </c>
      <c r="C171" s="75" t="s">
        <v>223</v>
      </c>
      <c r="D171" s="85">
        <v>0.68640000000000001</v>
      </c>
      <c r="E171" s="85">
        <v>0.67030000000000001</v>
      </c>
      <c r="F171" s="85">
        <v>0.68610000000000004</v>
      </c>
      <c r="G171" s="85">
        <v>0.68710000000000004</v>
      </c>
      <c r="H171" s="85">
        <v>0.68359999999999999</v>
      </c>
      <c r="I171" s="85">
        <v>0.69040000000000001</v>
      </c>
      <c r="J171" s="85">
        <v>0.68730000000000002</v>
      </c>
      <c r="K171" s="85">
        <v>0.69140000000000001</v>
      </c>
      <c r="L171" s="85">
        <f>+P2a!D202</f>
        <v>0.70520000000000005</v>
      </c>
      <c r="M171" s="85">
        <f>+P2a!E202</f>
        <v>0.71930000000000005</v>
      </c>
      <c r="N171" s="85">
        <f>+P2a!F202</f>
        <v>0.71930000000000005</v>
      </c>
      <c r="O171" s="85">
        <v>0.73370000000000002</v>
      </c>
      <c r="P171" s="85">
        <v>0.73370000000000002</v>
      </c>
      <c r="Q171" s="85">
        <v>0.752</v>
      </c>
      <c r="R171" s="85">
        <v>0.752</v>
      </c>
      <c r="S171" s="85">
        <v>0.78359999999999996</v>
      </c>
      <c r="T171" s="85">
        <v>0.78359999999999996</v>
      </c>
      <c r="U171" s="85">
        <v>0.82279999999999998</v>
      </c>
      <c r="V171" s="85">
        <v>0.82279999999999998</v>
      </c>
      <c r="W171" s="85">
        <v>0.8952</v>
      </c>
      <c r="X171" s="46"/>
      <c r="Y171" s="451" t="s">
        <v>474</v>
      </c>
    </row>
    <row r="172" spans="1:25" ht="30" x14ac:dyDescent="0.2">
      <c r="A172" s="62" t="s">
        <v>475</v>
      </c>
      <c r="B172" s="77" t="s">
        <v>427</v>
      </c>
      <c r="C172" s="75" t="s">
        <v>223</v>
      </c>
      <c r="D172" s="85">
        <v>0.51480000000000004</v>
      </c>
      <c r="E172" s="85">
        <v>0.54964599999999997</v>
      </c>
      <c r="F172" s="85">
        <v>0.59690699999999997</v>
      </c>
      <c r="G172" s="85">
        <v>0.63900299999999999</v>
      </c>
      <c r="H172" s="85">
        <v>0.66309200000000001</v>
      </c>
      <c r="I172" s="85">
        <v>0.69040000000000001</v>
      </c>
      <c r="J172" s="85">
        <v>0.68730000000000002</v>
      </c>
      <c r="K172" s="85">
        <v>0.58420000000000005</v>
      </c>
      <c r="L172" s="85">
        <f>+P2a!D203</f>
        <v>0.59589999999999999</v>
      </c>
      <c r="M172" s="85">
        <f>+P2a!E203</f>
        <v>0.71930000000000005</v>
      </c>
      <c r="N172" s="85">
        <f>+P2a!F203</f>
        <v>0.71930000000000005</v>
      </c>
      <c r="O172" s="85">
        <v>0.73370000000000002</v>
      </c>
      <c r="P172" s="85">
        <v>0.73370000000000002</v>
      </c>
      <c r="Q172" s="85">
        <v>0.752</v>
      </c>
      <c r="R172" s="85">
        <v>0.752</v>
      </c>
      <c r="S172" s="85">
        <v>0.78359999999999996</v>
      </c>
      <c r="T172" s="85">
        <v>0.78359999999999996</v>
      </c>
      <c r="U172" s="85">
        <v>0.82279999999999998</v>
      </c>
      <c r="V172" s="85">
        <v>0.82279999999999998</v>
      </c>
      <c r="W172" s="85">
        <v>0.8952</v>
      </c>
      <c r="X172" s="46"/>
      <c r="Y172" s="451" t="s">
        <v>476</v>
      </c>
    </row>
    <row r="173" spans="1:25" ht="30" x14ac:dyDescent="0.2">
      <c r="A173" s="62" t="s">
        <v>477</v>
      </c>
      <c r="B173" s="77" t="s">
        <v>430</v>
      </c>
      <c r="C173" s="75" t="s">
        <v>223</v>
      </c>
      <c r="D173" s="85">
        <v>0.45208799999999999</v>
      </c>
      <c r="E173" s="85">
        <v>0.47543999999999997</v>
      </c>
      <c r="F173" s="85">
        <v>0.51557699999999995</v>
      </c>
      <c r="G173" s="85">
        <v>0.54538799999999998</v>
      </c>
      <c r="H173" s="85">
        <v>0.55988400000000005</v>
      </c>
      <c r="I173" s="85">
        <v>0.58299999999999996</v>
      </c>
      <c r="J173" s="85">
        <v>0.58069999999999999</v>
      </c>
      <c r="K173" s="85">
        <v>0.58420000000000005</v>
      </c>
      <c r="L173" s="85">
        <f>+P2a!D204</f>
        <v>0.59589999999999999</v>
      </c>
      <c r="M173" s="85">
        <f>+P2a!E204</f>
        <v>0.60780000000000001</v>
      </c>
      <c r="N173" s="85">
        <f>+P2a!F204</f>
        <v>0.60780000000000001</v>
      </c>
      <c r="O173" s="85">
        <v>0.62</v>
      </c>
      <c r="P173" s="85">
        <v>0.62</v>
      </c>
      <c r="Q173" s="85">
        <v>0.63549999999999995</v>
      </c>
      <c r="R173" s="85">
        <v>0.63549999999999995</v>
      </c>
      <c r="S173" s="85">
        <v>0.66220000000000001</v>
      </c>
      <c r="T173" s="85">
        <v>0.66220000000000001</v>
      </c>
      <c r="U173" s="85">
        <v>0.69530000000000003</v>
      </c>
      <c r="V173" s="85">
        <v>0.69530000000000003</v>
      </c>
      <c r="W173" s="85">
        <v>0.75649999999999995</v>
      </c>
      <c r="X173" s="46"/>
      <c r="Y173" s="451" t="s">
        <v>478</v>
      </c>
    </row>
    <row r="174" spans="1:25" ht="15" x14ac:dyDescent="0.2">
      <c r="A174" s="62" t="s">
        <v>479</v>
      </c>
      <c r="B174" s="77" t="s">
        <v>433</v>
      </c>
      <c r="C174" s="75" t="s">
        <v>223</v>
      </c>
      <c r="D174" s="85">
        <v>0.41972599999999999</v>
      </c>
      <c r="E174" s="85">
        <v>0.39256200000000002</v>
      </c>
      <c r="F174" s="85">
        <v>0.387604</v>
      </c>
      <c r="G174" s="85">
        <v>0.37390499999999999</v>
      </c>
      <c r="H174" s="85">
        <v>0.36138599999999999</v>
      </c>
      <c r="I174" s="85">
        <v>0.35780000000000001</v>
      </c>
      <c r="J174" s="85">
        <v>0.35639999999999999</v>
      </c>
      <c r="K174" s="85">
        <v>0.35849999999999999</v>
      </c>
      <c r="L174" s="85">
        <f>+P2a!D205</f>
        <v>0.36570000000000003</v>
      </c>
      <c r="M174" s="85">
        <f>+P2a!E205</f>
        <v>0.373</v>
      </c>
      <c r="N174" s="85">
        <f>+P2a!F205</f>
        <v>0.373</v>
      </c>
      <c r="O174" s="85">
        <v>0.3805</v>
      </c>
      <c r="P174" s="85">
        <v>0.3805</v>
      </c>
      <c r="Q174" s="85">
        <v>0.39</v>
      </c>
      <c r="R174" s="85">
        <v>0.39</v>
      </c>
      <c r="S174" s="85">
        <v>0.40639999999999998</v>
      </c>
      <c r="T174" s="85">
        <v>0.40639999999999998</v>
      </c>
      <c r="U174" s="85">
        <v>0.42670000000000002</v>
      </c>
      <c r="V174" s="85">
        <v>0.42670000000000002</v>
      </c>
      <c r="W174" s="85">
        <v>0.4642</v>
      </c>
      <c r="X174" s="46"/>
      <c r="Y174" s="451" t="s">
        <v>480</v>
      </c>
    </row>
    <row r="175" spans="1:25" ht="15" x14ac:dyDescent="0.2">
      <c r="A175" s="108"/>
      <c r="B175" s="106"/>
      <c r="C175" s="110"/>
      <c r="D175" s="72"/>
      <c r="E175" s="72"/>
      <c r="F175" s="72"/>
      <c r="G175" s="72"/>
      <c r="H175" s="72"/>
      <c r="I175" s="72"/>
      <c r="J175" s="72"/>
      <c r="K175" s="72"/>
      <c r="L175" s="72"/>
      <c r="M175" s="72"/>
      <c r="N175" s="72"/>
      <c r="O175" s="72"/>
      <c r="P175" s="72"/>
      <c r="Q175" s="72"/>
      <c r="R175" s="72"/>
      <c r="S175" s="72"/>
      <c r="T175" s="72"/>
      <c r="U175" s="72"/>
      <c r="V175" s="72"/>
      <c r="W175" s="72"/>
    </row>
    <row r="176" spans="1:25" ht="15.75" x14ac:dyDescent="0.25">
      <c r="B176" s="80" t="s">
        <v>481</v>
      </c>
      <c r="C176" s="116"/>
      <c r="V176" s="60"/>
      <c r="W176" s="60"/>
    </row>
    <row r="177" spans="1:25" ht="15" x14ac:dyDescent="0.2">
      <c r="A177" s="62" t="s">
        <v>482</v>
      </c>
      <c r="B177" s="71" t="s">
        <v>483</v>
      </c>
      <c r="C177" s="75" t="s">
        <v>223</v>
      </c>
      <c r="D177" s="76">
        <v>20230655.920000002</v>
      </c>
      <c r="E177" s="76">
        <v>18157303.059999999</v>
      </c>
      <c r="F177" s="76">
        <v>23534553.73</v>
      </c>
      <c r="G177" s="76">
        <v>21168899.260000002</v>
      </c>
      <c r="H177" s="76">
        <v>20299066.440000001</v>
      </c>
      <c r="I177" s="76">
        <v>21689981.870000001</v>
      </c>
      <c r="J177" s="76">
        <v>19984618.359999999</v>
      </c>
      <c r="K177" s="76">
        <v>21761753.09</v>
      </c>
      <c r="L177" s="76">
        <f>+P2a!D208</f>
        <v>18336716.059999999</v>
      </c>
      <c r="M177" s="76">
        <f>+P2a!E208</f>
        <v>16164534.784499999</v>
      </c>
      <c r="N177" s="76">
        <f>+P2a!F208</f>
        <v>16561717.1985</v>
      </c>
      <c r="O177" s="76">
        <v>16625438.8312</v>
      </c>
      <c r="P177" s="76">
        <v>16641047</v>
      </c>
      <c r="Q177" s="76">
        <v>16652176</v>
      </c>
      <c r="R177" s="76">
        <v>16681778.691199999</v>
      </c>
      <c r="S177" s="76">
        <v>16848756.206799999</v>
      </c>
      <c r="T177" s="76">
        <v>17704383.677999999</v>
      </c>
      <c r="U177" s="76">
        <v>15798128.8747999</v>
      </c>
      <c r="V177" s="76">
        <v>15639274.2653</v>
      </c>
      <c r="W177" s="76">
        <v>13618977.900599999</v>
      </c>
      <c r="X177" s="46"/>
      <c r="Y177" s="451" t="s">
        <v>484</v>
      </c>
    </row>
    <row r="178" spans="1:25" ht="15" x14ac:dyDescent="0.2">
      <c r="A178" s="62" t="s">
        <v>485</v>
      </c>
      <c r="B178" s="71" t="s">
        <v>486</v>
      </c>
      <c r="C178" s="75" t="s">
        <v>223</v>
      </c>
      <c r="D178" s="76">
        <v>5057458.0557000004</v>
      </c>
      <c r="E178" s="76">
        <v>4629182.5289000003</v>
      </c>
      <c r="F178" s="76">
        <v>5462574.4747000001</v>
      </c>
      <c r="G178" s="76">
        <v>5300183.2385999998</v>
      </c>
      <c r="H178" s="76">
        <v>5281756.9588000001</v>
      </c>
      <c r="I178" s="76">
        <v>5704306.0438000001</v>
      </c>
      <c r="J178" s="76">
        <v>5204800.9436999997</v>
      </c>
      <c r="K178" s="76">
        <v>5644651.5730999997</v>
      </c>
      <c r="L178" s="76">
        <f>+P2a!D209</f>
        <v>4589998.2489999998</v>
      </c>
      <c r="M178" s="76">
        <f>+P2a!E209</f>
        <v>4178666.7236000001</v>
      </c>
      <c r="N178" s="76">
        <f>+P2a!F209</f>
        <v>4303681.3757999996</v>
      </c>
      <c r="O178" s="76">
        <v>4409869.2001999998</v>
      </c>
      <c r="P178" s="76">
        <v>4354610</v>
      </c>
      <c r="Q178" s="76">
        <v>4609052</v>
      </c>
      <c r="R178" s="76">
        <v>4605682.7763999999</v>
      </c>
      <c r="S178" s="76">
        <v>4808608.0767999999</v>
      </c>
      <c r="T178" s="76">
        <v>4957736.5967999902</v>
      </c>
      <c r="U178" s="76">
        <v>4728496.1146999998</v>
      </c>
      <c r="V178" s="76">
        <v>4748382.4917000001</v>
      </c>
      <c r="W178" s="76">
        <v>5209520.6388999997</v>
      </c>
      <c r="X178" s="46"/>
      <c r="Y178" s="451" t="s">
        <v>487</v>
      </c>
    </row>
    <row r="179" spans="1:25" ht="15" x14ac:dyDescent="0.2">
      <c r="A179" s="108"/>
      <c r="B179" s="106"/>
      <c r="C179" s="110"/>
      <c r="D179" s="72"/>
      <c r="E179" s="72"/>
      <c r="F179" s="72"/>
      <c r="G179" s="72"/>
      <c r="H179" s="72"/>
      <c r="I179" s="72"/>
      <c r="J179" s="72"/>
      <c r="K179" s="72"/>
      <c r="L179" s="72"/>
      <c r="M179" s="72"/>
      <c r="N179" s="72"/>
      <c r="O179" s="72"/>
      <c r="P179" s="72"/>
      <c r="Q179" s="72"/>
      <c r="R179" s="72"/>
      <c r="S179" s="72"/>
      <c r="T179" s="72"/>
      <c r="U179" s="72"/>
      <c r="V179" s="72"/>
      <c r="W179" s="72"/>
    </row>
    <row r="180" spans="1:25" ht="15.75" x14ac:dyDescent="0.25">
      <c r="B180" s="80" t="s">
        <v>318</v>
      </c>
      <c r="C180" s="116"/>
      <c r="W180" s="60"/>
    </row>
    <row r="181" spans="1:25" ht="15" x14ac:dyDescent="0.2">
      <c r="A181" s="62" t="s">
        <v>488</v>
      </c>
      <c r="B181" s="71" t="s">
        <v>320</v>
      </c>
      <c r="C181" s="63" t="s">
        <v>190</v>
      </c>
      <c r="D181" s="64">
        <f t="shared" ref="D181:W181" si="41">SUMPRODUCT(D109:D118,D148:D157)</f>
        <v>10223898.326972561</v>
      </c>
      <c r="E181" s="64">
        <f t="shared" si="41"/>
        <v>10706095.158469962</v>
      </c>
      <c r="F181" s="64">
        <f t="shared" si="41"/>
        <v>11050626.690410921</v>
      </c>
      <c r="G181" s="64">
        <f t="shared" si="41"/>
        <v>10952578.778082147</v>
      </c>
      <c r="H181" s="64">
        <f t="shared" si="41"/>
        <v>10880569.767123394</v>
      </c>
      <c r="I181" s="64">
        <f t="shared" si="41"/>
        <v>11101887.20218583</v>
      </c>
      <c r="J181" s="64">
        <f t="shared" si="41"/>
        <v>11019330.153424876</v>
      </c>
      <c r="K181" s="64">
        <f t="shared" si="41"/>
        <v>12015123.720547916</v>
      </c>
      <c r="L181" s="64">
        <f t="shared" si="41"/>
        <v>12224660.153424667</v>
      </c>
      <c r="M181" s="64">
        <f t="shared" si="41"/>
        <v>12590551.759562843</v>
      </c>
      <c r="N181" s="64">
        <f t="shared" si="41"/>
        <v>12499775.215846308</v>
      </c>
      <c r="O181" s="64">
        <f t="shared" si="41"/>
        <v>12788535.29589035</v>
      </c>
      <c r="P181" s="64">
        <f t="shared" si="41"/>
        <v>12721934.799999999</v>
      </c>
      <c r="Q181" s="64">
        <f t="shared" si="41"/>
        <v>13148631.009999998</v>
      </c>
      <c r="R181" s="64">
        <f t="shared" si="41"/>
        <v>13097947.071232745</v>
      </c>
      <c r="S181" s="64">
        <f t="shared" si="41"/>
        <v>13752142.5452045</v>
      </c>
      <c r="T181" s="64">
        <f t="shared" si="41"/>
        <v>13681725.367123207</v>
      </c>
      <c r="U181" s="64">
        <f t="shared" si="41"/>
        <v>14539566.275956364</v>
      </c>
      <c r="V181" s="64">
        <f t="shared" si="41"/>
        <v>14390210.497267755</v>
      </c>
      <c r="W181" s="64">
        <f t="shared" si="41"/>
        <v>15715296.446848007</v>
      </c>
      <c r="X181" s="46"/>
      <c r="Y181" s="451" t="s">
        <v>489</v>
      </c>
    </row>
    <row r="182" spans="1:25" ht="15" x14ac:dyDescent="0.2">
      <c r="A182" s="62" t="s">
        <v>490</v>
      </c>
      <c r="B182" s="71" t="s">
        <v>323</v>
      </c>
      <c r="C182" s="63" t="s">
        <v>190</v>
      </c>
      <c r="D182" s="64">
        <f t="shared" ref="D182:W182" si="42">SUMPRODUCT(D129:D130,D160:D161)</f>
        <v>9464215.9188166894</v>
      </c>
      <c r="E182" s="64">
        <f t="shared" si="42"/>
        <v>9033885.7737898305</v>
      </c>
      <c r="F182" s="64">
        <f t="shared" si="42"/>
        <v>9126290.6947828941</v>
      </c>
      <c r="G182" s="64">
        <f t="shared" si="42"/>
        <v>9740056.9017620161</v>
      </c>
      <c r="H182" s="64">
        <f t="shared" si="42"/>
        <v>8853536.4543937966</v>
      </c>
      <c r="I182" s="64">
        <f t="shared" si="42"/>
        <v>8323739.5050348146</v>
      </c>
      <c r="J182" s="64">
        <f t="shared" si="42"/>
        <v>8104142.2098069033</v>
      </c>
      <c r="K182" s="64">
        <f t="shared" si="42"/>
        <v>8254145.0019965693</v>
      </c>
      <c r="L182" s="64">
        <f t="shared" si="42"/>
        <v>8515037.2501299549</v>
      </c>
      <c r="M182" s="64">
        <f t="shared" si="42"/>
        <v>9178087.7123690285</v>
      </c>
      <c r="N182" s="64">
        <f t="shared" si="42"/>
        <v>8325671.2083417717</v>
      </c>
      <c r="O182" s="64">
        <f t="shared" si="42"/>
        <v>8621639.6713518444</v>
      </c>
      <c r="P182" s="64">
        <f t="shared" si="42"/>
        <v>8240765.4737999998</v>
      </c>
      <c r="Q182" s="64">
        <f t="shared" si="42"/>
        <v>8661391.6050000004</v>
      </c>
      <c r="R182" s="64">
        <f t="shared" si="42"/>
        <v>8680393.8453398533</v>
      </c>
      <c r="S182" s="64">
        <f t="shared" si="42"/>
        <v>9100679.7448481731</v>
      </c>
      <c r="T182" s="64">
        <f t="shared" si="42"/>
        <v>9198079.0106271002</v>
      </c>
      <c r="U182" s="64">
        <f t="shared" si="42"/>
        <v>9657209.4006214999</v>
      </c>
      <c r="V182" s="64">
        <f t="shared" si="42"/>
        <v>9642479.7367248554</v>
      </c>
      <c r="W182" s="64">
        <f t="shared" si="42"/>
        <v>10320548.137252524</v>
      </c>
      <c r="X182" s="46"/>
      <c r="Y182" s="451" t="s">
        <v>491</v>
      </c>
    </row>
    <row r="183" spans="1:25" ht="15" x14ac:dyDescent="0.2">
      <c r="A183" s="62" t="s">
        <v>492</v>
      </c>
      <c r="B183" s="71" t="s">
        <v>326</v>
      </c>
      <c r="C183" s="63" t="s">
        <v>190</v>
      </c>
      <c r="D183" s="64">
        <f t="shared" ref="D183:W183" si="43">SUMPRODUCT(D134:D144,D164:D174)</f>
        <v>78172993.793060914</v>
      </c>
      <c r="E183" s="64">
        <f t="shared" si="43"/>
        <v>74719264.449497506</v>
      </c>
      <c r="F183" s="64">
        <f t="shared" si="43"/>
        <v>74018563.41081591</v>
      </c>
      <c r="G183" s="64">
        <f t="shared" si="43"/>
        <v>73762009.483000651</v>
      </c>
      <c r="H183" s="64">
        <f t="shared" si="43"/>
        <v>73863906.756960332</v>
      </c>
      <c r="I183" s="64">
        <f t="shared" si="43"/>
        <v>73692347.758111745</v>
      </c>
      <c r="J183" s="64">
        <f t="shared" si="43"/>
        <v>72507030.516712472</v>
      </c>
      <c r="K183" s="64">
        <f t="shared" si="43"/>
        <v>73331670.379858211</v>
      </c>
      <c r="L183" s="64">
        <f t="shared" si="43"/>
        <v>75971035.235999376</v>
      </c>
      <c r="M183" s="64">
        <f t="shared" si="43"/>
        <v>76611307.740146697</v>
      </c>
      <c r="N183" s="64">
        <f t="shared" si="43"/>
        <v>75250281.443038389</v>
      </c>
      <c r="O183" s="64">
        <f t="shared" si="43"/>
        <v>68184646.524339378</v>
      </c>
      <c r="P183" s="64">
        <f t="shared" si="43"/>
        <v>67771961.99180001</v>
      </c>
      <c r="Q183" s="64">
        <f t="shared" si="43"/>
        <v>74855084.718999997</v>
      </c>
      <c r="R183" s="64">
        <f t="shared" si="43"/>
        <v>75868805.666818544</v>
      </c>
      <c r="S183" s="64">
        <f t="shared" si="43"/>
        <v>82211840.661227778</v>
      </c>
      <c r="T183" s="64">
        <f t="shared" si="43"/>
        <v>82893150.197263241</v>
      </c>
      <c r="U183" s="64">
        <f t="shared" si="43"/>
        <v>86814309.424738035</v>
      </c>
      <c r="V183" s="64">
        <f t="shared" si="43"/>
        <v>86435592.390265942</v>
      </c>
      <c r="W183" s="64">
        <f t="shared" si="43"/>
        <v>91463798.793346331</v>
      </c>
      <c r="X183" s="46"/>
      <c r="Y183" s="451" t="s">
        <v>493</v>
      </c>
    </row>
    <row r="184" spans="1:25" ht="15" x14ac:dyDescent="0.2">
      <c r="A184" s="62" t="s">
        <v>494</v>
      </c>
      <c r="B184" s="71" t="s">
        <v>495</v>
      </c>
      <c r="C184" s="63" t="s">
        <v>190</v>
      </c>
      <c r="D184" s="64">
        <f t="shared" ref="D184:W184" si="44">D178</f>
        <v>5057458.0557000004</v>
      </c>
      <c r="E184" s="64">
        <f t="shared" si="44"/>
        <v>4629182.5289000003</v>
      </c>
      <c r="F184" s="64">
        <f t="shared" si="44"/>
        <v>5462574.4747000001</v>
      </c>
      <c r="G184" s="64">
        <f t="shared" si="44"/>
        <v>5300183.2385999998</v>
      </c>
      <c r="H184" s="64">
        <f t="shared" si="44"/>
        <v>5281756.9588000001</v>
      </c>
      <c r="I184" s="64">
        <f t="shared" si="44"/>
        <v>5704306.0438000001</v>
      </c>
      <c r="J184" s="64">
        <f t="shared" si="44"/>
        <v>5204800.9436999997</v>
      </c>
      <c r="K184" s="64">
        <f t="shared" si="44"/>
        <v>5644651.5730999997</v>
      </c>
      <c r="L184" s="64">
        <f t="shared" si="44"/>
        <v>4589998.2489999998</v>
      </c>
      <c r="M184" s="64">
        <f t="shared" si="44"/>
        <v>4178666.7236000001</v>
      </c>
      <c r="N184" s="64">
        <f t="shared" si="44"/>
        <v>4303681.3757999996</v>
      </c>
      <c r="O184" s="64">
        <f t="shared" si="44"/>
        <v>4409869.2001999998</v>
      </c>
      <c r="P184" s="64">
        <f t="shared" si="44"/>
        <v>4354610</v>
      </c>
      <c r="Q184" s="64">
        <f t="shared" si="44"/>
        <v>4609052</v>
      </c>
      <c r="R184" s="64">
        <f t="shared" si="44"/>
        <v>4605682.7763999999</v>
      </c>
      <c r="S184" s="64">
        <f t="shared" si="44"/>
        <v>4808608.0767999999</v>
      </c>
      <c r="T184" s="64">
        <f t="shared" si="44"/>
        <v>4957736.5967999902</v>
      </c>
      <c r="U184" s="64">
        <f t="shared" si="44"/>
        <v>4728496.1146999998</v>
      </c>
      <c r="V184" s="64">
        <f t="shared" si="44"/>
        <v>4748382.4917000001</v>
      </c>
      <c r="W184" s="64">
        <f t="shared" si="44"/>
        <v>5209520.6388999997</v>
      </c>
      <c r="X184" s="46"/>
      <c r="Y184" s="451" t="str">
        <f>Y178</f>
        <v>Total revenue from water services for customers subject to schedule 3 agreements</v>
      </c>
    </row>
    <row r="185" spans="1:25" ht="15" x14ac:dyDescent="0.2">
      <c r="A185" s="62" t="s">
        <v>496</v>
      </c>
      <c r="B185" s="71" t="s">
        <v>189</v>
      </c>
      <c r="C185" s="63" t="s">
        <v>190</v>
      </c>
      <c r="D185" s="64">
        <f t="shared" ref="D185:W185" si="45">SUM(D181:D184)</f>
        <v>102918566.09455016</v>
      </c>
      <c r="E185" s="64">
        <f t="shared" si="45"/>
        <v>99088427.910657287</v>
      </c>
      <c r="F185" s="64">
        <f t="shared" si="45"/>
        <v>99658055.270709723</v>
      </c>
      <c r="G185" s="64">
        <f t="shared" si="45"/>
        <v>99754828.401444808</v>
      </c>
      <c r="H185" s="64">
        <f t="shared" si="45"/>
        <v>98879769.937277526</v>
      </c>
      <c r="I185" s="64">
        <f t="shared" si="45"/>
        <v>98822280.509132385</v>
      </c>
      <c r="J185" s="64">
        <f t="shared" si="45"/>
        <v>96835303.823644251</v>
      </c>
      <c r="K185" s="64">
        <f t="shared" si="45"/>
        <v>99245590.675502688</v>
      </c>
      <c r="L185" s="64">
        <f t="shared" si="45"/>
        <v>101300730.88855399</v>
      </c>
      <c r="M185" s="64">
        <f t="shared" si="45"/>
        <v>102558613.93567857</v>
      </c>
      <c r="N185" s="64">
        <f t="shared" si="45"/>
        <v>100379409.24302647</v>
      </c>
      <c r="O185" s="64">
        <f t="shared" si="45"/>
        <v>94004690.69178158</v>
      </c>
      <c r="P185" s="64">
        <f t="shared" si="45"/>
        <v>93089272.265600011</v>
      </c>
      <c r="Q185" s="64">
        <f t="shared" si="45"/>
        <v>101274159.33399999</v>
      </c>
      <c r="R185" s="64">
        <f t="shared" si="45"/>
        <v>102252829.35979114</v>
      </c>
      <c r="S185" s="64">
        <f t="shared" si="45"/>
        <v>109873271.02808045</v>
      </c>
      <c r="T185" s="64">
        <f t="shared" si="45"/>
        <v>110730691.17181353</v>
      </c>
      <c r="U185" s="64">
        <f t="shared" si="45"/>
        <v>115739581.21601591</v>
      </c>
      <c r="V185" s="64">
        <f t="shared" si="45"/>
        <v>115216665.11595854</v>
      </c>
      <c r="W185" s="64">
        <f t="shared" si="45"/>
        <v>122709164.01634686</v>
      </c>
      <c r="X185" s="46"/>
      <c r="Y185" s="451" t="s">
        <v>172</v>
      </c>
    </row>
    <row r="186" spans="1:25" ht="15" x14ac:dyDescent="0.2">
      <c r="A186" s="108"/>
      <c r="B186" s="106"/>
      <c r="C186" s="115"/>
      <c r="D186" s="87"/>
      <c r="E186" s="87"/>
      <c r="F186" s="87"/>
      <c r="G186" s="87"/>
      <c r="H186" s="87"/>
      <c r="I186" s="87"/>
      <c r="J186" s="87"/>
      <c r="K186" s="87"/>
      <c r="L186" s="87"/>
      <c r="M186" s="87"/>
      <c r="N186" s="87"/>
      <c r="O186" s="87"/>
      <c r="P186" s="87"/>
      <c r="Q186" s="87"/>
      <c r="R186" s="87"/>
      <c r="S186" s="87"/>
      <c r="T186" s="87"/>
      <c r="U186" s="87"/>
      <c r="V186" s="87"/>
      <c r="W186" s="87"/>
    </row>
    <row r="187" spans="1:25" ht="31.5" x14ac:dyDescent="0.25">
      <c r="B187" s="80" t="s">
        <v>497</v>
      </c>
      <c r="C187" s="119"/>
      <c r="W187" s="84"/>
    </row>
    <row r="188" spans="1:25" ht="15" x14ac:dyDescent="0.2">
      <c r="A188" s="62" t="s">
        <v>498</v>
      </c>
      <c r="B188" s="62" t="s">
        <v>499</v>
      </c>
      <c r="C188" s="75" t="s">
        <v>223</v>
      </c>
      <c r="D188" s="76">
        <v>2188.3029999999999</v>
      </c>
      <c r="E188" s="76">
        <v>422.4425</v>
      </c>
      <c r="F188" s="76">
        <v>365.00599999999997</v>
      </c>
      <c r="G188" s="76">
        <v>792.20929999999998</v>
      </c>
      <c r="H188" s="76">
        <v>118448.69289999999</v>
      </c>
      <c r="I188" s="76">
        <v>936071.32990000094</v>
      </c>
      <c r="J188" s="76">
        <v>1367933.3178000001</v>
      </c>
      <c r="K188" s="76">
        <v>1769650.1828000001</v>
      </c>
      <c r="L188" s="76">
        <f>+P2a!D219-L192</f>
        <v>1851859.9458999899</v>
      </c>
      <c r="M188" s="76">
        <f>+P2a!E219</f>
        <v>2199812.87759997</v>
      </c>
      <c r="N188" s="76">
        <f>+P2a!F219-N192</f>
        <v>2092590.3930999902</v>
      </c>
      <c r="O188" s="76">
        <v>2042311.50439999</v>
      </c>
      <c r="P188" s="76">
        <v>1984658</v>
      </c>
      <c r="Q188" s="76">
        <v>2446129</v>
      </c>
      <c r="R188" s="76">
        <v>2376640.0847999998</v>
      </c>
      <c r="S188" s="76">
        <v>2864129.6952999998</v>
      </c>
      <c r="T188" s="76">
        <v>2813817.8114</v>
      </c>
      <c r="U188" s="76">
        <v>3560382.8392999899</v>
      </c>
      <c r="V188" s="76">
        <v>3335080.3739999998</v>
      </c>
      <c r="W188" s="76">
        <v>3844509.1874999902</v>
      </c>
      <c r="X188" s="46"/>
      <c r="Y188" s="451" t="s">
        <v>500</v>
      </c>
    </row>
    <row r="189" spans="1:25" ht="30" x14ac:dyDescent="0.2">
      <c r="A189" s="62" t="s">
        <v>501</v>
      </c>
      <c r="B189" s="62" t="s">
        <v>502</v>
      </c>
      <c r="C189" s="63" t="s">
        <v>190</v>
      </c>
      <c r="D189" s="88">
        <f t="shared" ref="D189:W189" si="46">D188/D185</f>
        <v>2.1262470738172059E-5</v>
      </c>
      <c r="E189" s="88">
        <f t="shared" si="46"/>
        <v>4.2632879429764867E-6</v>
      </c>
      <c r="F189" s="88">
        <f t="shared" si="46"/>
        <v>3.6625840129882413E-6</v>
      </c>
      <c r="G189" s="88">
        <f t="shared" si="46"/>
        <v>7.94156345808045E-6</v>
      </c>
      <c r="H189" s="88">
        <f t="shared" si="46"/>
        <v>1.1979062347650651E-3</v>
      </c>
      <c r="I189" s="88">
        <f t="shared" si="46"/>
        <v>9.4722700698401368E-3</v>
      </c>
      <c r="J189" s="88">
        <f t="shared" si="46"/>
        <v>1.412639051859919E-2</v>
      </c>
      <c r="K189" s="88">
        <f t="shared" si="46"/>
        <v>1.7831020710896046E-2</v>
      </c>
      <c r="L189" s="88">
        <f t="shared" si="46"/>
        <v>1.8280815248384673E-2</v>
      </c>
      <c r="M189" s="88">
        <f t="shared" si="46"/>
        <v>2.1449323398418988E-2</v>
      </c>
      <c r="N189" s="88">
        <f t="shared" si="46"/>
        <v>2.0846809209981141E-2</v>
      </c>
      <c r="O189" s="88">
        <f t="shared" si="46"/>
        <v>2.1725634001565203E-2</v>
      </c>
      <c r="P189" s="88">
        <f t="shared" si="46"/>
        <v>2.1319943229735676E-2</v>
      </c>
      <c r="Q189" s="88">
        <f t="shared" si="46"/>
        <v>2.4153535473276252E-2</v>
      </c>
      <c r="R189" s="88">
        <f t="shared" si="46"/>
        <v>2.3242780661231907E-2</v>
      </c>
      <c r="S189" s="88">
        <f t="shared" si="46"/>
        <v>2.6067574656697082E-2</v>
      </c>
      <c r="T189" s="88">
        <f t="shared" si="46"/>
        <v>2.5411363205834089E-2</v>
      </c>
      <c r="U189" s="88">
        <f t="shared" si="46"/>
        <v>3.0762015914459765E-2</v>
      </c>
      <c r="V189" s="88">
        <f t="shared" si="46"/>
        <v>2.8946163045453929E-2</v>
      </c>
      <c r="W189" s="88">
        <f t="shared" si="46"/>
        <v>3.133025327259046E-2</v>
      </c>
      <c r="X189" s="46"/>
      <c r="Y189" s="451" t="s">
        <v>503</v>
      </c>
    </row>
    <row r="190" spans="1:25" ht="30" x14ac:dyDescent="0.2">
      <c r="A190" s="62" t="s">
        <v>504</v>
      </c>
      <c r="B190" s="62" t="s">
        <v>505</v>
      </c>
      <c r="C190" s="75" t="s">
        <v>223</v>
      </c>
      <c r="D190" s="91">
        <v>0</v>
      </c>
      <c r="E190" s="82">
        <v>0</v>
      </c>
      <c r="F190" s="82">
        <v>0</v>
      </c>
      <c r="G190" s="82">
        <v>0</v>
      </c>
      <c r="H190" s="82">
        <v>0</v>
      </c>
      <c r="I190" s="82">
        <v>0</v>
      </c>
      <c r="J190" s="82">
        <v>0</v>
      </c>
      <c r="K190" s="82">
        <v>1483588.7660999999</v>
      </c>
      <c r="L190" s="82">
        <f>+P2a!D221-L192</f>
        <v>1413867.6194</v>
      </c>
      <c r="M190" s="82">
        <f>+P2a!E221-M192</f>
        <v>1192477.4030000002</v>
      </c>
      <c r="N190" s="82">
        <f>+P2a!F221-N192</f>
        <v>1348561.4513000001</v>
      </c>
      <c r="O190" s="82">
        <f>1441601.33410001-O192</f>
        <v>1369499.1634000102</v>
      </c>
      <c r="P190" s="82">
        <v>1530161.8096</v>
      </c>
      <c r="Q190" s="82">
        <v>1241504.7524999999</v>
      </c>
      <c r="R190" s="82">
        <v>1760445.9693</v>
      </c>
      <c r="S190" s="82">
        <v>1330569.4663</v>
      </c>
      <c r="T190" s="82">
        <v>1771249.4317999999</v>
      </c>
      <c r="U190" s="82">
        <v>1273780.2341</v>
      </c>
      <c r="V190" s="92">
        <v>1688016.4469999999</v>
      </c>
      <c r="W190" s="92">
        <v>1354388.77809999</v>
      </c>
      <c r="X190" s="46"/>
      <c r="Y190" s="451" t="s">
        <v>506</v>
      </c>
    </row>
    <row r="191" spans="1:25" ht="30" x14ac:dyDescent="0.2">
      <c r="A191" s="62" t="s">
        <v>507</v>
      </c>
      <c r="B191" s="62" t="s">
        <v>508</v>
      </c>
      <c r="C191" s="63" t="s">
        <v>190</v>
      </c>
      <c r="D191" s="89">
        <f t="shared" ref="D191:W191" si="47">D190/D185</f>
        <v>0</v>
      </c>
      <c r="E191" s="89">
        <f t="shared" si="47"/>
        <v>0</v>
      </c>
      <c r="F191" s="89">
        <f t="shared" si="47"/>
        <v>0</v>
      </c>
      <c r="G191" s="89">
        <f t="shared" si="47"/>
        <v>0</v>
      </c>
      <c r="H191" s="89">
        <f t="shared" si="47"/>
        <v>0</v>
      </c>
      <c r="I191" s="89">
        <f t="shared" si="47"/>
        <v>0</v>
      </c>
      <c r="J191" s="89">
        <f t="shared" si="47"/>
        <v>0</v>
      </c>
      <c r="K191" s="89">
        <f t="shared" si="47"/>
        <v>1.4948661759198959E-2</v>
      </c>
      <c r="L191" s="89">
        <f t="shared" si="47"/>
        <v>1.3957131473764652E-2</v>
      </c>
      <c r="M191" s="89">
        <f t="shared" si="47"/>
        <v>1.1627276902824401E-2</v>
      </c>
      <c r="N191" s="89">
        <f t="shared" si="47"/>
        <v>1.3434642238579294E-2</v>
      </c>
      <c r="O191" s="89">
        <f t="shared" si="47"/>
        <v>1.4568413058134125E-2</v>
      </c>
      <c r="P191" s="89">
        <f t="shared" si="47"/>
        <v>1.6437574087314596E-2</v>
      </c>
      <c r="Q191" s="89">
        <f t="shared" si="47"/>
        <v>1.22588502404206E-2</v>
      </c>
      <c r="R191" s="89">
        <f t="shared" si="47"/>
        <v>1.7216599093856075E-2</v>
      </c>
      <c r="S191" s="89">
        <f t="shared" si="47"/>
        <v>1.2110037808558049E-2</v>
      </c>
      <c r="T191" s="89">
        <f t="shared" si="47"/>
        <v>1.5996011702407498E-2</v>
      </c>
      <c r="U191" s="89">
        <f t="shared" si="47"/>
        <v>1.1005571479670568E-2</v>
      </c>
      <c r="V191" s="89">
        <f t="shared" si="47"/>
        <v>1.4650801125871108E-2</v>
      </c>
      <c r="W191" s="89">
        <f t="shared" si="47"/>
        <v>1.1037389008041514E-2</v>
      </c>
      <c r="X191" s="46"/>
      <c r="Y191" s="451" t="s">
        <v>509</v>
      </c>
    </row>
    <row r="192" spans="1:25" ht="15" x14ac:dyDescent="0.2">
      <c r="A192" s="62" t="s">
        <v>510</v>
      </c>
      <c r="B192" s="62" t="s">
        <v>347</v>
      </c>
      <c r="C192" s="75" t="s">
        <v>223</v>
      </c>
      <c r="D192" s="76">
        <v>0</v>
      </c>
      <c r="E192" s="76">
        <v>0</v>
      </c>
      <c r="F192" s="76">
        <v>0</v>
      </c>
      <c r="G192" s="76">
        <v>0</v>
      </c>
      <c r="H192" s="76">
        <v>0</v>
      </c>
      <c r="I192" s="76">
        <v>0</v>
      </c>
      <c r="J192" s="76">
        <v>0</v>
      </c>
      <c r="K192" s="76">
        <v>55758.9827</v>
      </c>
      <c r="L192" s="76">
        <f>+P2a!D223</f>
        <v>70428.976500000004</v>
      </c>
      <c r="M192" s="76">
        <f>+P2a!E223</f>
        <v>57905.697</v>
      </c>
      <c r="N192" s="76">
        <f>+P2a!F223</f>
        <v>74764.063099999999</v>
      </c>
      <c r="O192" s="76">
        <v>72102.170700000002</v>
      </c>
      <c r="P192" s="76">
        <v>81163</v>
      </c>
      <c r="Q192" s="76">
        <v>62134</v>
      </c>
      <c r="R192" s="76">
        <v>81783.1133999999</v>
      </c>
      <c r="S192" s="76">
        <v>62125.4666</v>
      </c>
      <c r="T192" s="76">
        <v>70387.606399999902</v>
      </c>
      <c r="U192" s="76">
        <v>56164.3246</v>
      </c>
      <c r="V192" s="92">
        <v>83419.177099999899</v>
      </c>
      <c r="W192" s="92">
        <v>83881.765700000004</v>
      </c>
      <c r="X192" s="46"/>
      <c r="Y192" s="451" t="s">
        <v>348</v>
      </c>
    </row>
    <row r="193" spans="1:25" ht="30" x14ac:dyDescent="0.2">
      <c r="A193" s="62" t="s">
        <v>511</v>
      </c>
      <c r="B193" s="62" t="s">
        <v>350</v>
      </c>
      <c r="C193" s="63" t="s">
        <v>190</v>
      </c>
      <c r="D193" s="89">
        <f t="shared" ref="D193:W193" si="48">D192/D185</f>
        <v>0</v>
      </c>
      <c r="E193" s="89">
        <f t="shared" si="48"/>
        <v>0</v>
      </c>
      <c r="F193" s="89">
        <f t="shared" si="48"/>
        <v>0</v>
      </c>
      <c r="G193" s="89">
        <f t="shared" si="48"/>
        <v>0</v>
      </c>
      <c r="H193" s="89">
        <f t="shared" si="48"/>
        <v>0</v>
      </c>
      <c r="I193" s="89">
        <f t="shared" si="48"/>
        <v>0</v>
      </c>
      <c r="J193" s="89">
        <f t="shared" si="48"/>
        <v>0</v>
      </c>
      <c r="K193" s="89">
        <f t="shared" si="48"/>
        <v>5.6182831217471186E-4</v>
      </c>
      <c r="L193" s="89">
        <f t="shared" si="48"/>
        <v>6.9524647929226143E-4</v>
      </c>
      <c r="M193" s="89">
        <f t="shared" si="48"/>
        <v>5.6461076040201339E-4</v>
      </c>
      <c r="N193" s="89">
        <f t="shared" si="48"/>
        <v>7.4481473505179038E-4</v>
      </c>
      <c r="O193" s="89">
        <f t="shared" si="48"/>
        <v>7.6700609479590125E-4</v>
      </c>
      <c r="P193" s="89">
        <f t="shared" si="48"/>
        <v>8.7188349446354818E-4</v>
      </c>
      <c r="Q193" s="89">
        <f t="shared" si="48"/>
        <v>6.1352274270757862E-4</v>
      </c>
      <c r="R193" s="89">
        <f t="shared" si="48"/>
        <v>7.9981271825970085E-4</v>
      </c>
      <c r="S193" s="89">
        <f t="shared" si="48"/>
        <v>5.654283887126881E-4</v>
      </c>
      <c r="T193" s="89">
        <f t="shared" si="48"/>
        <v>6.356648337973804E-4</v>
      </c>
      <c r="U193" s="89">
        <f t="shared" si="48"/>
        <v>4.8526462606750861E-4</v>
      </c>
      <c r="V193" s="89">
        <f t="shared" si="48"/>
        <v>7.2402006268835843E-4</v>
      </c>
      <c r="W193" s="89">
        <f t="shared" si="48"/>
        <v>6.83581918045058E-4</v>
      </c>
      <c r="X193" s="46"/>
    </row>
    <row r="194" spans="1:25" ht="15" x14ac:dyDescent="0.2">
      <c r="A194" s="108"/>
      <c r="B194" s="109"/>
      <c r="C194" s="110"/>
      <c r="D194" s="72"/>
      <c r="E194" s="72"/>
      <c r="F194" s="72"/>
      <c r="G194" s="72"/>
      <c r="H194" s="72"/>
      <c r="I194" s="72"/>
      <c r="J194" s="72"/>
      <c r="K194" s="72"/>
      <c r="L194" s="72"/>
      <c r="M194" s="72"/>
      <c r="N194" s="72"/>
      <c r="O194" s="72"/>
      <c r="P194" s="72"/>
      <c r="Q194" s="72"/>
      <c r="R194" s="72"/>
      <c r="S194" s="72"/>
      <c r="T194" s="72"/>
      <c r="U194" s="72"/>
      <c r="V194" s="72"/>
      <c r="W194" s="72"/>
    </row>
    <row r="195" spans="1:25" ht="15" x14ac:dyDescent="0.2">
      <c r="W195" s="59"/>
    </row>
    <row r="196" spans="1:25" ht="15" x14ac:dyDescent="0.2">
      <c r="W196" s="59"/>
    </row>
    <row r="197" spans="1:25" ht="15.75" x14ac:dyDescent="0.25">
      <c r="B197" s="73" t="s">
        <v>512</v>
      </c>
      <c r="W197" s="60"/>
    </row>
    <row r="198" spans="1:25" ht="31.5" x14ac:dyDescent="0.2">
      <c r="B198" s="9" t="s">
        <v>513</v>
      </c>
      <c r="C198" s="31" t="s">
        <v>159</v>
      </c>
      <c r="D198" s="61" t="str">
        <f t="shared" ref="D198:O198" si="49">+D$14</f>
        <v>2010-11 RF</v>
      </c>
      <c r="E198" s="61" t="str">
        <f t="shared" si="49"/>
        <v>2011-12 RF</v>
      </c>
      <c r="F198" s="61" t="str">
        <f t="shared" si="49"/>
        <v>2012-13 RF</v>
      </c>
      <c r="G198" s="61" t="str">
        <f t="shared" si="49"/>
        <v>2013-14 RF</v>
      </c>
      <c r="H198" s="61" t="str">
        <f t="shared" si="49"/>
        <v>2014-15 RF</v>
      </c>
      <c r="I198" s="61" t="str">
        <f t="shared" si="49"/>
        <v>2015-16 RF</v>
      </c>
      <c r="J198" s="61" t="str">
        <f t="shared" si="49"/>
        <v>2016-17 RF</v>
      </c>
      <c r="K198" s="61" t="str">
        <f t="shared" si="49"/>
        <v>2017-18 RF</v>
      </c>
      <c r="L198" s="61" t="str">
        <f t="shared" si="49"/>
        <v>2018-19 RF</v>
      </c>
      <c r="M198" s="61" t="str">
        <f t="shared" si="49"/>
        <v>2019-20 month</v>
      </c>
      <c r="N198" s="61" t="str">
        <f t="shared" si="49"/>
        <v>2019-20 RF</v>
      </c>
      <c r="O198" s="61" t="str">
        <f t="shared" si="49"/>
        <v>2020-21 month</v>
      </c>
      <c r="P198" s="61" t="s">
        <v>18</v>
      </c>
      <c r="Q198" s="61" t="s">
        <v>162</v>
      </c>
      <c r="R198" s="61" t="s">
        <v>20</v>
      </c>
      <c r="S198" s="61" t="s">
        <v>163</v>
      </c>
      <c r="T198" s="61" t="s">
        <v>22</v>
      </c>
      <c r="U198" s="61" t="s">
        <v>23</v>
      </c>
      <c r="V198" s="61" t="s">
        <v>24</v>
      </c>
      <c r="W198" s="61" t="s">
        <v>25</v>
      </c>
      <c r="X198" s="46"/>
    </row>
    <row r="199" spans="1:25" ht="15" x14ac:dyDescent="0.2">
      <c r="A199" s="62" t="s">
        <v>514</v>
      </c>
      <c r="B199" s="74" t="s">
        <v>222</v>
      </c>
      <c r="C199" s="75" t="s">
        <v>223</v>
      </c>
      <c r="D199" s="76">
        <v>22824.4086260189</v>
      </c>
      <c r="E199" s="76">
        <v>16064.7295081967</v>
      </c>
      <c r="F199" s="76">
        <v>17491.819178082402</v>
      </c>
      <c r="G199" s="76">
        <v>15077.9397260275</v>
      </c>
      <c r="H199" s="76">
        <v>14227.0630136986</v>
      </c>
      <c r="I199" s="76">
        <v>14038.3251366121</v>
      </c>
      <c r="J199" s="76">
        <v>13935.860273972599</v>
      </c>
      <c r="K199" s="76">
        <v>18879.0493150685</v>
      </c>
      <c r="L199" s="76">
        <f>+P2a!D228+P2a!D229+P2a!D230</f>
        <v>17914.937899543427</v>
      </c>
      <c r="M199" s="76">
        <f>+P2a!E228+P2a!E229+P2a!E230</f>
        <v>17620.369763205919</v>
      </c>
      <c r="N199" s="76">
        <f>+P2a!F228+P2a!F229+P2a!F230</f>
        <v>17262.75045537352</v>
      </c>
      <c r="O199" s="76">
        <v>17710.580000000002</v>
      </c>
      <c r="P199" s="76">
        <v>17420</v>
      </c>
      <c r="Q199" s="76">
        <v>18260.900000000001</v>
      </c>
      <c r="R199" s="76">
        <v>17989.336986301299</v>
      </c>
      <c r="S199" s="76">
        <v>20634.613698630099</v>
      </c>
      <c r="T199" s="76">
        <v>20191.695890410901</v>
      </c>
      <c r="U199" s="76">
        <v>22694.743169398898</v>
      </c>
      <c r="V199" s="76">
        <v>21131.961748633799</v>
      </c>
      <c r="W199" s="76">
        <v>22075.4575342465</v>
      </c>
      <c r="X199" s="46"/>
      <c r="Y199" s="451" t="s">
        <v>224</v>
      </c>
    </row>
    <row r="200" spans="1:25" ht="15" x14ac:dyDescent="0.2">
      <c r="A200" s="62" t="s">
        <v>515</v>
      </c>
      <c r="B200" s="77" t="s">
        <v>226</v>
      </c>
      <c r="C200" s="75" t="s">
        <v>223</v>
      </c>
      <c r="D200" s="76">
        <v>324.12659315068601</v>
      </c>
      <c r="E200" s="76">
        <v>373.50546448087402</v>
      </c>
      <c r="F200" s="76">
        <v>369.158904109589</v>
      </c>
      <c r="G200" s="76">
        <v>235.928767123288</v>
      </c>
      <c r="H200" s="76">
        <v>192.621917808219</v>
      </c>
      <c r="I200" s="76">
        <v>191.57923497267799</v>
      </c>
      <c r="J200" s="76">
        <v>190.31232876712301</v>
      </c>
      <c r="K200" s="76">
        <v>197.73698630137</v>
      </c>
      <c r="L200" s="76">
        <f>+P2a!D231+P2a!D232+P2a!D233</f>
        <v>177.36164383561621</v>
      </c>
      <c r="M200" s="76">
        <f>+P2a!E231+P2a!E232+P2a!E233</f>
        <v>163.4653916211293</v>
      </c>
      <c r="N200" s="76">
        <f>+P2a!F231+P2a!F232+P2a!F233</f>
        <v>158.40163934426238</v>
      </c>
      <c r="O200" s="78" t="s">
        <v>62</v>
      </c>
      <c r="P200" s="78" t="s">
        <v>62</v>
      </c>
      <c r="Q200" s="78" t="s">
        <v>62</v>
      </c>
      <c r="R200" s="78" t="s">
        <v>62</v>
      </c>
      <c r="S200" s="78" t="s">
        <v>62</v>
      </c>
      <c r="T200" s="78" t="s">
        <v>62</v>
      </c>
      <c r="U200" s="78" t="s">
        <v>62</v>
      </c>
      <c r="V200" s="78" t="s">
        <v>87</v>
      </c>
      <c r="W200" s="78" t="s">
        <v>87</v>
      </c>
      <c r="X200" s="46"/>
      <c r="Y200" s="451" t="s">
        <v>227</v>
      </c>
    </row>
    <row r="201" spans="1:25" ht="15" x14ac:dyDescent="0.2">
      <c r="A201" s="62" t="s">
        <v>516</v>
      </c>
      <c r="B201" s="77" t="s">
        <v>229</v>
      </c>
      <c r="C201" s="75" t="s">
        <v>223</v>
      </c>
      <c r="D201" s="76">
        <v>56.912475342465797</v>
      </c>
      <c r="E201" s="76">
        <v>73.7732240437158</v>
      </c>
      <c r="F201" s="76">
        <v>69.490410958904107</v>
      </c>
      <c r="G201" s="76">
        <v>29.624657534246602</v>
      </c>
      <c r="H201" s="76">
        <v>15.550684931506799</v>
      </c>
      <c r="I201" s="76">
        <v>18.724043715846999</v>
      </c>
      <c r="J201" s="76">
        <v>20.0082191780822</v>
      </c>
      <c r="K201" s="76">
        <v>15.150684931506801</v>
      </c>
      <c r="L201" s="76">
        <f>+P2a!D234+P2a!D235+P2a!D236</f>
        <v>19.269406392694069</v>
      </c>
      <c r="M201" s="76">
        <f>+P2a!E234+P2a!E235+P2a!E236</f>
        <v>20.400728597449941</v>
      </c>
      <c r="N201" s="76">
        <f>+P2a!F234+P2a!F235+P2a!F236</f>
        <v>20.507285974499091</v>
      </c>
      <c r="O201" s="78" t="s">
        <v>62</v>
      </c>
      <c r="P201" s="78" t="s">
        <v>62</v>
      </c>
      <c r="Q201" s="78" t="s">
        <v>62</v>
      </c>
      <c r="R201" s="78" t="s">
        <v>62</v>
      </c>
      <c r="S201" s="78" t="s">
        <v>62</v>
      </c>
      <c r="T201" s="78" t="s">
        <v>62</v>
      </c>
      <c r="U201" s="78" t="s">
        <v>62</v>
      </c>
      <c r="V201" s="78" t="s">
        <v>87</v>
      </c>
      <c r="W201" s="78" t="s">
        <v>87</v>
      </c>
      <c r="X201" s="46"/>
      <c r="Y201" s="451" t="s">
        <v>230</v>
      </c>
    </row>
    <row r="202" spans="1:25" ht="15" x14ac:dyDescent="0.2">
      <c r="A202" s="62" t="s">
        <v>517</v>
      </c>
      <c r="B202" s="77" t="s">
        <v>232</v>
      </c>
      <c r="C202" s="75" t="s">
        <v>223</v>
      </c>
      <c r="D202" s="76">
        <v>41.815838356164399</v>
      </c>
      <c r="E202" s="76">
        <v>69.133879781420802</v>
      </c>
      <c r="F202" s="76">
        <v>58.830136986301397</v>
      </c>
      <c r="G202" s="76">
        <v>29.7561643835616</v>
      </c>
      <c r="H202" s="76">
        <v>21.194520547945199</v>
      </c>
      <c r="I202" s="76">
        <v>16.642076502732198</v>
      </c>
      <c r="J202" s="76">
        <v>12.0438356164384</v>
      </c>
      <c r="K202" s="76">
        <v>10.3917808219178</v>
      </c>
      <c r="L202" s="76">
        <f>+P2a!D237+P2a!D238+P2a!D239</f>
        <v>10.609132420091322</v>
      </c>
      <c r="M202" s="76">
        <f>+P2a!E237+P2a!E238+P2a!E239</f>
        <v>8.9417122040072901</v>
      </c>
      <c r="N202" s="76">
        <f>+P2a!F237+P2a!F238+P2a!F239</f>
        <v>10.444444444444439</v>
      </c>
      <c r="O202" s="78" t="s">
        <v>62</v>
      </c>
      <c r="P202" s="78" t="s">
        <v>62</v>
      </c>
      <c r="Q202" s="78" t="s">
        <v>62</v>
      </c>
      <c r="R202" s="78" t="s">
        <v>62</v>
      </c>
      <c r="S202" s="78" t="s">
        <v>62</v>
      </c>
      <c r="T202" s="78" t="s">
        <v>62</v>
      </c>
      <c r="U202" s="78" t="s">
        <v>62</v>
      </c>
      <c r="V202" s="78" t="s">
        <v>87</v>
      </c>
      <c r="W202" s="78" t="s">
        <v>87</v>
      </c>
      <c r="X202" s="46"/>
      <c r="Y202" s="451" t="s">
        <v>233</v>
      </c>
    </row>
    <row r="203" spans="1:25" ht="15" x14ac:dyDescent="0.2">
      <c r="A203" s="62" t="s">
        <v>518</v>
      </c>
      <c r="B203" s="77" t="s">
        <v>235</v>
      </c>
      <c r="C203" s="75" t="s">
        <v>223</v>
      </c>
      <c r="D203" s="76">
        <v>1.7634369863013699</v>
      </c>
      <c r="E203" s="76">
        <v>1.86065573770492</v>
      </c>
      <c r="F203" s="76">
        <v>0</v>
      </c>
      <c r="G203" s="76">
        <v>0</v>
      </c>
      <c r="H203" s="76">
        <v>0</v>
      </c>
      <c r="I203" s="76">
        <v>0</v>
      </c>
      <c r="J203" s="76">
        <v>0</v>
      </c>
      <c r="K203" s="76">
        <v>0</v>
      </c>
      <c r="L203" s="76">
        <f>+P2a!D240+P2a!D241+P2a!D242</f>
        <v>0</v>
      </c>
      <c r="M203" s="76">
        <f>+P2a!E240+P2a!E241+P2a!E242</f>
        <v>0</v>
      </c>
      <c r="N203" s="76">
        <f>+P2a!F240+P2a!F241+P2a!F242</f>
        <v>0</v>
      </c>
      <c r="O203" s="78" t="s">
        <v>62</v>
      </c>
      <c r="P203" s="78" t="s">
        <v>62</v>
      </c>
      <c r="Q203" s="78" t="s">
        <v>62</v>
      </c>
      <c r="R203" s="78" t="s">
        <v>62</v>
      </c>
      <c r="S203" s="78" t="s">
        <v>62</v>
      </c>
      <c r="T203" s="78" t="s">
        <v>62</v>
      </c>
      <c r="U203" s="78" t="s">
        <v>62</v>
      </c>
      <c r="V203" s="78" t="s">
        <v>87</v>
      </c>
      <c r="W203" s="78" t="s">
        <v>87</v>
      </c>
      <c r="X203" s="46"/>
      <c r="Y203" s="454" t="s">
        <v>236</v>
      </c>
    </row>
    <row r="204" spans="1:25" ht="15" x14ac:dyDescent="0.2">
      <c r="A204" s="62" t="s">
        <v>519</v>
      </c>
      <c r="B204" s="71" t="s">
        <v>238</v>
      </c>
      <c r="C204" s="63" t="s">
        <v>190</v>
      </c>
      <c r="D204" s="64">
        <f t="shared" ref="D204:W204" si="50">SUM(D199:D203)</f>
        <v>23249.026969854516</v>
      </c>
      <c r="E204" s="64">
        <f t="shared" si="50"/>
        <v>16583.002732240417</v>
      </c>
      <c r="F204" s="64">
        <f t="shared" si="50"/>
        <v>17989.298630137197</v>
      </c>
      <c r="G204" s="64">
        <f t="shared" si="50"/>
        <v>15373.249315068597</v>
      </c>
      <c r="H204" s="64">
        <f t="shared" si="50"/>
        <v>14456.430136986271</v>
      </c>
      <c r="I204" s="64">
        <f t="shared" si="50"/>
        <v>14265.270491803358</v>
      </c>
      <c r="J204" s="64">
        <f t="shared" si="50"/>
        <v>14158.224657534241</v>
      </c>
      <c r="K204" s="64">
        <f t="shared" si="50"/>
        <v>19102.328767123297</v>
      </c>
      <c r="L204" s="64">
        <f t="shared" si="50"/>
        <v>18122.178082191826</v>
      </c>
      <c r="M204" s="64">
        <f t="shared" si="50"/>
        <v>17813.177595628506</v>
      </c>
      <c r="N204" s="64">
        <f t="shared" si="50"/>
        <v>17452.103825136724</v>
      </c>
      <c r="O204" s="64">
        <f t="shared" si="50"/>
        <v>17710.580000000002</v>
      </c>
      <c r="P204" s="64">
        <f t="shared" si="50"/>
        <v>17420</v>
      </c>
      <c r="Q204" s="64">
        <f t="shared" si="50"/>
        <v>18260.900000000001</v>
      </c>
      <c r="R204" s="64">
        <f t="shared" si="50"/>
        <v>17989.336986301299</v>
      </c>
      <c r="S204" s="64">
        <f t="shared" si="50"/>
        <v>20634.613698630099</v>
      </c>
      <c r="T204" s="64">
        <f t="shared" si="50"/>
        <v>20191.695890410901</v>
      </c>
      <c r="U204" s="64">
        <f t="shared" si="50"/>
        <v>22694.743169398898</v>
      </c>
      <c r="V204" s="64">
        <f t="shared" si="50"/>
        <v>21131.961748633799</v>
      </c>
      <c r="W204" s="64">
        <f t="shared" si="50"/>
        <v>22075.4575342465</v>
      </c>
      <c r="X204" s="46"/>
      <c r="Y204" s="451" t="s">
        <v>520</v>
      </c>
    </row>
    <row r="205" spans="1:25" ht="15.75" x14ac:dyDescent="0.25">
      <c r="A205" s="105"/>
      <c r="B205" s="121"/>
      <c r="C205" s="122"/>
      <c r="D205" s="69"/>
      <c r="E205" s="69"/>
      <c r="F205" s="69"/>
      <c r="G205" s="69"/>
      <c r="H205" s="69"/>
      <c r="I205" s="69"/>
      <c r="J205" s="69"/>
      <c r="K205" s="69"/>
      <c r="L205" s="69"/>
      <c r="M205" s="69"/>
      <c r="N205" s="69"/>
      <c r="O205" s="69"/>
      <c r="P205" s="69"/>
      <c r="Q205" s="69"/>
      <c r="R205" s="69"/>
      <c r="S205" s="69"/>
      <c r="T205" s="69"/>
      <c r="U205" s="69"/>
      <c r="V205" s="69"/>
      <c r="W205" s="69"/>
    </row>
    <row r="206" spans="1:25" ht="15" x14ac:dyDescent="0.2">
      <c r="A206" s="62" t="s">
        <v>521</v>
      </c>
      <c r="B206" s="77" t="s">
        <v>241</v>
      </c>
      <c r="C206" s="75" t="s">
        <v>223</v>
      </c>
      <c r="D206" s="76">
        <v>0</v>
      </c>
      <c r="E206" s="76">
        <v>0.27049180327868899</v>
      </c>
      <c r="F206" s="76">
        <v>1</v>
      </c>
      <c r="G206" s="76">
        <v>1.3917808219178101</v>
      </c>
      <c r="H206" s="76">
        <v>52.246575342465803</v>
      </c>
      <c r="I206" s="76">
        <v>597.42896174863301</v>
      </c>
      <c r="J206" s="76">
        <v>1204.81643835616</v>
      </c>
      <c r="K206" s="76">
        <v>1443.4136986301301</v>
      </c>
      <c r="L206" s="76">
        <v>2029.5287671231899</v>
      </c>
      <c r="M206" s="76">
        <v>1897.3060109289599</v>
      </c>
      <c r="N206" s="76">
        <f>2209.45081967205-N208</f>
        <v>1882.2759562840729</v>
      </c>
      <c r="O206" s="76">
        <v>2045.6739726027399</v>
      </c>
      <c r="P206" s="76">
        <v>1975</v>
      </c>
      <c r="Q206" s="76">
        <v>2641</v>
      </c>
      <c r="R206" s="76">
        <v>2594.1232876712302</v>
      </c>
      <c r="S206" s="76">
        <v>4732.4630136986198</v>
      </c>
      <c r="T206" s="76">
        <v>4311.3369863013604</v>
      </c>
      <c r="U206" s="76">
        <v>5954.4098360655698</v>
      </c>
      <c r="V206" s="76">
        <v>5435.6639344262203</v>
      </c>
      <c r="W206" s="76">
        <v>6229.6931506849196</v>
      </c>
      <c r="X206" s="46"/>
      <c r="Y206" s="453" t="s">
        <v>522</v>
      </c>
    </row>
    <row r="207" spans="1:25" ht="15" x14ac:dyDescent="0.2">
      <c r="A207" s="62" t="s">
        <v>523</v>
      </c>
      <c r="B207" s="77" t="s">
        <v>244</v>
      </c>
      <c r="C207" s="75" t="s">
        <v>223</v>
      </c>
      <c r="D207" s="76">
        <v>14375.087671232901</v>
      </c>
      <c r="E207" s="76">
        <v>16319.174863388</v>
      </c>
      <c r="F207" s="76">
        <v>13229.7698630141</v>
      </c>
      <c r="G207" s="76">
        <v>7485.1999999999098</v>
      </c>
      <c r="H207" s="76">
        <v>6109.8986301369896</v>
      </c>
      <c r="I207" s="76">
        <v>5643.3169398907103</v>
      </c>
      <c r="J207" s="76">
        <v>5101.85205479451</v>
      </c>
      <c r="K207" s="76">
        <v>3749.8630136986299</v>
      </c>
      <c r="L207" s="76">
        <v>3618.8739726031599</v>
      </c>
      <c r="M207" s="76">
        <f>3468.17486338798-M208</f>
        <v>3139.494535519128</v>
      </c>
      <c r="N207" s="76">
        <f>3303.43169398937-N208</f>
        <v>2976.2568306013932</v>
      </c>
      <c r="O207" s="76">
        <f>3575.99452054795-O208</f>
        <v>3201.4000000000046</v>
      </c>
      <c r="P207" s="76">
        <v>3231</v>
      </c>
      <c r="Q207" s="76">
        <v>3105</v>
      </c>
      <c r="R207" s="76">
        <v>3134.5835616438299</v>
      </c>
      <c r="S207" s="76">
        <v>3025.1397260273902</v>
      </c>
      <c r="T207" s="76">
        <v>3069.3780821917799</v>
      </c>
      <c r="U207" s="76">
        <v>3133.9945355191198</v>
      </c>
      <c r="V207" s="76">
        <v>2885.5464480874298</v>
      </c>
      <c r="W207" s="76">
        <v>2845.0246575342399</v>
      </c>
      <c r="X207" s="46"/>
      <c r="Y207" s="453" t="s">
        <v>524</v>
      </c>
    </row>
    <row r="208" spans="1:25" ht="15" x14ac:dyDescent="0.2">
      <c r="A208" s="62" t="s">
        <v>525</v>
      </c>
      <c r="B208" s="77" t="s">
        <v>247</v>
      </c>
      <c r="C208" s="75" t="s">
        <v>223</v>
      </c>
      <c r="D208" s="76">
        <v>0</v>
      </c>
      <c r="E208" s="76">
        <v>0</v>
      </c>
      <c r="F208" s="76">
        <v>0</v>
      </c>
      <c r="G208" s="76">
        <v>9.5890410958904104E-2</v>
      </c>
      <c r="H208" s="76">
        <v>12.854794520547999</v>
      </c>
      <c r="I208" s="76">
        <v>165.22404371584699</v>
      </c>
      <c r="J208" s="76">
        <v>361.27123287671299</v>
      </c>
      <c r="K208" s="76">
        <v>400.34794520548002</v>
      </c>
      <c r="L208" s="76">
        <v>395.85205479451503</v>
      </c>
      <c r="M208" s="76">
        <v>328.68032786885198</v>
      </c>
      <c r="N208" s="76">
        <v>327.17486338797698</v>
      </c>
      <c r="O208" s="76">
        <v>374.59452054794502</v>
      </c>
      <c r="P208" s="76">
        <v>409</v>
      </c>
      <c r="Q208" s="76">
        <v>403</v>
      </c>
      <c r="R208" s="76">
        <v>405.06027397260198</v>
      </c>
      <c r="S208" s="76">
        <v>421.879452054794</v>
      </c>
      <c r="T208" s="76">
        <v>645.16438356164201</v>
      </c>
      <c r="U208" s="76">
        <v>862.50819672131104</v>
      </c>
      <c r="V208" s="76">
        <v>824.72950819671996</v>
      </c>
      <c r="W208" s="76">
        <v>902.62465753424601</v>
      </c>
      <c r="X208" s="46"/>
      <c r="Y208" s="453" t="s">
        <v>526</v>
      </c>
    </row>
    <row r="209" spans="1:25" ht="15" x14ac:dyDescent="0.2">
      <c r="A209" s="62" t="s">
        <v>527</v>
      </c>
      <c r="B209" s="77" t="s">
        <v>250</v>
      </c>
      <c r="C209" s="75" t="s">
        <v>223</v>
      </c>
      <c r="D209" s="76">
        <v>0</v>
      </c>
      <c r="E209" s="76">
        <v>104.06</v>
      </c>
      <c r="F209" s="76">
        <v>384.7</v>
      </c>
      <c r="G209" s="76">
        <v>552.11</v>
      </c>
      <c r="H209" s="76">
        <v>18379.87</v>
      </c>
      <c r="I209" s="76">
        <v>213917.64</v>
      </c>
      <c r="J209" s="76">
        <v>473677.1</v>
      </c>
      <c r="K209" s="76">
        <v>492393.22</v>
      </c>
      <c r="L209" s="76">
        <v>421803.78666666598</v>
      </c>
      <c r="M209" s="76">
        <v>377311.9742</v>
      </c>
      <c r="N209" s="76">
        <v>368629.28156666702</v>
      </c>
      <c r="O209" s="76">
        <v>340053.89639999898</v>
      </c>
      <c r="P209" s="76">
        <v>324782</v>
      </c>
      <c r="Q209" s="76">
        <v>374679</v>
      </c>
      <c r="R209" s="76">
        <v>370155.094099999</v>
      </c>
      <c r="S209" s="76">
        <v>582755.52500000002</v>
      </c>
      <c r="T209" s="76">
        <v>547076.54429999995</v>
      </c>
      <c r="U209" s="76">
        <v>816709.447600001</v>
      </c>
      <c r="V209" s="76">
        <v>756861.46579999896</v>
      </c>
      <c r="W209" s="76">
        <v>792049.00110000104</v>
      </c>
      <c r="X209" s="46"/>
      <c r="Y209" s="453" t="s">
        <v>250</v>
      </c>
    </row>
    <row r="210" spans="1:25" ht="15" x14ac:dyDescent="0.2">
      <c r="A210" s="62" t="s">
        <v>528</v>
      </c>
      <c r="B210" s="77" t="s">
        <v>252</v>
      </c>
      <c r="C210" s="75" t="s">
        <v>223</v>
      </c>
      <c r="D210" s="76">
        <v>0</v>
      </c>
      <c r="E210" s="76">
        <v>0</v>
      </c>
      <c r="F210" s="76">
        <v>0</v>
      </c>
      <c r="G210" s="76">
        <v>0</v>
      </c>
      <c r="H210" s="76">
        <v>0</v>
      </c>
      <c r="I210" s="76">
        <v>0</v>
      </c>
      <c r="J210" s="76">
        <v>0</v>
      </c>
      <c r="K210" s="76">
        <v>0</v>
      </c>
      <c r="L210" s="76">
        <v>0</v>
      </c>
      <c r="M210" s="76">
        <v>0</v>
      </c>
      <c r="N210" s="76">
        <v>0</v>
      </c>
      <c r="O210" s="76">
        <v>0</v>
      </c>
      <c r="P210" s="76">
        <v>0</v>
      </c>
      <c r="Q210" s="76">
        <v>0</v>
      </c>
      <c r="R210" s="76">
        <v>0</v>
      </c>
      <c r="S210" s="76">
        <v>0</v>
      </c>
      <c r="T210" s="76">
        <v>0</v>
      </c>
      <c r="U210" s="76">
        <v>0</v>
      </c>
      <c r="V210" s="76">
        <v>0</v>
      </c>
      <c r="W210" s="76">
        <v>0</v>
      </c>
      <c r="X210" s="46"/>
      <c r="Y210" s="453" t="s">
        <v>252</v>
      </c>
    </row>
    <row r="211" spans="1:25" ht="15" x14ac:dyDescent="0.2">
      <c r="A211" s="62" t="s">
        <v>529</v>
      </c>
      <c r="B211" s="77" t="s">
        <v>254</v>
      </c>
      <c r="C211" s="75" t="s">
        <v>223</v>
      </c>
      <c r="D211" s="93">
        <v>0</v>
      </c>
      <c r="E211" s="93">
        <f t="shared" ref="E211:S211" si="51">+E209/E206</f>
        <v>384.70666666666602</v>
      </c>
      <c r="F211" s="93">
        <f t="shared" si="51"/>
        <v>384.7</v>
      </c>
      <c r="G211" s="93">
        <f t="shared" si="51"/>
        <v>396.6932086614168</v>
      </c>
      <c r="H211" s="93">
        <f t="shared" si="51"/>
        <v>351.79090456213913</v>
      </c>
      <c r="I211" s="93">
        <f t="shared" si="51"/>
        <v>358.0637258928291</v>
      </c>
      <c r="J211" s="93">
        <f t="shared" si="51"/>
        <v>393.15291933290723</v>
      </c>
      <c r="K211" s="93">
        <f t="shared" si="51"/>
        <v>341.13104265762831</v>
      </c>
      <c r="L211" s="93">
        <f t="shared" si="51"/>
        <v>207.83336186190803</v>
      </c>
      <c r="M211" s="93">
        <f t="shared" si="51"/>
        <v>198.86722122134654</v>
      </c>
      <c r="N211" s="93">
        <f t="shared" si="51"/>
        <v>195.84231543519411</v>
      </c>
      <c r="O211" s="79">
        <f t="shared" si="51"/>
        <v>166.23073908856728</v>
      </c>
      <c r="P211" s="79">
        <f t="shared" si="51"/>
        <v>164.446582278481</v>
      </c>
      <c r="Q211" s="79">
        <f t="shared" si="51"/>
        <v>141.87012495266944</v>
      </c>
      <c r="R211" s="79">
        <f t="shared" si="51"/>
        <v>142.6898620659972</v>
      </c>
      <c r="S211" s="79">
        <f t="shared" si="51"/>
        <v>123.1400062320935</v>
      </c>
      <c r="T211" s="79">
        <v>126.892550046135</v>
      </c>
      <c r="U211" s="79">
        <v>137.160435725003</v>
      </c>
      <c r="V211" s="79">
        <v>139.23993001231901</v>
      </c>
      <c r="W211" s="79">
        <v>127.14093325975701</v>
      </c>
      <c r="X211" s="46"/>
      <c r="Y211" s="453" t="s">
        <v>254</v>
      </c>
    </row>
    <row r="212" spans="1:25" ht="15.75" x14ac:dyDescent="0.25">
      <c r="A212" s="108"/>
      <c r="B212" s="121"/>
      <c r="C212" s="123"/>
      <c r="D212" s="72"/>
      <c r="E212" s="72"/>
      <c r="F212" s="72"/>
      <c r="G212" s="72"/>
      <c r="H212" s="72"/>
      <c r="I212" s="72"/>
      <c r="J212" s="72"/>
      <c r="K212" s="72"/>
      <c r="L212" s="72"/>
      <c r="M212" s="72"/>
      <c r="N212" s="72"/>
      <c r="O212" s="72"/>
      <c r="P212" s="72"/>
      <c r="Q212" s="72"/>
      <c r="R212" s="72"/>
      <c r="S212" s="72"/>
      <c r="T212" s="72"/>
      <c r="U212" s="72"/>
      <c r="V212" s="72"/>
      <c r="W212" s="72"/>
    </row>
    <row r="213" spans="1:25" ht="15.75" x14ac:dyDescent="0.25">
      <c r="B213" s="80" t="s">
        <v>530</v>
      </c>
      <c r="C213" s="116"/>
      <c r="V213" s="60"/>
      <c r="W213" s="60"/>
    </row>
    <row r="214" spans="1:25" ht="15" x14ac:dyDescent="0.2">
      <c r="A214" s="62" t="s">
        <v>531</v>
      </c>
      <c r="B214" s="77" t="s">
        <v>532</v>
      </c>
      <c r="C214" s="75" t="s">
        <v>223</v>
      </c>
      <c r="D214" s="76">
        <v>716322.023385379</v>
      </c>
      <c r="E214" s="76">
        <v>615210.620655737</v>
      </c>
      <c r="F214" s="76">
        <v>615884.95917808998</v>
      </c>
      <c r="G214" s="76">
        <v>477627.73698630102</v>
      </c>
      <c r="H214" s="76">
        <v>424012.01342465798</v>
      </c>
      <c r="I214" s="76">
        <v>415455.95759562799</v>
      </c>
      <c r="J214" s="76">
        <v>410208.41109588998</v>
      </c>
      <c r="K214" s="76">
        <v>416876.28493150498</v>
      </c>
      <c r="L214" s="76">
        <f>+P2a!D261</f>
        <v>408036.48493150692</v>
      </c>
      <c r="M214" s="76">
        <f>+P2a!E261</f>
        <v>397738.59168465948</v>
      </c>
      <c r="N214" s="76">
        <f>+P2a!F261</f>
        <v>396422.89208852407</v>
      </c>
      <c r="O214" s="76">
        <v>346703</v>
      </c>
      <c r="P214" s="76">
        <v>337774</v>
      </c>
      <c r="Q214" s="76">
        <v>349279</v>
      </c>
      <c r="R214" s="76">
        <v>343423.47263424</v>
      </c>
      <c r="S214" s="76">
        <v>387678.64364520501</v>
      </c>
      <c r="T214" s="76">
        <v>374300.99021095101</v>
      </c>
      <c r="U214" s="76">
        <v>449666.49952568498</v>
      </c>
      <c r="V214" s="76">
        <v>417603.11224480998</v>
      </c>
      <c r="W214" s="76">
        <v>435104.07902191498</v>
      </c>
      <c r="X214" s="46"/>
      <c r="Y214" s="451" t="s">
        <v>533</v>
      </c>
    </row>
    <row r="215" spans="1:25" ht="15" x14ac:dyDescent="0.2">
      <c r="A215" s="62" t="s">
        <v>534</v>
      </c>
      <c r="B215" s="71" t="s">
        <v>535</v>
      </c>
      <c r="C215" s="75" t="s">
        <v>223</v>
      </c>
      <c r="D215" s="76">
        <v>7584371.8409866598</v>
      </c>
      <c r="E215" s="76">
        <v>7088944.59300547</v>
      </c>
      <c r="F215" s="76">
        <v>6836956.8187671499</v>
      </c>
      <c r="G215" s="76">
        <v>5111585.9267123304</v>
      </c>
      <c r="H215" s="76">
        <v>4462279.8198630102</v>
      </c>
      <c r="I215" s="76">
        <v>4290080.3939890703</v>
      </c>
      <c r="J215" s="76">
        <v>4255950.1789041096</v>
      </c>
      <c r="K215" s="76">
        <v>4157254.26232877</v>
      </c>
      <c r="L215" s="76">
        <f>+P2a!D265+P2a!D268+P2a!D271</f>
        <v>3996545.4023287678</v>
      </c>
      <c r="M215" s="76">
        <f>+P2a!E265+P2a!E268+P2a!E271</f>
        <v>3889030.7847189549</v>
      </c>
      <c r="N215" s="76">
        <f>+P2a!F265+P2a!F268+P2a!F271</f>
        <v>3882898.9195755878</v>
      </c>
      <c r="O215" s="76">
        <v>3676802.5</v>
      </c>
      <c r="P215" s="76">
        <v>3673600</v>
      </c>
      <c r="Q215" s="76">
        <v>3676233</v>
      </c>
      <c r="R215" s="76">
        <v>3589124.9881643699</v>
      </c>
      <c r="S215" s="76">
        <v>3740366.40526705</v>
      </c>
      <c r="T215" s="76">
        <v>3661583.6422260199</v>
      </c>
      <c r="U215" s="76">
        <v>4061207.95725735</v>
      </c>
      <c r="V215" s="76">
        <v>3834678.5032321899</v>
      </c>
      <c r="W215" s="76">
        <v>3893183.3849657401</v>
      </c>
      <c r="X215" s="46"/>
      <c r="Y215" s="451" t="s">
        <v>536</v>
      </c>
    </row>
    <row r="216" spans="1:25" ht="15.75" x14ac:dyDescent="0.25">
      <c r="A216" s="108"/>
      <c r="B216" s="121"/>
      <c r="C216" s="123"/>
      <c r="D216" s="72"/>
      <c r="E216" s="72"/>
      <c r="F216" s="72"/>
      <c r="G216" s="72"/>
      <c r="H216" s="72"/>
      <c r="I216" s="72"/>
      <c r="J216" s="72"/>
      <c r="K216" s="72"/>
      <c r="L216" s="72"/>
      <c r="M216" s="72"/>
      <c r="N216" s="72"/>
      <c r="O216" s="72"/>
      <c r="P216" s="72"/>
      <c r="Q216" s="72"/>
      <c r="R216" s="72"/>
      <c r="S216" s="72"/>
      <c r="T216" s="72"/>
      <c r="U216" s="72"/>
      <c r="V216" s="72"/>
      <c r="W216" s="72"/>
    </row>
    <row r="217" spans="1:25" ht="15.75" x14ac:dyDescent="0.25">
      <c r="B217" s="80" t="s">
        <v>282</v>
      </c>
      <c r="C217" s="116"/>
      <c r="V217" s="60"/>
      <c r="W217" s="60"/>
    </row>
    <row r="218" spans="1:25" ht="15" x14ac:dyDescent="0.2">
      <c r="A218" s="62" t="s">
        <v>537</v>
      </c>
      <c r="B218" s="71" t="s">
        <v>222</v>
      </c>
      <c r="C218" s="75" t="s">
        <v>223</v>
      </c>
      <c r="D218" s="76">
        <v>70</v>
      </c>
      <c r="E218" s="76">
        <v>57</v>
      </c>
      <c r="F218" s="76">
        <v>51</v>
      </c>
      <c r="G218" s="76">
        <v>49</v>
      </c>
      <c r="H218" s="76">
        <v>47</v>
      </c>
      <c r="I218" s="76">
        <v>47</v>
      </c>
      <c r="J218" s="76">
        <v>47</v>
      </c>
      <c r="K218" s="76">
        <v>47</v>
      </c>
      <c r="L218" s="76">
        <f>+P2a!D275</f>
        <v>48</v>
      </c>
      <c r="M218" s="76">
        <f>+P2a!E275</f>
        <v>49</v>
      </c>
      <c r="N218" s="76">
        <f>+P2a!F275</f>
        <v>49</v>
      </c>
      <c r="O218" s="76">
        <v>50</v>
      </c>
      <c r="P218" s="76">
        <v>50</v>
      </c>
      <c r="Q218" s="76">
        <v>51</v>
      </c>
      <c r="R218" s="76">
        <v>51</v>
      </c>
      <c r="S218" s="76">
        <v>53</v>
      </c>
      <c r="T218" s="76">
        <v>53</v>
      </c>
      <c r="U218" s="76">
        <v>55</v>
      </c>
      <c r="V218" s="76">
        <v>55</v>
      </c>
      <c r="W218" s="76">
        <v>59.84</v>
      </c>
      <c r="X218" s="46"/>
      <c r="Y218" s="451" t="s">
        <v>284</v>
      </c>
    </row>
    <row r="219" spans="1:25" ht="15" x14ac:dyDescent="0.2">
      <c r="A219" s="62" t="s">
        <v>538</v>
      </c>
      <c r="B219" s="77" t="s">
        <v>226</v>
      </c>
      <c r="C219" s="75" t="s">
        <v>223</v>
      </c>
      <c r="D219" s="76">
        <v>140</v>
      </c>
      <c r="E219" s="76">
        <v>115</v>
      </c>
      <c r="F219" s="76">
        <v>105</v>
      </c>
      <c r="G219" s="76">
        <v>102</v>
      </c>
      <c r="H219" s="76">
        <v>98</v>
      </c>
      <c r="I219" s="76">
        <v>99</v>
      </c>
      <c r="J219" s="76">
        <v>99</v>
      </c>
      <c r="K219" s="76">
        <v>100</v>
      </c>
      <c r="L219" s="76">
        <f>+P2a!D278</f>
        <v>101</v>
      </c>
      <c r="M219" s="76">
        <f>+P2a!E278</f>
        <v>102</v>
      </c>
      <c r="N219" s="76">
        <f>+P2a!F278</f>
        <v>102</v>
      </c>
      <c r="O219" s="76">
        <v>103</v>
      </c>
      <c r="P219" s="78" t="s">
        <v>62</v>
      </c>
      <c r="Q219" s="78" t="s">
        <v>62</v>
      </c>
      <c r="R219" s="78" t="s">
        <v>62</v>
      </c>
      <c r="S219" s="78" t="s">
        <v>62</v>
      </c>
      <c r="T219" s="78" t="s">
        <v>62</v>
      </c>
      <c r="U219" s="78" t="s">
        <v>62</v>
      </c>
      <c r="V219" s="78" t="s">
        <v>87</v>
      </c>
      <c r="W219" s="78" t="s">
        <v>87</v>
      </c>
      <c r="X219" s="46"/>
      <c r="Y219" s="454" t="s">
        <v>286</v>
      </c>
    </row>
    <row r="220" spans="1:25" ht="15" x14ac:dyDescent="0.2">
      <c r="A220" s="62" t="s">
        <v>539</v>
      </c>
      <c r="B220" s="77" t="s">
        <v>229</v>
      </c>
      <c r="C220" s="75" t="s">
        <v>223</v>
      </c>
      <c r="D220" s="76">
        <v>553</v>
      </c>
      <c r="E220" s="76">
        <v>454</v>
      </c>
      <c r="F220" s="76">
        <v>413</v>
      </c>
      <c r="G220" s="76">
        <v>400</v>
      </c>
      <c r="H220" s="76">
        <v>385</v>
      </c>
      <c r="I220" s="76">
        <v>389</v>
      </c>
      <c r="J220" s="76">
        <v>387</v>
      </c>
      <c r="K220" s="76">
        <v>389</v>
      </c>
      <c r="L220" s="76">
        <f>+P2a!D281</f>
        <v>397</v>
      </c>
      <c r="M220" s="76">
        <f>+P2a!E281</f>
        <v>404</v>
      </c>
      <c r="N220" s="76">
        <f>+P2a!F281</f>
        <v>404</v>
      </c>
      <c r="O220" s="76">
        <v>412</v>
      </c>
      <c r="P220" s="78" t="s">
        <v>62</v>
      </c>
      <c r="Q220" s="78" t="s">
        <v>62</v>
      </c>
      <c r="R220" s="78" t="s">
        <v>62</v>
      </c>
      <c r="S220" s="78" t="s">
        <v>62</v>
      </c>
      <c r="T220" s="78" t="s">
        <v>62</v>
      </c>
      <c r="U220" s="78" t="s">
        <v>62</v>
      </c>
      <c r="V220" s="78" t="s">
        <v>87</v>
      </c>
      <c r="W220" s="78" t="s">
        <v>87</v>
      </c>
      <c r="X220" s="46"/>
      <c r="Y220" s="451" t="s">
        <v>288</v>
      </c>
    </row>
    <row r="221" spans="1:25" ht="15" x14ac:dyDescent="0.2">
      <c r="A221" s="62" t="s">
        <v>540</v>
      </c>
      <c r="B221" s="77" t="s">
        <v>232</v>
      </c>
      <c r="C221" s="75" t="s">
        <v>223</v>
      </c>
      <c r="D221" s="76">
        <v>823</v>
      </c>
      <c r="E221" s="76">
        <v>677</v>
      </c>
      <c r="F221" s="76">
        <v>615</v>
      </c>
      <c r="G221" s="76">
        <v>596</v>
      </c>
      <c r="H221" s="76">
        <v>574</v>
      </c>
      <c r="I221" s="76">
        <v>580</v>
      </c>
      <c r="J221" s="76">
        <v>578</v>
      </c>
      <c r="K221" s="76">
        <v>581</v>
      </c>
      <c r="L221" s="76">
        <f>+P2a!D284</f>
        <v>593</v>
      </c>
      <c r="M221" s="76">
        <f>+P2a!E284</f>
        <v>605</v>
      </c>
      <c r="N221" s="76">
        <f>+P2a!F284</f>
        <v>605</v>
      </c>
      <c r="O221" s="76">
        <v>617</v>
      </c>
      <c r="P221" s="78" t="s">
        <v>62</v>
      </c>
      <c r="Q221" s="78" t="s">
        <v>62</v>
      </c>
      <c r="R221" s="78" t="s">
        <v>62</v>
      </c>
      <c r="S221" s="78" t="s">
        <v>62</v>
      </c>
      <c r="T221" s="78" t="s">
        <v>62</v>
      </c>
      <c r="U221" s="78" t="s">
        <v>62</v>
      </c>
      <c r="V221" s="78" t="s">
        <v>87</v>
      </c>
      <c r="W221" s="78" t="s">
        <v>87</v>
      </c>
      <c r="X221" s="46"/>
      <c r="Y221" s="451" t="s">
        <v>290</v>
      </c>
    </row>
    <row r="222" spans="1:25" ht="15" x14ac:dyDescent="0.2">
      <c r="A222" s="62" t="s">
        <v>541</v>
      </c>
      <c r="B222" s="71" t="s">
        <v>235</v>
      </c>
      <c r="C222" s="75" t="s">
        <v>223</v>
      </c>
      <c r="D222" s="76">
        <v>2230</v>
      </c>
      <c r="E222" s="76">
        <v>1834</v>
      </c>
      <c r="F222" s="76">
        <v>1667</v>
      </c>
      <c r="G222" s="76">
        <v>1616</v>
      </c>
      <c r="H222" s="76">
        <v>1556</v>
      </c>
      <c r="I222" s="76">
        <v>1572</v>
      </c>
      <c r="J222" s="76">
        <v>1566</v>
      </c>
      <c r="K222" s="76">
        <v>1575</v>
      </c>
      <c r="L222" s="76">
        <f>+P2a!D287</f>
        <v>1607</v>
      </c>
      <c r="M222" s="76">
        <f>+P2a!E287</f>
        <v>1639</v>
      </c>
      <c r="N222" s="76">
        <f>+P2a!F287</f>
        <v>1639</v>
      </c>
      <c r="O222" s="76">
        <v>1672</v>
      </c>
      <c r="P222" s="78" t="s">
        <v>62</v>
      </c>
      <c r="Q222" s="78" t="s">
        <v>62</v>
      </c>
      <c r="R222" s="78" t="s">
        <v>62</v>
      </c>
      <c r="S222" s="78" t="s">
        <v>62</v>
      </c>
      <c r="T222" s="78" t="s">
        <v>62</v>
      </c>
      <c r="U222" s="78" t="s">
        <v>62</v>
      </c>
      <c r="V222" s="78" t="s">
        <v>87</v>
      </c>
      <c r="W222" s="78" t="s">
        <v>87</v>
      </c>
      <c r="X222" s="46"/>
      <c r="Y222" s="451" t="s">
        <v>292</v>
      </c>
    </row>
    <row r="223" spans="1:25" ht="15.75" x14ac:dyDescent="0.25">
      <c r="A223" s="108"/>
      <c r="B223" s="121"/>
      <c r="C223" s="123"/>
      <c r="D223" s="72"/>
      <c r="E223" s="72"/>
      <c r="F223" s="72"/>
      <c r="G223" s="72"/>
      <c r="H223" s="72"/>
      <c r="I223" s="72"/>
      <c r="J223" s="72"/>
      <c r="K223" s="72"/>
      <c r="L223" s="72"/>
      <c r="M223" s="72"/>
      <c r="N223" s="72"/>
      <c r="O223" s="72"/>
      <c r="P223" s="72"/>
      <c r="Q223" s="72"/>
      <c r="R223" s="72"/>
      <c r="S223" s="72"/>
      <c r="T223" s="72"/>
      <c r="U223" s="72"/>
      <c r="V223" s="72"/>
      <c r="W223" s="72"/>
    </row>
    <row r="224" spans="1:25" ht="15.75" x14ac:dyDescent="0.25">
      <c r="B224" s="80" t="s">
        <v>542</v>
      </c>
      <c r="C224" s="116"/>
      <c r="V224" s="60"/>
      <c r="W224" s="60"/>
    </row>
    <row r="225" spans="1:25" ht="15" x14ac:dyDescent="0.2">
      <c r="A225" s="62" t="s">
        <v>543</v>
      </c>
      <c r="B225" s="71" t="s">
        <v>298</v>
      </c>
      <c r="C225" s="75" t="s">
        <v>223</v>
      </c>
      <c r="D225" s="85">
        <v>0.93559999999999999</v>
      </c>
      <c r="E225" s="85">
        <v>0.76939999999999997</v>
      </c>
      <c r="F225" s="85">
        <v>0.69950000000000001</v>
      </c>
      <c r="G225" s="85">
        <v>0.67810000000000004</v>
      </c>
      <c r="H225" s="85">
        <v>0.65300000000000002</v>
      </c>
      <c r="I225" s="85">
        <v>0.65949999999999998</v>
      </c>
      <c r="J225" s="85">
        <v>0.65690000000000004</v>
      </c>
      <c r="K225" s="85">
        <v>0.66080000000000005</v>
      </c>
      <c r="L225" s="85">
        <f>+P2a!D292</f>
        <v>0.67400000000000004</v>
      </c>
      <c r="M225" s="85">
        <f>+P2a!E292</f>
        <v>0.6875</v>
      </c>
      <c r="N225" s="85">
        <f>+P2a!F292</f>
        <v>0.6875</v>
      </c>
      <c r="O225" s="85">
        <v>0.70130000000000003</v>
      </c>
      <c r="P225" s="85">
        <v>0.70130000000000003</v>
      </c>
      <c r="Q225" s="85">
        <v>0.71879999999999999</v>
      </c>
      <c r="R225" s="85">
        <v>0.71879999999999999</v>
      </c>
      <c r="S225" s="85">
        <v>0.749</v>
      </c>
      <c r="T225" s="85">
        <v>0.749</v>
      </c>
      <c r="U225" s="85">
        <v>0.78649999999999998</v>
      </c>
      <c r="V225" s="85">
        <v>0.78649999999999998</v>
      </c>
      <c r="W225" s="85">
        <v>0.85570000000000002</v>
      </c>
      <c r="X225" s="46"/>
      <c r="Y225" s="454" t="s">
        <v>544</v>
      </c>
    </row>
    <row r="226" spans="1:25" ht="15" x14ac:dyDescent="0.2">
      <c r="A226" s="62" t="s">
        <v>545</v>
      </c>
      <c r="B226" s="71" t="s">
        <v>546</v>
      </c>
      <c r="C226" s="75" t="s">
        <v>223</v>
      </c>
      <c r="D226" s="85">
        <v>1.1217999999999999</v>
      </c>
      <c r="E226" s="85">
        <v>0.92249999999999999</v>
      </c>
      <c r="F226" s="85">
        <v>0.83879999999999999</v>
      </c>
      <c r="G226" s="85">
        <v>0.81310000000000004</v>
      </c>
      <c r="H226" s="85">
        <v>0.78300000000000003</v>
      </c>
      <c r="I226" s="85">
        <v>0.79079999999999995</v>
      </c>
      <c r="J226" s="85">
        <v>0.78720000000000001</v>
      </c>
      <c r="K226" s="85">
        <v>0.79190000000000005</v>
      </c>
      <c r="L226" s="85">
        <f>+P2a!D295</f>
        <v>0.80769999999999997</v>
      </c>
      <c r="M226" s="85">
        <f>+P2a!E295</f>
        <v>0.82389999999999997</v>
      </c>
      <c r="N226" s="85">
        <f>+P2a!F295</f>
        <v>0.82389999999999997</v>
      </c>
      <c r="O226" s="85">
        <v>0.84040000000000004</v>
      </c>
      <c r="P226" s="85">
        <v>0.84040000000000004</v>
      </c>
      <c r="Q226" s="85">
        <v>0.86140000000000005</v>
      </c>
      <c r="R226" s="85">
        <v>0.86140000000000005</v>
      </c>
      <c r="S226" s="85">
        <v>0.89759999999999995</v>
      </c>
      <c r="T226" s="85">
        <v>0.89759999999999995</v>
      </c>
      <c r="U226" s="85">
        <v>0.9425</v>
      </c>
      <c r="V226" s="85">
        <v>0.9425</v>
      </c>
      <c r="W226" s="85">
        <v>1.0254000000000001</v>
      </c>
      <c r="X226" s="46"/>
      <c r="Y226" s="451" t="s">
        <v>547</v>
      </c>
    </row>
    <row r="227" spans="1:25" ht="15.75" x14ac:dyDescent="0.25">
      <c r="A227" s="108"/>
      <c r="B227" s="121"/>
      <c r="C227" s="123"/>
      <c r="D227" s="72"/>
      <c r="E227" s="72"/>
      <c r="F227" s="72"/>
      <c r="G227" s="72"/>
      <c r="H227" s="72"/>
      <c r="I227" s="72"/>
      <c r="J227" s="72"/>
      <c r="K227" s="72"/>
      <c r="L227" s="72"/>
      <c r="M227" s="72"/>
      <c r="N227" s="72"/>
      <c r="O227" s="72"/>
      <c r="P227" s="72"/>
      <c r="Q227" s="72"/>
      <c r="R227" s="72"/>
      <c r="S227" s="72"/>
      <c r="T227" s="72"/>
      <c r="U227" s="72"/>
      <c r="V227" s="72"/>
      <c r="W227" s="72"/>
    </row>
    <row r="228" spans="1:25" ht="15.75" x14ac:dyDescent="0.25">
      <c r="B228" s="80" t="s">
        <v>311</v>
      </c>
      <c r="C228" s="116"/>
      <c r="V228" s="60"/>
      <c r="W228" s="60"/>
    </row>
    <row r="229" spans="1:25" ht="15" x14ac:dyDescent="0.2">
      <c r="A229" s="62" t="s">
        <v>548</v>
      </c>
      <c r="B229" s="71" t="s">
        <v>313</v>
      </c>
      <c r="C229" s="75" t="s">
        <v>223</v>
      </c>
      <c r="D229" s="76">
        <v>5504</v>
      </c>
      <c r="E229" s="76">
        <v>5639</v>
      </c>
      <c r="F229" s="76">
        <v>5737</v>
      </c>
      <c r="G229" s="76">
        <v>5813</v>
      </c>
      <c r="H229" s="76">
        <v>5820</v>
      </c>
      <c r="I229" s="76">
        <v>7041</v>
      </c>
      <c r="J229" s="76">
        <v>7258</v>
      </c>
      <c r="K229" s="76">
        <v>5910</v>
      </c>
      <c r="L229" s="76">
        <f>+P2a!D300</f>
        <v>6240</v>
      </c>
      <c r="M229" s="76">
        <f>+P2a!E300</f>
        <v>6027</v>
      </c>
      <c r="N229" s="76">
        <f>+P2a!F300</f>
        <v>6204.7731936415103</v>
      </c>
      <c r="O229" s="76">
        <v>5411.5338932381401</v>
      </c>
      <c r="P229" s="76">
        <v>6129.55</v>
      </c>
      <c r="Q229" s="76">
        <v>6022.89</v>
      </c>
      <c r="R229" s="76">
        <v>6250.6438356164399</v>
      </c>
      <c r="S229" s="76">
        <v>6074.05753424656</v>
      </c>
      <c r="T229" s="76">
        <v>6276.6602739726004</v>
      </c>
      <c r="U229" s="76">
        <v>4984.7232876710596</v>
      </c>
      <c r="V229" s="76">
        <v>6343.1863013696402</v>
      </c>
      <c r="W229" s="76">
        <v>6064.4575342465596</v>
      </c>
      <c r="X229" s="46"/>
      <c r="Y229" s="451" t="s">
        <v>314</v>
      </c>
    </row>
    <row r="230" spans="1:25" ht="15" x14ac:dyDescent="0.2">
      <c r="A230" s="62" t="s">
        <v>549</v>
      </c>
      <c r="B230" s="71" t="s">
        <v>316</v>
      </c>
      <c r="C230" s="75" t="s">
        <v>223</v>
      </c>
      <c r="D230" s="93">
        <v>-14.73</v>
      </c>
      <c r="E230" s="93">
        <v>-13.92</v>
      </c>
      <c r="F230" s="93">
        <v>-13.79</v>
      </c>
      <c r="G230" s="93">
        <v>-13.37</v>
      </c>
      <c r="H230" s="93">
        <v>-12.88</v>
      </c>
      <c r="I230" s="93">
        <v>-13.05</v>
      </c>
      <c r="J230" s="93">
        <v>-13</v>
      </c>
      <c r="K230" s="93">
        <v>-13.1204</v>
      </c>
      <c r="L230" s="93">
        <f>+P2a!D301</f>
        <v>-13.51</v>
      </c>
      <c r="M230" s="93">
        <f>+P2a!E301</f>
        <v>-13.8</v>
      </c>
      <c r="N230" s="93">
        <f>+P2a!F301</f>
        <v>-13.8</v>
      </c>
      <c r="O230" s="93">
        <v>-14.05</v>
      </c>
      <c r="P230" s="93">
        <v>-14.05</v>
      </c>
      <c r="Q230" s="93">
        <v>-14.15</v>
      </c>
      <c r="R230" s="93">
        <v>-14.15</v>
      </c>
      <c r="S230" s="93">
        <v>-14.74</v>
      </c>
      <c r="T230" s="93">
        <v>-14.74</v>
      </c>
      <c r="U230" s="93">
        <v>-16.38</v>
      </c>
      <c r="V230" s="93">
        <v>-16.38</v>
      </c>
      <c r="W230" s="93">
        <v>-17.13</v>
      </c>
      <c r="X230" s="46"/>
      <c r="Y230" s="451" t="s">
        <v>550</v>
      </c>
    </row>
    <row r="231" spans="1:25" ht="15" x14ac:dyDescent="0.2">
      <c r="A231" s="108"/>
      <c r="B231" s="106"/>
      <c r="C231" s="110"/>
      <c r="D231" s="72"/>
      <c r="E231" s="72"/>
      <c r="F231" s="72"/>
      <c r="G231" s="72"/>
      <c r="H231" s="72"/>
      <c r="I231" s="72"/>
      <c r="J231" s="72"/>
      <c r="K231" s="72"/>
      <c r="L231" s="72"/>
      <c r="M231" s="72"/>
      <c r="N231" s="94">
        <f>N229*N230</f>
        <v>-85625.870072252845</v>
      </c>
      <c r="O231" s="72"/>
      <c r="P231" s="72"/>
      <c r="Q231" s="72"/>
      <c r="R231" s="72"/>
      <c r="S231" s="72"/>
      <c r="T231" s="72"/>
      <c r="U231" s="72"/>
      <c r="V231" s="72"/>
      <c r="W231" s="72"/>
    </row>
    <row r="232" spans="1:25" ht="15.75" x14ac:dyDescent="0.25">
      <c r="B232" s="80" t="s">
        <v>318</v>
      </c>
      <c r="C232" s="116"/>
      <c r="W232" s="60"/>
    </row>
    <row r="233" spans="1:25" ht="15" x14ac:dyDescent="0.2">
      <c r="A233" s="62" t="s">
        <v>551</v>
      </c>
      <c r="B233" s="71" t="s">
        <v>320</v>
      </c>
      <c r="C233" s="63" t="s">
        <v>190</v>
      </c>
      <c r="D233" s="64">
        <f t="shared" ref="D233:K233" si="52">SUMPRODUCT(D199:D203,D218:D222)</f>
        <v>1712905.8251733778</v>
      </c>
      <c r="E233" s="64">
        <f t="shared" si="52"/>
        <v>1042351.833333332</v>
      </c>
      <c r="F233" s="64">
        <f t="shared" si="52"/>
        <v>995724.53698631213</v>
      </c>
      <c r="G233" s="64">
        <f t="shared" si="52"/>
        <v>792468.31780822424</v>
      </c>
      <c r="H233" s="64">
        <f t="shared" si="52"/>
        <v>705701.57808219048</v>
      </c>
      <c r="I233" s="64">
        <f t="shared" si="52"/>
        <v>695703.68306011299</v>
      </c>
      <c r="J233" s="64">
        <f t="shared" si="52"/>
        <v>688530.87123287655</v>
      </c>
      <c r="K233" s="64">
        <f t="shared" si="52"/>
        <v>919020.25753424689</v>
      </c>
      <c r="L233" s="64">
        <f>+P2a!D304</f>
        <v>891851.09863013925</v>
      </c>
      <c r="M233" s="64">
        <f>+P2a!E304</f>
        <v>893794.21402550547</v>
      </c>
      <c r="N233" s="64">
        <f>+P2a!F304</f>
        <v>876703.5236794228</v>
      </c>
      <c r="O233" s="64">
        <f t="shared" ref="O233:W233" si="53">SUMPRODUCT(O199:O203,O218:O222)</f>
        <v>885529.00000000012</v>
      </c>
      <c r="P233" s="64">
        <f t="shared" si="53"/>
        <v>871000</v>
      </c>
      <c r="Q233" s="64">
        <f t="shared" si="53"/>
        <v>931305.9</v>
      </c>
      <c r="R233" s="64">
        <f t="shared" si="53"/>
        <v>917456.18630136631</v>
      </c>
      <c r="S233" s="64">
        <f t="shared" si="53"/>
        <v>1093634.5260273952</v>
      </c>
      <c r="T233" s="64">
        <f t="shared" si="53"/>
        <v>1070159.8821917777</v>
      </c>
      <c r="U233" s="64">
        <f t="shared" si="53"/>
        <v>1248210.8743169394</v>
      </c>
      <c r="V233" s="64">
        <f t="shared" si="53"/>
        <v>1162257.896174859</v>
      </c>
      <c r="W233" s="64">
        <f t="shared" si="53"/>
        <v>1320995.3788493106</v>
      </c>
      <c r="X233" s="46"/>
      <c r="Y233" s="454" t="s">
        <v>552</v>
      </c>
    </row>
    <row r="234" spans="1:25" ht="15" x14ac:dyDescent="0.2">
      <c r="A234" s="62" t="s">
        <v>553</v>
      </c>
      <c r="B234" s="71" t="s">
        <v>323</v>
      </c>
      <c r="C234" s="63" t="s">
        <v>190</v>
      </c>
      <c r="D234" s="64">
        <f t="shared" ref="D234:K235" si="54">D214*D225</f>
        <v>670190.88507936057</v>
      </c>
      <c r="E234" s="64">
        <f t="shared" si="54"/>
        <v>473343.05153252406</v>
      </c>
      <c r="F234" s="64">
        <f t="shared" si="54"/>
        <v>430811.52894507395</v>
      </c>
      <c r="G234" s="64">
        <f t="shared" si="54"/>
        <v>323879.36845041072</v>
      </c>
      <c r="H234" s="64">
        <f t="shared" si="54"/>
        <v>276879.84476630169</v>
      </c>
      <c r="I234" s="64">
        <f t="shared" si="54"/>
        <v>273993.20403431664</v>
      </c>
      <c r="J234" s="64">
        <f t="shared" si="54"/>
        <v>269465.90524889017</v>
      </c>
      <c r="K234" s="64">
        <f t="shared" si="54"/>
        <v>275471.84908273851</v>
      </c>
      <c r="L234" s="64">
        <f>+P2a!D305</f>
        <v>275309.85488572612</v>
      </c>
      <c r="M234" s="64">
        <f>+P2a!E305</f>
        <v>273639.4075386906</v>
      </c>
      <c r="N234" s="64">
        <f>+P2a!F305</f>
        <v>272783.77960493986</v>
      </c>
      <c r="O234" s="64">
        <f t="shared" ref="O234:W234" si="55">O214*O225</f>
        <v>243142.81390000001</v>
      </c>
      <c r="P234" s="64">
        <f t="shared" si="55"/>
        <v>236880.9062</v>
      </c>
      <c r="Q234" s="64">
        <f t="shared" si="55"/>
        <v>251061.7452</v>
      </c>
      <c r="R234" s="64">
        <f t="shared" si="55"/>
        <v>246852.79212949172</v>
      </c>
      <c r="S234" s="64">
        <f t="shared" si="55"/>
        <v>290371.30409025855</v>
      </c>
      <c r="T234" s="64">
        <f t="shared" si="55"/>
        <v>280351.44166800228</v>
      </c>
      <c r="U234" s="64">
        <f t="shared" si="55"/>
        <v>353662.70187695121</v>
      </c>
      <c r="V234" s="64">
        <f t="shared" si="55"/>
        <v>328444.84778054303</v>
      </c>
      <c r="W234" s="64">
        <f t="shared" si="55"/>
        <v>372318.56041905266</v>
      </c>
      <c r="X234" s="46"/>
      <c r="Y234" s="451" t="s">
        <v>554</v>
      </c>
    </row>
    <row r="235" spans="1:25" ht="15" x14ac:dyDescent="0.2">
      <c r="A235" s="62" t="s">
        <v>555</v>
      </c>
      <c r="B235" s="71" t="s">
        <v>326</v>
      </c>
      <c r="C235" s="63" t="s">
        <v>190</v>
      </c>
      <c r="D235" s="64">
        <f t="shared" si="54"/>
        <v>8508148.331218835</v>
      </c>
      <c r="E235" s="64">
        <f t="shared" si="54"/>
        <v>6539551.387047546</v>
      </c>
      <c r="F235" s="64">
        <f t="shared" si="54"/>
        <v>5734839.3795818854</v>
      </c>
      <c r="G235" s="64">
        <f t="shared" si="54"/>
        <v>4156230.5170097961</v>
      </c>
      <c r="H235" s="64">
        <f t="shared" si="54"/>
        <v>3493965.0989527372</v>
      </c>
      <c r="I235" s="64">
        <f t="shared" si="54"/>
        <v>3392595.5755665568</v>
      </c>
      <c r="J235" s="64">
        <f t="shared" si="54"/>
        <v>3350283.9808333153</v>
      </c>
      <c r="K235" s="64">
        <f t="shared" si="54"/>
        <v>3292129.6503381534</v>
      </c>
      <c r="L235" s="64">
        <f>+P2a!D306</f>
        <v>3231642.2902295897</v>
      </c>
      <c r="M235" s="64">
        <f>+P2a!E306</f>
        <v>3206599.4434404974</v>
      </c>
      <c r="N235" s="64">
        <f>+P2a!F306</f>
        <v>3201301.9811776122</v>
      </c>
      <c r="O235" s="64">
        <f t="shared" ref="O235:W235" si="56">O215*O226</f>
        <v>3089984.821</v>
      </c>
      <c r="P235" s="64">
        <f t="shared" si="56"/>
        <v>3087293.44</v>
      </c>
      <c r="Q235" s="64">
        <f t="shared" si="56"/>
        <v>3166707.1062000003</v>
      </c>
      <c r="R235" s="64">
        <f t="shared" si="56"/>
        <v>3091672.2648047884</v>
      </c>
      <c r="S235" s="64">
        <f t="shared" si="56"/>
        <v>3357352.8853677041</v>
      </c>
      <c r="T235" s="64">
        <f t="shared" si="56"/>
        <v>3286637.4772620751</v>
      </c>
      <c r="U235" s="64">
        <f t="shared" si="56"/>
        <v>3827688.4997150525</v>
      </c>
      <c r="V235" s="64">
        <f t="shared" si="56"/>
        <v>3614184.489296339</v>
      </c>
      <c r="W235" s="64">
        <f t="shared" si="56"/>
        <v>3992070.2429438704</v>
      </c>
      <c r="X235" s="46"/>
      <c r="Y235" s="451" t="s">
        <v>556</v>
      </c>
    </row>
    <row r="236" spans="1:25" ht="15" x14ac:dyDescent="0.2">
      <c r="A236" s="62" t="s">
        <v>557</v>
      </c>
      <c r="B236" s="71" t="s">
        <v>329</v>
      </c>
      <c r="C236" s="63" t="s">
        <v>190</v>
      </c>
      <c r="D236" s="64">
        <f t="shared" ref="D236:K236" si="57">D229*D230</f>
        <v>-81073.919999999998</v>
      </c>
      <c r="E236" s="64">
        <f t="shared" si="57"/>
        <v>-78494.880000000005</v>
      </c>
      <c r="F236" s="64">
        <f t="shared" si="57"/>
        <v>-79113.23</v>
      </c>
      <c r="G236" s="64">
        <f t="shared" si="57"/>
        <v>-77719.81</v>
      </c>
      <c r="H236" s="64">
        <f t="shared" si="57"/>
        <v>-74961.600000000006</v>
      </c>
      <c r="I236" s="64">
        <f t="shared" si="57"/>
        <v>-91885.05</v>
      </c>
      <c r="J236" s="64">
        <f t="shared" si="57"/>
        <v>-94354</v>
      </c>
      <c r="K236" s="64">
        <f t="shared" si="57"/>
        <v>-77541.563999999998</v>
      </c>
      <c r="L236" s="64">
        <f>+P2a!D307</f>
        <v>-84302.399999999994</v>
      </c>
      <c r="M236" s="64">
        <f>+P2a!E307</f>
        <v>-83172.600000000006</v>
      </c>
      <c r="N236" s="64">
        <f>+P2a!F307</f>
        <v>-85625.870072252845</v>
      </c>
      <c r="O236" s="64">
        <f t="shared" ref="O236:W236" si="58">O229*O230</f>
        <v>-76032.051199995869</v>
      </c>
      <c r="P236" s="64">
        <f t="shared" si="58"/>
        <v>-86120.177500000005</v>
      </c>
      <c r="Q236" s="64">
        <f t="shared" si="58"/>
        <v>-85223.893500000006</v>
      </c>
      <c r="R236" s="64">
        <f t="shared" si="58"/>
        <v>-88446.610273972634</v>
      </c>
      <c r="S236" s="64">
        <f t="shared" si="58"/>
        <v>-89531.608054794298</v>
      </c>
      <c r="T236" s="64">
        <f t="shared" si="58"/>
        <v>-92517.972438356126</v>
      </c>
      <c r="U236" s="64">
        <f t="shared" si="58"/>
        <v>-81649.76745205195</v>
      </c>
      <c r="V236" s="64">
        <f t="shared" si="58"/>
        <v>-103901.3916164347</v>
      </c>
      <c r="W236" s="64">
        <f t="shared" si="58"/>
        <v>-103884.15756164356</v>
      </c>
      <c r="X236" s="46"/>
      <c r="Y236" s="451" t="s">
        <v>330</v>
      </c>
    </row>
    <row r="237" spans="1:25" ht="15" x14ac:dyDescent="0.2">
      <c r="A237" s="62" t="s">
        <v>558</v>
      </c>
      <c r="B237" s="71" t="s">
        <v>189</v>
      </c>
      <c r="C237" s="63" t="s">
        <v>190</v>
      </c>
      <c r="D237" s="64">
        <f t="shared" ref="D237:K237" si="59">SUM(D233:D236)</f>
        <v>10810171.121471575</v>
      </c>
      <c r="E237" s="64">
        <f t="shared" si="59"/>
        <v>7976751.3919134019</v>
      </c>
      <c r="F237" s="64">
        <f t="shared" si="59"/>
        <v>7082262.2155132713</v>
      </c>
      <c r="G237" s="64">
        <f t="shared" si="59"/>
        <v>5194858.3932684315</v>
      </c>
      <c r="H237" s="64">
        <f t="shared" si="59"/>
        <v>4401584.9218012299</v>
      </c>
      <c r="I237" s="64">
        <f t="shared" si="59"/>
        <v>4270407.4126609871</v>
      </c>
      <c r="J237" s="64">
        <f t="shared" si="59"/>
        <v>4213926.7573150825</v>
      </c>
      <c r="K237" s="64">
        <f t="shared" si="59"/>
        <v>4409080.1929551391</v>
      </c>
      <c r="L237" s="64">
        <f>+P2a!D308</f>
        <v>4314500.8437454551</v>
      </c>
      <c r="M237" s="64">
        <f>+P2a!E308</f>
        <v>4290860.4650046937</v>
      </c>
      <c r="N237" s="64">
        <f>+P2a!F308</f>
        <v>4265163.414389722</v>
      </c>
      <c r="O237" s="64">
        <f t="shared" ref="O237:W237" si="60">SUM(O233:O236)</f>
        <v>4142624.583700004</v>
      </c>
      <c r="P237" s="64">
        <f t="shared" si="60"/>
        <v>4109054.1687000003</v>
      </c>
      <c r="Q237" s="64">
        <f t="shared" si="60"/>
        <v>4263850.8579000002</v>
      </c>
      <c r="R237" s="64">
        <f t="shared" si="60"/>
        <v>4167534.6329616741</v>
      </c>
      <c r="S237" s="64">
        <f t="shared" si="60"/>
        <v>4651827.1074305633</v>
      </c>
      <c r="T237" s="64">
        <f t="shared" si="60"/>
        <v>4544630.8286834992</v>
      </c>
      <c r="U237" s="64">
        <f t="shared" si="60"/>
        <v>5347912.3084568912</v>
      </c>
      <c r="V237" s="64">
        <f t="shared" si="60"/>
        <v>5000985.8416353064</v>
      </c>
      <c r="W237" s="64">
        <f t="shared" si="60"/>
        <v>5581500.0246505896</v>
      </c>
      <c r="X237" s="46"/>
      <c r="Y237" s="451" t="s">
        <v>175</v>
      </c>
    </row>
    <row r="238" spans="1:25" ht="15" x14ac:dyDescent="0.2">
      <c r="A238" s="108"/>
      <c r="B238" s="106"/>
      <c r="C238" s="110"/>
      <c r="D238" s="72"/>
      <c r="E238" s="72"/>
      <c r="F238" s="72"/>
      <c r="G238" s="72"/>
      <c r="H238" s="72"/>
      <c r="I238" s="72"/>
      <c r="J238" s="72"/>
      <c r="K238" s="72"/>
      <c r="L238" s="72"/>
      <c r="M238" s="72"/>
      <c r="N238" s="72"/>
      <c r="O238" s="72"/>
      <c r="P238" s="72"/>
      <c r="Q238" s="72"/>
      <c r="R238" s="72"/>
      <c r="S238" s="72"/>
      <c r="T238" s="72"/>
      <c r="U238" s="72"/>
      <c r="V238" s="72"/>
      <c r="W238" s="72"/>
    </row>
    <row r="239" spans="1:25" ht="31.5" x14ac:dyDescent="0.25">
      <c r="B239" s="80" t="s">
        <v>559</v>
      </c>
      <c r="C239" s="119"/>
      <c r="W239" s="84"/>
    </row>
    <row r="240" spans="1:25" ht="30" x14ac:dyDescent="0.2">
      <c r="A240" s="62" t="s">
        <v>560</v>
      </c>
      <c r="B240" s="62" t="s">
        <v>561</v>
      </c>
      <c r="C240" s="75" t="s">
        <v>223</v>
      </c>
      <c r="D240" s="76">
        <v>0</v>
      </c>
      <c r="E240" s="76">
        <v>112.6652</v>
      </c>
      <c r="F240" s="76">
        <v>377.89749999999998</v>
      </c>
      <c r="G240" s="76">
        <v>522.56780000000003</v>
      </c>
      <c r="H240" s="76">
        <v>17251.191500000001</v>
      </c>
      <c r="I240" s="76">
        <v>202605.351</v>
      </c>
      <c r="J240" s="76">
        <v>440291.68800000002</v>
      </c>
      <c r="K240" s="76">
        <v>468929.93640000001</v>
      </c>
      <c r="L240" s="76">
        <f>+P2a!D311-L244</f>
        <v>425020.68120000279</v>
      </c>
      <c r="M240" s="76">
        <f>+P2a!E311</f>
        <v>405731.89870000002</v>
      </c>
      <c r="N240" s="76">
        <f>+P2a!F311-N244</f>
        <v>397590.325000001</v>
      </c>
      <c r="O240" s="76">
        <v>381205.39640000003</v>
      </c>
      <c r="P240" s="76">
        <v>370496</v>
      </c>
      <c r="Q240" s="76">
        <v>454767</v>
      </c>
      <c r="R240" s="76">
        <v>448485.64719999902</v>
      </c>
      <c r="S240" s="76">
        <v>766561.84189999802</v>
      </c>
      <c r="T240" s="76">
        <v>712772.45360000001</v>
      </c>
      <c r="U240" s="76">
        <v>1095221.9117000001</v>
      </c>
      <c r="V240" s="76">
        <v>1010963.26259999</v>
      </c>
      <c r="W240" s="76">
        <v>1181407.08619999</v>
      </c>
      <c r="X240" s="46"/>
      <c r="Y240" s="451" t="s">
        <v>562</v>
      </c>
    </row>
    <row r="241" spans="1:25" ht="30" x14ac:dyDescent="0.2">
      <c r="A241" s="62" t="s">
        <v>563</v>
      </c>
      <c r="B241" s="62" t="s">
        <v>564</v>
      </c>
      <c r="C241" s="63" t="s">
        <v>190</v>
      </c>
      <c r="D241" s="89">
        <f t="shared" ref="D241:U241" si="61">D240/D237</f>
        <v>0</v>
      </c>
      <c r="E241" s="89">
        <f t="shared" si="61"/>
        <v>1.4124195987130386E-5</v>
      </c>
      <c r="F241" s="89">
        <f t="shared" si="61"/>
        <v>5.335830395720708E-5</v>
      </c>
      <c r="G241" s="89">
        <f t="shared" si="61"/>
        <v>1.0059327135406627E-4</v>
      </c>
      <c r="H241" s="89">
        <f t="shared" si="61"/>
        <v>3.9193135669277094E-3</v>
      </c>
      <c r="I241" s="89">
        <f t="shared" si="61"/>
        <v>4.7444033185056703E-2</v>
      </c>
      <c r="J241" s="89">
        <f t="shared" si="61"/>
        <v>0.10448489339205633</v>
      </c>
      <c r="K241" s="89">
        <f t="shared" si="61"/>
        <v>0.10635550180041173</v>
      </c>
      <c r="L241" s="89">
        <f t="shared" si="61"/>
        <v>9.8509815293265468E-2</v>
      </c>
      <c r="M241" s="89">
        <f t="shared" si="61"/>
        <v>9.4557234384352373E-2</v>
      </c>
      <c r="N241" s="89">
        <f t="shared" si="61"/>
        <v>9.3218075457230737E-2</v>
      </c>
      <c r="O241" s="89">
        <f t="shared" si="61"/>
        <v>9.2020261237267295E-2</v>
      </c>
      <c r="P241" s="89">
        <f t="shared" si="61"/>
        <v>9.0165761946432429E-2</v>
      </c>
      <c r="Q241" s="89">
        <f t="shared" si="61"/>
        <v>0.1066564040713137</v>
      </c>
      <c r="R241" s="89">
        <f t="shared" si="61"/>
        <v>0.10761413802127927</v>
      </c>
      <c r="S241" s="89">
        <f t="shared" si="61"/>
        <v>0.16478725975768443</v>
      </c>
      <c r="T241" s="89">
        <f t="shared" si="61"/>
        <v>0.15683836167754858</v>
      </c>
      <c r="U241" s="89">
        <f t="shared" si="61"/>
        <v>0.2047942914037833</v>
      </c>
      <c r="V241" s="89">
        <v>0.20215279439171699</v>
      </c>
      <c r="W241" s="89">
        <v>0.21166479996100099</v>
      </c>
      <c r="X241" s="46"/>
      <c r="Y241" s="451" t="s">
        <v>565</v>
      </c>
    </row>
    <row r="242" spans="1:25" ht="30" x14ac:dyDescent="0.2">
      <c r="A242" s="62" t="s">
        <v>566</v>
      </c>
      <c r="B242" s="62" t="s">
        <v>567</v>
      </c>
      <c r="C242" s="75" t="s">
        <v>223</v>
      </c>
      <c r="D242" s="76">
        <v>0</v>
      </c>
      <c r="E242" s="76">
        <v>0</v>
      </c>
      <c r="F242" s="76">
        <v>0</v>
      </c>
      <c r="G242" s="76">
        <v>0</v>
      </c>
      <c r="H242" s="76">
        <v>0</v>
      </c>
      <c r="I242" s="76">
        <v>0</v>
      </c>
      <c r="J242" s="76">
        <v>0</v>
      </c>
      <c r="K242" s="76">
        <v>176243.57640000101</v>
      </c>
      <c r="L242" s="76">
        <f>+P2a!D313-L244</f>
        <v>154705.0501999988</v>
      </c>
      <c r="M242" s="76">
        <f>+P2a!E313-M244</f>
        <v>153835.83050000001</v>
      </c>
      <c r="N242" s="76">
        <f>+P2a!F313-N244</f>
        <v>145835.2991</v>
      </c>
      <c r="O242" s="76">
        <f>178655.472599994-O244</f>
        <v>159990.55009999391</v>
      </c>
      <c r="P242" s="76">
        <v>161575</v>
      </c>
      <c r="Q242" s="76">
        <v>158337.5392</v>
      </c>
      <c r="R242" s="76">
        <v>159899.85990000001</v>
      </c>
      <c r="S242" s="76">
        <v>160359.83319999999</v>
      </c>
      <c r="T242" s="76">
        <v>162754.017499999</v>
      </c>
      <c r="U242" s="76">
        <v>172370.31779999999</v>
      </c>
      <c r="V242" s="76">
        <v>158705.05619999999</v>
      </c>
      <c r="W242" s="76">
        <v>170246.8173</v>
      </c>
      <c r="X242" s="46"/>
      <c r="Y242" s="451" t="s">
        <v>568</v>
      </c>
    </row>
    <row r="243" spans="1:25" ht="30" x14ac:dyDescent="0.2">
      <c r="A243" s="62" t="s">
        <v>569</v>
      </c>
      <c r="B243" s="62" t="s">
        <v>570</v>
      </c>
      <c r="C243" s="63" t="s">
        <v>190</v>
      </c>
      <c r="D243" s="89">
        <f t="shared" ref="D243:U243" si="62">D242/D237</f>
        <v>0</v>
      </c>
      <c r="E243" s="89">
        <f t="shared" si="62"/>
        <v>0</v>
      </c>
      <c r="F243" s="89">
        <f t="shared" si="62"/>
        <v>0</v>
      </c>
      <c r="G243" s="89">
        <f t="shared" si="62"/>
        <v>0</v>
      </c>
      <c r="H243" s="89">
        <f t="shared" si="62"/>
        <v>0</v>
      </c>
      <c r="I243" s="89">
        <f t="shared" si="62"/>
        <v>0</v>
      </c>
      <c r="J243" s="89">
        <f t="shared" si="62"/>
        <v>0</v>
      </c>
      <c r="K243" s="89">
        <f t="shared" si="62"/>
        <v>3.9972867057760549E-2</v>
      </c>
      <c r="L243" s="89">
        <f t="shared" si="62"/>
        <v>3.5856998480894499E-2</v>
      </c>
      <c r="M243" s="89">
        <f t="shared" si="62"/>
        <v>3.5851976953026304E-2</v>
      </c>
      <c r="N243" s="89">
        <f t="shared" si="62"/>
        <v>3.4192194983194271E-2</v>
      </c>
      <c r="O243" s="89">
        <f t="shared" si="62"/>
        <v>3.8620576609695492E-2</v>
      </c>
      <c r="P243" s="89">
        <f t="shared" si="62"/>
        <v>3.9321701142508471E-2</v>
      </c>
      <c r="Q243" s="89">
        <f t="shared" si="62"/>
        <v>3.713486809854865E-2</v>
      </c>
      <c r="R243" s="89">
        <f t="shared" si="62"/>
        <v>3.8367973870049539E-2</v>
      </c>
      <c r="S243" s="89">
        <f t="shared" si="62"/>
        <v>3.4472440504904049E-2</v>
      </c>
      <c r="T243" s="89">
        <f t="shared" si="62"/>
        <v>3.5812373685619257E-2</v>
      </c>
      <c r="U243" s="89">
        <f t="shared" si="62"/>
        <v>3.2231328387233117E-2</v>
      </c>
      <c r="V243" s="89">
        <v>3.1734754151614197E-2</v>
      </c>
      <c r="W243" s="89">
        <v>3.05019827193601E-2</v>
      </c>
      <c r="X243" s="46"/>
      <c r="Y243" s="451" t="s">
        <v>571</v>
      </c>
    </row>
    <row r="244" spans="1:25" ht="15" x14ac:dyDescent="0.2">
      <c r="A244" s="62" t="s">
        <v>572</v>
      </c>
      <c r="B244" s="62" t="s">
        <v>347</v>
      </c>
      <c r="C244" s="75" t="s">
        <v>223</v>
      </c>
      <c r="D244" s="76">
        <v>0</v>
      </c>
      <c r="E244" s="76">
        <v>0</v>
      </c>
      <c r="F244" s="76">
        <v>0</v>
      </c>
      <c r="G244" s="76">
        <v>0</v>
      </c>
      <c r="H244" s="76">
        <v>0</v>
      </c>
      <c r="I244" s="76">
        <v>0</v>
      </c>
      <c r="J244" s="76">
        <v>0</v>
      </c>
      <c r="K244" s="76">
        <v>18816.3544</v>
      </c>
      <c r="L244" s="76">
        <f>+P2a!D315</f>
        <v>19000.896400000202</v>
      </c>
      <c r="M244" s="76">
        <f>+P2a!E315</f>
        <v>16105.3995</v>
      </c>
      <c r="N244" s="76">
        <f>+P2a!F315</f>
        <v>16031.567800000001</v>
      </c>
      <c r="O244" s="76">
        <v>18664.922500000099</v>
      </c>
      <c r="P244" s="76">
        <v>20465</v>
      </c>
      <c r="Q244" s="76">
        <v>20550</v>
      </c>
      <c r="R244" s="76">
        <v>20658.0736</v>
      </c>
      <c r="S244" s="76">
        <v>22359.7736</v>
      </c>
      <c r="T244" s="76">
        <v>34193.705800000098</v>
      </c>
      <c r="U244" s="76">
        <v>47438.12</v>
      </c>
      <c r="V244" s="76">
        <v>45360.125599999898</v>
      </c>
      <c r="W244" s="76">
        <v>54013.233099999903</v>
      </c>
      <c r="X244" s="46"/>
      <c r="Y244" s="451" t="s">
        <v>348</v>
      </c>
    </row>
    <row r="245" spans="1:25" ht="30" x14ac:dyDescent="0.2">
      <c r="A245" s="62" t="s">
        <v>573</v>
      </c>
      <c r="B245" s="62" t="s">
        <v>350</v>
      </c>
      <c r="C245" s="63" t="s">
        <v>190</v>
      </c>
      <c r="D245" s="89">
        <f t="shared" ref="D245:W245" si="63">D244/D237</f>
        <v>0</v>
      </c>
      <c r="E245" s="89">
        <f t="shared" si="63"/>
        <v>0</v>
      </c>
      <c r="F245" s="89">
        <f t="shared" si="63"/>
        <v>0</v>
      </c>
      <c r="G245" s="89">
        <f t="shared" si="63"/>
        <v>0</v>
      </c>
      <c r="H245" s="89">
        <f t="shared" si="63"/>
        <v>0</v>
      </c>
      <c r="I245" s="89">
        <f t="shared" si="63"/>
        <v>0</v>
      </c>
      <c r="J245" s="89">
        <f t="shared" si="63"/>
        <v>0</v>
      </c>
      <c r="K245" s="89">
        <f t="shared" si="63"/>
        <v>4.2676371434715362E-3</v>
      </c>
      <c r="L245" s="89">
        <f t="shared" si="63"/>
        <v>4.4039616836661364E-3</v>
      </c>
      <c r="M245" s="89">
        <f t="shared" si="63"/>
        <v>3.7534195370257472E-3</v>
      </c>
      <c r="N245" s="89">
        <f t="shared" si="63"/>
        <v>3.7587229942733311E-3</v>
      </c>
      <c r="O245" s="89">
        <f t="shared" si="63"/>
        <v>4.5055790412293255E-3</v>
      </c>
      <c r="P245" s="89">
        <f t="shared" si="63"/>
        <v>4.9804648855419206E-3</v>
      </c>
      <c r="Q245" s="89">
        <f t="shared" si="63"/>
        <v>4.8195869613791159E-3</v>
      </c>
      <c r="R245" s="89">
        <f t="shared" si="63"/>
        <v>4.9569050816307822E-3</v>
      </c>
      <c r="S245" s="89">
        <f t="shared" si="63"/>
        <v>4.806664797211352E-3</v>
      </c>
      <c r="T245" s="89">
        <f t="shared" si="63"/>
        <v>7.5239787540466565E-3</v>
      </c>
      <c r="U245" s="89">
        <f t="shared" si="63"/>
        <v>8.8703997492599121E-3</v>
      </c>
      <c r="V245" s="89">
        <f t="shared" si="63"/>
        <v>9.0702367565926329E-3</v>
      </c>
      <c r="W245" s="89">
        <f t="shared" si="63"/>
        <v>9.6771894403747168E-3</v>
      </c>
      <c r="X245" s="46"/>
    </row>
    <row r="246" spans="1:25" ht="15" x14ac:dyDescent="0.2">
      <c r="A246" s="108"/>
      <c r="B246" s="109"/>
      <c r="C246" s="110"/>
      <c r="D246" s="72"/>
      <c r="E246" s="72"/>
      <c r="F246" s="72"/>
      <c r="G246" s="72"/>
      <c r="H246" s="72"/>
      <c r="I246" s="72"/>
      <c r="J246" s="72"/>
      <c r="K246" s="72"/>
      <c r="L246" s="72"/>
      <c r="M246" s="72"/>
      <c r="N246" s="72"/>
      <c r="O246" s="72"/>
      <c r="P246" s="72"/>
      <c r="Q246" s="72"/>
      <c r="R246" s="72"/>
      <c r="S246" s="72"/>
      <c r="T246" s="72"/>
      <c r="U246" s="72"/>
      <c r="V246" s="72"/>
      <c r="W246" s="72"/>
    </row>
    <row r="247" spans="1:25" ht="15" x14ac:dyDescent="0.2">
      <c r="W247" s="59"/>
    </row>
    <row r="248" spans="1:25" ht="15" x14ac:dyDescent="0.2">
      <c r="W248" s="59"/>
    </row>
    <row r="249" spans="1:25" ht="15.75" x14ac:dyDescent="0.25">
      <c r="B249" s="73" t="s">
        <v>574</v>
      </c>
      <c r="W249" s="60"/>
    </row>
    <row r="250" spans="1:25" ht="31.5" x14ac:dyDescent="0.2">
      <c r="B250" s="9" t="s">
        <v>352</v>
      </c>
      <c r="C250" s="31" t="s">
        <v>159</v>
      </c>
      <c r="D250" s="61" t="str">
        <f t="shared" ref="D250:O250" si="64">+D$14</f>
        <v>2010-11 RF</v>
      </c>
      <c r="E250" s="61" t="str">
        <f t="shared" si="64"/>
        <v>2011-12 RF</v>
      </c>
      <c r="F250" s="61" t="str">
        <f t="shared" si="64"/>
        <v>2012-13 RF</v>
      </c>
      <c r="G250" s="61" t="str">
        <f t="shared" si="64"/>
        <v>2013-14 RF</v>
      </c>
      <c r="H250" s="61" t="str">
        <f t="shared" si="64"/>
        <v>2014-15 RF</v>
      </c>
      <c r="I250" s="61" t="str">
        <f t="shared" si="64"/>
        <v>2015-16 RF</v>
      </c>
      <c r="J250" s="61" t="str">
        <f t="shared" si="64"/>
        <v>2016-17 RF</v>
      </c>
      <c r="K250" s="61" t="str">
        <f t="shared" si="64"/>
        <v>2017-18 RF</v>
      </c>
      <c r="L250" s="61" t="str">
        <f t="shared" si="64"/>
        <v>2018-19 RF</v>
      </c>
      <c r="M250" s="61" t="str">
        <f t="shared" si="64"/>
        <v>2019-20 month</v>
      </c>
      <c r="N250" s="61" t="str">
        <f t="shared" si="64"/>
        <v>2019-20 RF</v>
      </c>
      <c r="O250" s="61" t="str">
        <f t="shared" si="64"/>
        <v>2020-21 month</v>
      </c>
      <c r="P250" s="61" t="s">
        <v>18</v>
      </c>
      <c r="Q250" s="61" t="s">
        <v>162</v>
      </c>
      <c r="R250" s="61" t="s">
        <v>20</v>
      </c>
      <c r="S250" s="61" t="s">
        <v>163</v>
      </c>
      <c r="T250" s="61" t="s">
        <v>22</v>
      </c>
      <c r="U250" s="61" t="s">
        <v>23</v>
      </c>
      <c r="V250" s="61" t="s">
        <v>24</v>
      </c>
      <c r="W250" s="61" t="s">
        <v>25</v>
      </c>
      <c r="X250" s="46"/>
    </row>
    <row r="251" spans="1:25" ht="15" x14ac:dyDescent="0.2">
      <c r="A251" s="62" t="s">
        <v>575</v>
      </c>
      <c r="B251" s="74" t="s">
        <v>222</v>
      </c>
      <c r="C251" s="75" t="s">
        <v>223</v>
      </c>
      <c r="D251" s="76">
        <v>67871.486082117597</v>
      </c>
      <c r="E251" s="76">
        <v>77713.387978142098</v>
      </c>
      <c r="F251" s="76">
        <v>79490.564383560995</v>
      </c>
      <c r="G251" s="76">
        <v>80526.882191780503</v>
      </c>
      <c r="H251" s="76">
        <v>81165.0904109603</v>
      </c>
      <c r="I251" s="76">
        <v>82829.054644809105</v>
      </c>
      <c r="J251" s="76">
        <v>84842.8958904131</v>
      </c>
      <c r="K251" s="76">
        <v>94779.172602741499</v>
      </c>
      <c r="L251" s="76">
        <f>+P2a!D320</f>
        <v>95839.005479453801</v>
      </c>
      <c r="M251" s="76">
        <f>+P2a!E320-1061</f>
        <v>97071.144808742203</v>
      </c>
      <c r="N251" s="76">
        <f>+P2a!F320</f>
        <v>97367.275956287107</v>
      </c>
      <c r="O251" s="76">
        <f>98873.6849315023-1054</f>
        <v>97819.684931502299</v>
      </c>
      <c r="P251" s="76">
        <v>98213.991780821802</v>
      </c>
      <c r="Q251" s="76">
        <v>99329.249315063702</v>
      </c>
      <c r="R251" s="76">
        <v>99107.235616437203</v>
      </c>
      <c r="S251" s="76">
        <v>100129.33150683899</v>
      </c>
      <c r="T251" s="76">
        <v>99462.282191780498</v>
      </c>
      <c r="U251" s="76">
        <v>100367.846994536</v>
      </c>
      <c r="V251" s="76">
        <v>99141.885245901794</v>
      </c>
      <c r="W251" s="76">
        <v>99525.835616431301</v>
      </c>
      <c r="X251" s="46"/>
      <c r="Y251" s="454" t="s">
        <v>576</v>
      </c>
    </row>
    <row r="252" spans="1:25" ht="15" x14ac:dyDescent="0.2">
      <c r="A252" s="62" t="s">
        <v>577</v>
      </c>
      <c r="B252" s="77" t="s">
        <v>226</v>
      </c>
      <c r="C252" s="75" t="s">
        <v>223</v>
      </c>
      <c r="D252" s="76">
        <v>5807.9222986300701</v>
      </c>
      <c r="E252" s="76">
        <v>5839.8442622950797</v>
      </c>
      <c r="F252" s="76">
        <v>5771.4602739725997</v>
      </c>
      <c r="G252" s="76">
        <v>5647.0684931506803</v>
      </c>
      <c r="H252" s="76">
        <v>5685.7178082191804</v>
      </c>
      <c r="I252" s="76">
        <v>5872.6748633879797</v>
      </c>
      <c r="J252" s="76">
        <v>5907.5150684931496</v>
      </c>
      <c r="K252" s="76">
        <v>6418.5561643835699</v>
      </c>
      <c r="L252" s="76">
        <f>+P2a!D321</f>
        <v>6242.7780821918004</v>
      </c>
      <c r="M252" s="76">
        <f>+P2a!E321</f>
        <v>6272.16120218581</v>
      </c>
      <c r="N252" s="76">
        <f>+P2a!F321</f>
        <v>6216.1120218579799</v>
      </c>
      <c r="O252" s="76">
        <v>6215.06027397261</v>
      </c>
      <c r="P252" s="76">
        <v>6180.1945205479396</v>
      </c>
      <c r="Q252" s="76">
        <v>6170.5561643835599</v>
      </c>
      <c r="R252" s="76">
        <v>6140.7671232876701</v>
      </c>
      <c r="S252" s="76">
        <v>6126.2164383560103</v>
      </c>
      <c r="T252" s="76">
        <v>6099.6027397260204</v>
      </c>
      <c r="U252" s="76">
        <v>6109.8989071038204</v>
      </c>
      <c r="V252" s="76">
        <v>6053.9153005464505</v>
      </c>
      <c r="W252" s="76">
        <v>6043.5232876711798</v>
      </c>
      <c r="X252" s="46"/>
      <c r="Y252" s="451" t="s">
        <v>578</v>
      </c>
    </row>
    <row r="253" spans="1:25" ht="15" x14ac:dyDescent="0.2">
      <c r="A253" s="62" t="s">
        <v>579</v>
      </c>
      <c r="B253" s="77" t="s">
        <v>229</v>
      </c>
      <c r="C253" s="75" t="s">
        <v>223</v>
      </c>
      <c r="D253" s="76">
        <v>1107.1082082191799</v>
      </c>
      <c r="E253" s="76">
        <v>1201.90710382514</v>
      </c>
      <c r="F253" s="76">
        <v>1279.2684931506899</v>
      </c>
      <c r="G253" s="76">
        <v>1322.42739726027</v>
      </c>
      <c r="H253" s="76">
        <v>1369.88219178082</v>
      </c>
      <c r="I253" s="76">
        <v>1351.10928961749</v>
      </c>
      <c r="J253" s="76">
        <v>1353.81643835616</v>
      </c>
      <c r="K253" s="76">
        <v>1437.6493150684901</v>
      </c>
      <c r="L253" s="76">
        <f>+P2a!D322</f>
        <v>1424.8657534246599</v>
      </c>
      <c r="M253" s="76">
        <f>+P2a!E322</f>
        <v>1459.42349726776</v>
      </c>
      <c r="N253" s="76">
        <f>+P2a!F322</f>
        <v>1449.1174863388001</v>
      </c>
      <c r="O253" s="76">
        <v>1479.6438356164399</v>
      </c>
      <c r="P253" s="76">
        <v>1466.80821917808</v>
      </c>
      <c r="Q253" s="76">
        <v>1503.8328767123301</v>
      </c>
      <c r="R253" s="76">
        <v>1502.7479452054699</v>
      </c>
      <c r="S253" s="76">
        <v>1531.0027397260101</v>
      </c>
      <c r="T253" s="76">
        <v>1526.4027397260199</v>
      </c>
      <c r="U253" s="76">
        <v>1559.7595628415199</v>
      </c>
      <c r="V253" s="76">
        <v>1546.40163934426</v>
      </c>
      <c r="W253" s="76">
        <v>1565.0684931506801</v>
      </c>
      <c r="X253" s="46"/>
      <c r="Y253" s="451" t="s">
        <v>580</v>
      </c>
    </row>
    <row r="254" spans="1:25" ht="15" x14ac:dyDescent="0.2">
      <c r="A254" s="62" t="s">
        <v>581</v>
      </c>
      <c r="B254" s="77" t="s">
        <v>232</v>
      </c>
      <c r="C254" s="75" t="s">
        <v>223</v>
      </c>
      <c r="D254" s="76">
        <v>781.51560821917803</v>
      </c>
      <c r="E254" s="76">
        <v>886.44808743169301</v>
      </c>
      <c r="F254" s="76">
        <v>913.28219178082202</v>
      </c>
      <c r="G254" s="76">
        <v>938.30136986301295</v>
      </c>
      <c r="H254" s="76">
        <v>957.20273972602797</v>
      </c>
      <c r="I254" s="76">
        <v>896.65573770491801</v>
      </c>
      <c r="J254" s="76">
        <v>867.53972602739805</v>
      </c>
      <c r="K254" s="76">
        <v>892.47123287671195</v>
      </c>
      <c r="L254" s="76">
        <f>+P2a!D323</f>
        <v>872.76438356164397</v>
      </c>
      <c r="M254" s="76">
        <f>+P2a!E323</f>
        <v>874.84972677595601</v>
      </c>
      <c r="N254" s="76">
        <f>+P2a!F323</f>
        <v>868.59836065573802</v>
      </c>
      <c r="O254" s="76">
        <v>862.95342465753401</v>
      </c>
      <c r="P254" s="76">
        <v>854.64657534246601</v>
      </c>
      <c r="Q254" s="76">
        <v>857.35342465753297</v>
      </c>
      <c r="R254" s="76">
        <v>851.23287671232902</v>
      </c>
      <c r="S254" s="76">
        <v>855.19726027397405</v>
      </c>
      <c r="T254" s="76">
        <v>854.36164383561595</v>
      </c>
      <c r="U254" s="76">
        <v>852.28415300546499</v>
      </c>
      <c r="V254" s="76">
        <v>847.945355191256</v>
      </c>
      <c r="W254" s="76">
        <v>844.57534246575301</v>
      </c>
      <c r="X254" s="46"/>
      <c r="Y254" s="451" t="s">
        <v>582</v>
      </c>
    </row>
    <row r="255" spans="1:25" ht="15" x14ac:dyDescent="0.2">
      <c r="A255" s="62" t="s">
        <v>583</v>
      </c>
      <c r="B255" s="77" t="s">
        <v>235</v>
      </c>
      <c r="C255" s="75" t="s">
        <v>223</v>
      </c>
      <c r="D255" s="76">
        <v>200.59621369863001</v>
      </c>
      <c r="E255" s="76">
        <v>183.64207650273201</v>
      </c>
      <c r="F255" s="76">
        <v>189.53150684931501</v>
      </c>
      <c r="G255" s="76">
        <v>160.01917808219201</v>
      </c>
      <c r="H255" s="76">
        <v>155.961643835616</v>
      </c>
      <c r="I255" s="76">
        <v>140.24316939890701</v>
      </c>
      <c r="J255" s="76">
        <v>140.26027397260299</v>
      </c>
      <c r="K255" s="76">
        <v>170.46027397260301</v>
      </c>
      <c r="L255" s="76">
        <f>+P2a!D324</f>
        <v>167.48767123287701</v>
      </c>
      <c r="M255" s="76">
        <f>+P2a!E324</f>
        <v>167.83060109289599</v>
      </c>
      <c r="N255" s="76">
        <f>+P2a!F324</f>
        <v>162.34153005464501</v>
      </c>
      <c r="O255" s="76">
        <v>167.383561643836</v>
      </c>
      <c r="P255" s="76">
        <v>160.76986301369899</v>
      </c>
      <c r="Q255" s="76">
        <v>152.594520547945</v>
      </c>
      <c r="R255" s="76">
        <v>148.19178082191701</v>
      </c>
      <c r="S255" s="76">
        <v>150.85479452054699</v>
      </c>
      <c r="T255" s="76">
        <v>148.13698630136901</v>
      </c>
      <c r="U255" s="76">
        <v>150.032786885245</v>
      </c>
      <c r="V255" s="76">
        <v>145.292349726776</v>
      </c>
      <c r="W255" s="76">
        <v>147.62465753424601</v>
      </c>
      <c r="X255" s="46"/>
      <c r="Y255" s="451" t="s">
        <v>584</v>
      </c>
    </row>
    <row r="256" spans="1:25" ht="15" x14ac:dyDescent="0.2">
      <c r="A256" s="62" t="s">
        <v>585</v>
      </c>
      <c r="B256" s="77" t="s">
        <v>364</v>
      </c>
      <c r="C256" s="75" t="s">
        <v>223</v>
      </c>
      <c r="D256" s="76">
        <v>28.241095890411</v>
      </c>
      <c r="E256" s="76">
        <v>30.434426229508201</v>
      </c>
      <c r="F256" s="76">
        <v>28.408219178082199</v>
      </c>
      <c r="G256" s="76">
        <v>30.0246575342466</v>
      </c>
      <c r="H256" s="76">
        <v>26.561643835616401</v>
      </c>
      <c r="I256" s="76">
        <v>20.423497267759601</v>
      </c>
      <c r="J256" s="76">
        <v>16.657534246575299</v>
      </c>
      <c r="K256" s="76">
        <v>18.287671232876701</v>
      </c>
      <c r="L256" s="76">
        <f>+P2a!D325</f>
        <v>17.635616438356202</v>
      </c>
      <c r="M256" s="76">
        <f>+P2a!E325</f>
        <v>18</v>
      </c>
      <c r="N256" s="76">
        <f>+P2a!F325</f>
        <v>16</v>
      </c>
      <c r="O256" s="76">
        <v>16.586301369863001</v>
      </c>
      <c r="P256" s="76">
        <v>17.7452054794521</v>
      </c>
      <c r="Q256" s="76">
        <v>18.986301369863</v>
      </c>
      <c r="R256" s="76">
        <v>19.301369863013701</v>
      </c>
      <c r="S256" s="76">
        <v>20.2438356164383</v>
      </c>
      <c r="T256" s="76">
        <v>19.126027397260199</v>
      </c>
      <c r="U256" s="76">
        <v>19.330601092896099</v>
      </c>
      <c r="V256" s="76">
        <v>18.521857923497201</v>
      </c>
      <c r="W256" s="76">
        <v>16.939726027397199</v>
      </c>
      <c r="X256" s="46"/>
      <c r="Y256" s="451" t="s">
        <v>586</v>
      </c>
    </row>
    <row r="257" spans="1:25" ht="15" x14ac:dyDescent="0.2">
      <c r="A257" s="62" t="s">
        <v>587</v>
      </c>
      <c r="B257" s="77" t="s">
        <v>367</v>
      </c>
      <c r="C257" s="75" t="s">
        <v>223</v>
      </c>
      <c r="D257" s="76">
        <v>5.3534246575342497</v>
      </c>
      <c r="E257" s="76">
        <v>6.9617486338797798</v>
      </c>
      <c r="F257" s="76">
        <v>5.6328767123287697</v>
      </c>
      <c r="G257" s="76">
        <v>5.7424657534246597</v>
      </c>
      <c r="H257" s="76">
        <v>5.7287671232876702</v>
      </c>
      <c r="I257" s="76">
        <v>5.5245901639344304</v>
      </c>
      <c r="J257" s="76">
        <v>3.06575342465753</v>
      </c>
      <c r="K257" s="76">
        <v>4.3561643835616399</v>
      </c>
      <c r="L257" s="76">
        <f>+P2a!D326</f>
        <v>2.6219178082191799</v>
      </c>
      <c r="M257" s="76">
        <f>+P2a!E326</f>
        <v>2.5027322404371599</v>
      </c>
      <c r="N257" s="76">
        <f>+P2a!F326</f>
        <v>2</v>
      </c>
      <c r="O257" s="76">
        <v>2</v>
      </c>
      <c r="P257" s="76">
        <v>2</v>
      </c>
      <c r="Q257" s="76">
        <v>2</v>
      </c>
      <c r="R257" s="76">
        <v>2</v>
      </c>
      <c r="S257" s="76">
        <v>2</v>
      </c>
      <c r="T257" s="76">
        <v>2</v>
      </c>
      <c r="U257" s="76">
        <v>2</v>
      </c>
      <c r="V257" s="76">
        <v>2</v>
      </c>
      <c r="W257" s="76">
        <v>1.9972602739726</v>
      </c>
      <c r="X257" s="46"/>
      <c r="Y257" s="451" t="s">
        <v>588</v>
      </c>
    </row>
    <row r="258" spans="1:25" ht="15" x14ac:dyDescent="0.2">
      <c r="A258" s="62" t="s">
        <v>589</v>
      </c>
      <c r="B258" s="71" t="s">
        <v>238</v>
      </c>
      <c r="C258" s="63" t="s">
        <v>190</v>
      </c>
      <c r="D258" s="64">
        <f t="shared" ref="D258:W258" si="65">SUM(D251:D257)</f>
        <v>75802.22293143261</v>
      </c>
      <c r="E258" s="64">
        <f t="shared" si="65"/>
        <v>85862.625683060134</v>
      </c>
      <c r="F258" s="64">
        <f t="shared" si="65"/>
        <v>87678.147945204837</v>
      </c>
      <c r="G258" s="64">
        <f t="shared" si="65"/>
        <v>88630.465753424331</v>
      </c>
      <c r="H258" s="64">
        <f t="shared" si="65"/>
        <v>89366.145205480861</v>
      </c>
      <c r="I258" s="64">
        <f t="shared" si="65"/>
        <v>91115.685792350094</v>
      </c>
      <c r="J258" s="64">
        <f t="shared" si="65"/>
        <v>93131.75068493365</v>
      </c>
      <c r="K258" s="64">
        <f t="shared" si="65"/>
        <v>103720.95342465928</v>
      </c>
      <c r="L258" s="64">
        <f t="shared" si="65"/>
        <v>104567.15890411138</v>
      </c>
      <c r="M258" s="64">
        <f t="shared" si="65"/>
        <v>105865.91256830507</v>
      </c>
      <c r="N258" s="64">
        <f t="shared" si="65"/>
        <v>106081.44535519427</v>
      </c>
      <c r="O258" s="64">
        <f t="shared" si="65"/>
        <v>106563.31232876259</v>
      </c>
      <c r="P258" s="64">
        <f t="shared" si="65"/>
        <v>106896.15616438346</v>
      </c>
      <c r="Q258" s="64">
        <f t="shared" si="65"/>
        <v>108034.57260273493</v>
      </c>
      <c r="R258" s="64">
        <f t="shared" si="65"/>
        <v>107771.4767123276</v>
      </c>
      <c r="S258" s="64">
        <f t="shared" si="65"/>
        <v>108814.84657533198</v>
      </c>
      <c r="T258" s="64">
        <f t="shared" si="65"/>
        <v>108111.91232876678</v>
      </c>
      <c r="U258" s="64">
        <f t="shared" si="65"/>
        <v>109061.15300546495</v>
      </c>
      <c r="V258" s="64">
        <f t="shared" si="65"/>
        <v>107755.96174863403</v>
      </c>
      <c r="W258" s="64">
        <f t="shared" si="65"/>
        <v>108145.56438355455</v>
      </c>
      <c r="X258" s="46"/>
      <c r="Y258" s="451" t="s">
        <v>590</v>
      </c>
    </row>
    <row r="259" spans="1:25" ht="15.75" x14ac:dyDescent="0.25">
      <c r="A259" s="105"/>
      <c r="B259" s="121"/>
      <c r="C259" s="122"/>
      <c r="D259" s="69"/>
      <c r="E259" s="69"/>
      <c r="F259" s="69"/>
      <c r="G259" s="69"/>
      <c r="H259" s="69"/>
      <c r="I259" s="69"/>
      <c r="J259" s="69"/>
      <c r="K259" s="69"/>
      <c r="L259" s="69"/>
      <c r="M259" s="69"/>
      <c r="N259" s="69"/>
      <c r="O259" s="69"/>
      <c r="P259" s="69"/>
      <c r="Q259" s="69"/>
      <c r="R259" s="69"/>
      <c r="S259" s="69"/>
      <c r="T259" s="69"/>
      <c r="U259" s="69"/>
      <c r="V259" s="69"/>
      <c r="W259" s="69"/>
    </row>
    <row r="260" spans="1:25" ht="15" x14ac:dyDescent="0.2">
      <c r="A260" s="62" t="s">
        <v>591</v>
      </c>
      <c r="B260" s="77" t="s">
        <v>381</v>
      </c>
      <c r="C260" s="75" t="s">
        <v>223</v>
      </c>
      <c r="D260" s="76">
        <v>0</v>
      </c>
      <c r="E260" s="76">
        <v>0</v>
      </c>
      <c r="F260" s="76">
        <v>0</v>
      </c>
      <c r="G260" s="76">
        <v>0.41643835616438402</v>
      </c>
      <c r="H260" s="76">
        <v>267.54246575342501</v>
      </c>
      <c r="I260" s="76">
        <v>2183.5546448087298</v>
      </c>
      <c r="J260" s="76">
        <v>3893.8794520547999</v>
      </c>
      <c r="K260" s="76">
        <v>4955.5863013698699</v>
      </c>
      <c r="L260" s="76">
        <v>6196.6547945205602</v>
      </c>
      <c r="M260" s="76">
        <v>6957.82240437158</v>
      </c>
      <c r="N260" s="76">
        <f>7362.51912568313-N262</f>
        <v>6890.2267759563538</v>
      </c>
      <c r="O260" s="76">
        <v>7320.2767123287704</v>
      </c>
      <c r="P260" s="76">
        <v>7351</v>
      </c>
      <c r="Q260" s="76">
        <v>8145</v>
      </c>
      <c r="R260" s="76">
        <v>8074.6931506849296</v>
      </c>
      <c r="S260" s="76">
        <v>8799.5999999999894</v>
      </c>
      <c r="T260" s="76">
        <v>8656.0082191780803</v>
      </c>
      <c r="U260" s="76">
        <v>9076.1775956284091</v>
      </c>
      <c r="V260" s="76">
        <v>8813.4562841530005</v>
      </c>
      <c r="W260" s="76">
        <v>9063.7945205479391</v>
      </c>
      <c r="X260" s="46"/>
      <c r="Y260" s="453" t="s">
        <v>592</v>
      </c>
    </row>
    <row r="261" spans="1:25" ht="30" x14ac:dyDescent="0.2">
      <c r="A261" s="62" t="s">
        <v>593</v>
      </c>
      <c r="B261" s="77" t="s">
        <v>384</v>
      </c>
      <c r="C261" s="75" t="s">
        <v>223</v>
      </c>
      <c r="D261" s="76">
        <v>12212.7205479452</v>
      </c>
      <c r="E261" s="76">
        <v>11469.349726775899</v>
      </c>
      <c r="F261" s="76">
        <v>9981.1150684931508</v>
      </c>
      <c r="G261" s="76">
        <v>9079.7589041095507</v>
      </c>
      <c r="H261" s="76">
        <v>8887.0849315067608</v>
      </c>
      <c r="I261" s="76">
        <v>8987.7158469946298</v>
      </c>
      <c r="J261" s="76">
        <v>8850.1506849314792</v>
      </c>
      <c r="K261" s="76">
        <v>7430.1260273972503</v>
      </c>
      <c r="L261" s="76">
        <v>7434.0465753424596</v>
      </c>
      <c r="M261" s="76">
        <f>7913.19398907104-M262</f>
        <v>7435.5163934426255</v>
      </c>
      <c r="N261" s="76">
        <f>7767.00546448087-N262</f>
        <v>7294.7131147540931</v>
      </c>
      <c r="O261" s="76">
        <f>12645.3178082192-O262</f>
        <v>11832.515068493174</v>
      </c>
      <c r="P261" s="76">
        <v>8805</v>
      </c>
      <c r="Q261" s="76">
        <v>8113</v>
      </c>
      <c r="R261" s="76">
        <v>8216.20547945205</v>
      </c>
      <c r="S261" s="76">
        <v>8092.76438356164</v>
      </c>
      <c r="T261" s="76">
        <v>7630.70684931506</v>
      </c>
      <c r="U261" s="76">
        <v>7489.1366120218499</v>
      </c>
      <c r="V261" s="76">
        <v>7044.6420765027297</v>
      </c>
      <c r="W261" s="76">
        <v>7286.4164383561601</v>
      </c>
      <c r="X261" s="46"/>
      <c r="Y261" s="453" t="s">
        <v>594</v>
      </c>
    </row>
    <row r="262" spans="1:25" ht="30" x14ac:dyDescent="0.2">
      <c r="A262" s="62" t="s">
        <v>595</v>
      </c>
      <c r="B262" s="77" t="s">
        <v>387</v>
      </c>
      <c r="C262" s="75" t="s">
        <v>223</v>
      </c>
      <c r="D262" s="76">
        <v>0</v>
      </c>
      <c r="E262" s="76">
        <v>0</v>
      </c>
      <c r="F262" s="76">
        <v>0</v>
      </c>
      <c r="G262" s="76">
        <v>6.8493150684931503E-2</v>
      </c>
      <c r="H262" s="76">
        <v>36.569863013698601</v>
      </c>
      <c r="I262" s="76">
        <v>204.40437158469899</v>
      </c>
      <c r="J262" s="76">
        <v>327.208219178082</v>
      </c>
      <c r="K262" s="76">
        <v>412.97534246575299</v>
      </c>
      <c r="L262" s="76">
        <v>446.45205479452102</v>
      </c>
      <c r="M262" s="76">
        <v>477.67759562841502</v>
      </c>
      <c r="N262" s="76">
        <v>472.29234972677699</v>
      </c>
      <c r="O262" s="76">
        <v>812.80273972602697</v>
      </c>
      <c r="P262" s="76">
        <v>655</v>
      </c>
      <c r="Q262" s="76">
        <v>578</v>
      </c>
      <c r="R262" s="76">
        <v>568.47397260273897</v>
      </c>
      <c r="S262" s="76">
        <v>554.42465753424597</v>
      </c>
      <c r="T262" s="76">
        <v>511.40821917808199</v>
      </c>
      <c r="U262" s="76">
        <v>515.37431693989095</v>
      </c>
      <c r="V262" s="76">
        <v>507.61202185792303</v>
      </c>
      <c r="W262" s="76">
        <v>583.09589041095796</v>
      </c>
      <c r="X262" s="46"/>
      <c r="Y262" s="453" t="s">
        <v>596</v>
      </c>
    </row>
    <row r="263" spans="1:25" ht="15" x14ac:dyDescent="0.2">
      <c r="A263" s="62" t="s">
        <v>597</v>
      </c>
      <c r="B263" s="77" t="s">
        <v>390</v>
      </c>
      <c r="C263" s="75" t="s">
        <v>223</v>
      </c>
      <c r="D263" s="76">
        <v>0</v>
      </c>
      <c r="E263" s="76">
        <v>0</v>
      </c>
      <c r="F263" s="76">
        <v>0</v>
      </c>
      <c r="G263" s="76">
        <v>230.33</v>
      </c>
      <c r="H263" s="76">
        <v>115258.46</v>
      </c>
      <c r="I263" s="76">
        <v>730388.04</v>
      </c>
      <c r="J263" s="76">
        <v>1063703.72</v>
      </c>
      <c r="K263" s="76">
        <v>1334574.42</v>
      </c>
      <c r="L263" s="76">
        <v>1289500.1399999999</v>
      </c>
      <c r="M263" s="76">
        <v>1650764.7008</v>
      </c>
      <c r="N263" s="76">
        <f>1558508.1002-N264</f>
        <v>1523720.1202</v>
      </c>
      <c r="O263" s="76">
        <f>1507611.9518-O264</f>
        <v>1479234.2892999998</v>
      </c>
      <c r="P263" s="76">
        <v>1396740.3563000001</v>
      </c>
      <c r="Q263" s="76">
        <v>1756906.0932999901</v>
      </c>
      <c r="R263" s="76">
        <v>1709864.875</v>
      </c>
      <c r="S263" s="76">
        <v>2014842.83389999</v>
      </c>
      <c r="T263" s="76">
        <v>1987347.4554000001</v>
      </c>
      <c r="U263" s="76">
        <v>2167765.5722999899</v>
      </c>
      <c r="V263" s="76">
        <v>2051338.0453999999</v>
      </c>
      <c r="W263" s="76">
        <v>2024444.9173999999</v>
      </c>
      <c r="X263" s="46"/>
      <c r="Y263" s="453" t="s">
        <v>390</v>
      </c>
    </row>
    <row r="264" spans="1:25" ht="15" x14ac:dyDescent="0.2">
      <c r="A264" s="62" t="s">
        <v>598</v>
      </c>
      <c r="B264" s="77" t="s">
        <v>392</v>
      </c>
      <c r="C264" s="75" t="s">
        <v>223</v>
      </c>
      <c r="D264" s="76">
        <v>0</v>
      </c>
      <c r="E264" s="76">
        <v>0</v>
      </c>
      <c r="F264" s="76">
        <v>0</v>
      </c>
      <c r="G264" s="76">
        <v>0</v>
      </c>
      <c r="H264" s="76">
        <v>0</v>
      </c>
      <c r="I264" s="76">
        <v>0</v>
      </c>
      <c r="J264" s="76">
        <v>0</v>
      </c>
      <c r="K264" s="76">
        <v>20615.490000000002</v>
      </c>
      <c r="L264" s="76">
        <v>28841.919999999998</v>
      </c>
      <c r="M264" s="76">
        <v>16183.339</v>
      </c>
      <c r="N264" s="76">
        <v>34787.980000000003</v>
      </c>
      <c r="O264" s="76">
        <v>28377.662499999999</v>
      </c>
      <c r="P264" s="76">
        <v>37435</v>
      </c>
      <c r="Q264" s="76">
        <v>21352</v>
      </c>
      <c r="R264" s="76">
        <v>39890.629999999997</v>
      </c>
      <c r="S264" s="76">
        <v>18179.9987</v>
      </c>
      <c r="T264" s="76">
        <v>34308.330999999998</v>
      </c>
      <c r="U264" s="76">
        <v>13643.6453</v>
      </c>
      <c r="V264" s="76">
        <v>33278.6201</v>
      </c>
      <c r="W264" s="76">
        <v>19922.803800000002</v>
      </c>
      <c r="X264" s="46"/>
      <c r="Y264" s="453" t="s">
        <v>392</v>
      </c>
    </row>
    <row r="265" spans="1:25" ht="15" x14ac:dyDescent="0.2">
      <c r="A265" s="62" t="s">
        <v>599</v>
      </c>
      <c r="B265" s="77" t="s">
        <v>254</v>
      </c>
      <c r="C265" s="75" t="s">
        <v>223</v>
      </c>
      <c r="D265" s="79">
        <v>0</v>
      </c>
      <c r="E265" s="79">
        <v>0</v>
      </c>
      <c r="F265" s="79">
        <v>0</v>
      </c>
      <c r="G265" s="79">
        <f t="shared" ref="G265:S265" si="66">+G263/G260</f>
        <v>553.0950657894731</v>
      </c>
      <c r="H265" s="79">
        <f t="shared" si="66"/>
        <v>430.80435726500923</v>
      </c>
      <c r="I265" s="79">
        <f t="shared" si="66"/>
        <v>334.49496752300377</v>
      </c>
      <c r="J265" s="79">
        <f t="shared" si="66"/>
        <v>273.17325384551481</v>
      </c>
      <c r="K265" s="79">
        <f t="shared" si="66"/>
        <v>269.3070685967237</v>
      </c>
      <c r="L265" s="79">
        <f t="shared" si="66"/>
        <v>208.09617168609267</v>
      </c>
      <c r="M265" s="79">
        <f t="shared" si="66"/>
        <v>237.25306638508468</v>
      </c>
      <c r="N265" s="79">
        <f t="shared" si="66"/>
        <v>221.14223083586532</v>
      </c>
      <c r="O265" s="79">
        <f t="shared" si="66"/>
        <v>202.07354823195161</v>
      </c>
      <c r="P265" s="79">
        <f t="shared" si="66"/>
        <v>190.00685026527003</v>
      </c>
      <c r="Q265" s="79">
        <f t="shared" si="66"/>
        <v>215.70363330877717</v>
      </c>
      <c r="R265" s="79">
        <f t="shared" si="66"/>
        <v>211.75601884697772</v>
      </c>
      <c r="S265" s="79">
        <f t="shared" si="66"/>
        <v>228.96982066230197</v>
      </c>
      <c r="T265" s="79">
        <v>229.591678413252</v>
      </c>
      <c r="U265" s="79">
        <v>238.841246709861</v>
      </c>
      <c r="V265" s="79">
        <v>232.750691586046</v>
      </c>
      <c r="W265" s="79">
        <v>223.35512050835999</v>
      </c>
      <c r="X265" s="46"/>
      <c r="Y265" s="453" t="s">
        <v>254</v>
      </c>
    </row>
    <row r="266" spans="1:25" ht="15.75" x14ac:dyDescent="0.25">
      <c r="A266" s="108"/>
      <c r="B266" s="121"/>
      <c r="C266" s="123"/>
      <c r="D266" s="72"/>
      <c r="E266" s="72"/>
      <c r="F266" s="72"/>
      <c r="G266" s="72"/>
      <c r="H266" s="72"/>
      <c r="I266" s="72"/>
      <c r="J266" s="72"/>
      <c r="K266" s="72"/>
      <c r="L266" s="72"/>
      <c r="M266" s="72"/>
      <c r="N266" s="72"/>
      <c r="O266" s="72"/>
      <c r="P266" s="72"/>
      <c r="Q266" s="72"/>
      <c r="R266" s="72"/>
      <c r="S266" s="72"/>
      <c r="T266" s="72"/>
      <c r="U266" s="72"/>
      <c r="V266" s="72"/>
      <c r="W266" s="72"/>
    </row>
    <row r="267" spans="1:25" ht="15.75" x14ac:dyDescent="0.25">
      <c r="B267" s="80" t="s">
        <v>530</v>
      </c>
      <c r="C267" s="116"/>
      <c r="V267" s="60"/>
      <c r="W267" s="60"/>
    </row>
    <row r="268" spans="1:25" ht="15" x14ac:dyDescent="0.2">
      <c r="A268" s="62" t="s">
        <v>600</v>
      </c>
      <c r="B268" s="77" t="s">
        <v>601</v>
      </c>
      <c r="C268" s="75" t="s">
        <v>223</v>
      </c>
      <c r="D268" s="76">
        <v>4464324.9851011997</v>
      </c>
      <c r="E268" s="76">
        <v>4693696.9172677603</v>
      </c>
      <c r="F268" s="76">
        <v>4773374.93575342</v>
      </c>
      <c r="G268" s="76">
        <v>4822523.1245205598</v>
      </c>
      <c r="H268" s="76">
        <v>4824203.0202739798</v>
      </c>
      <c r="I268" s="76">
        <v>4841113.1262295097</v>
      </c>
      <c r="J268" s="76">
        <v>4790261.2290410902</v>
      </c>
      <c r="K268" s="76">
        <v>4877761.6713698599</v>
      </c>
      <c r="L268" s="76">
        <f>+P2a!D330</f>
        <v>4832236.4104109704</v>
      </c>
      <c r="M268" s="76">
        <f>+P2a!E330</f>
        <v>4815973.2602980901</v>
      </c>
      <c r="N268" s="76">
        <f>+P2a!F330</f>
        <v>4771208.39346499</v>
      </c>
      <c r="O268" s="76">
        <v>4779215.37283572</v>
      </c>
      <c r="P268" s="76">
        <v>4458112</v>
      </c>
      <c r="Q268" s="76">
        <v>4629660</v>
      </c>
      <c r="R268" s="76">
        <v>4656209.4106575297</v>
      </c>
      <c r="S268" s="76">
        <v>4729925.7544657504</v>
      </c>
      <c r="T268" s="76">
        <v>4774557.1321849301</v>
      </c>
      <c r="U268" s="76">
        <v>4780816.2535349904</v>
      </c>
      <c r="V268" s="76">
        <v>4779340.0394956199</v>
      </c>
      <c r="W268" s="76">
        <v>4751406.9194109496</v>
      </c>
      <c r="X268" s="46"/>
      <c r="Y268" s="451" t="s">
        <v>602</v>
      </c>
    </row>
    <row r="269" spans="1:25" ht="15" x14ac:dyDescent="0.2">
      <c r="A269" s="62" t="s">
        <v>603</v>
      </c>
      <c r="B269" s="71" t="s">
        <v>280</v>
      </c>
      <c r="C269" s="75" t="s">
        <v>223</v>
      </c>
      <c r="D269" s="76">
        <v>48451137.546303697</v>
      </c>
      <c r="E269" s="76">
        <v>47015701.144317098</v>
      </c>
      <c r="F269" s="76">
        <v>46107853.982739598</v>
      </c>
      <c r="G269" s="76">
        <v>47163690.985890299</v>
      </c>
      <c r="H269" s="76">
        <v>47007115.693972804</v>
      </c>
      <c r="I269" s="76">
        <v>47708226.9029506</v>
      </c>
      <c r="J269" s="76">
        <v>48872347.993561603</v>
      </c>
      <c r="K269" s="76">
        <v>49699448.266438499</v>
      </c>
      <c r="L269" s="76">
        <f>+P2a!D331</f>
        <v>49611241.227945499</v>
      </c>
      <c r="M269" s="76">
        <f>+P2a!E331</f>
        <v>50778348.943581603</v>
      </c>
      <c r="N269" s="76">
        <f>+P2a!F331</f>
        <v>48775769.2949325</v>
      </c>
      <c r="O269" s="76">
        <v>39520480.090227902</v>
      </c>
      <c r="P269" s="76">
        <v>37785839</v>
      </c>
      <c r="Q269" s="76">
        <v>43423640</v>
      </c>
      <c r="R269" s="76">
        <v>43234907.831572399</v>
      </c>
      <c r="S269" s="76">
        <v>46610590.122440301</v>
      </c>
      <c r="T269" s="76">
        <v>46709928.8448947</v>
      </c>
      <c r="U269" s="76">
        <v>47644049.940922901</v>
      </c>
      <c r="V269" s="76">
        <v>47121724.757915102</v>
      </c>
      <c r="W269" s="76">
        <v>47033937.8544451</v>
      </c>
      <c r="X269" s="46"/>
      <c r="Y269" s="451" t="s">
        <v>604</v>
      </c>
    </row>
    <row r="270" spans="1:25" ht="15.75" x14ac:dyDescent="0.25">
      <c r="A270" s="108"/>
      <c r="B270" s="121"/>
      <c r="C270" s="123"/>
      <c r="D270" s="72"/>
      <c r="E270" s="72"/>
      <c r="F270" s="72"/>
      <c r="G270" s="72"/>
      <c r="H270" s="72"/>
      <c r="I270" s="72"/>
      <c r="J270" s="72"/>
      <c r="K270" s="72"/>
      <c r="L270" s="72"/>
      <c r="M270" s="72"/>
      <c r="N270" s="72"/>
      <c r="O270" s="72"/>
      <c r="P270" s="72"/>
      <c r="Q270" s="72"/>
      <c r="R270" s="72"/>
      <c r="S270" s="72"/>
      <c r="T270" s="72"/>
      <c r="U270" s="72"/>
      <c r="V270" s="72"/>
      <c r="W270" s="72"/>
    </row>
    <row r="271" spans="1:25" ht="15.75" x14ac:dyDescent="0.25">
      <c r="B271" s="80" t="s">
        <v>605</v>
      </c>
      <c r="C271" s="116"/>
      <c r="V271" s="60"/>
      <c r="W271" s="60"/>
    </row>
    <row r="272" spans="1:25" ht="15" x14ac:dyDescent="0.2">
      <c r="A272" s="62" t="s">
        <v>606</v>
      </c>
      <c r="B272" s="71" t="s">
        <v>222</v>
      </c>
      <c r="C272" s="75" t="s">
        <v>223</v>
      </c>
      <c r="D272" s="76">
        <v>70</v>
      </c>
      <c r="E272" s="76">
        <v>57</v>
      </c>
      <c r="F272" s="76">
        <v>51</v>
      </c>
      <c r="G272" s="76">
        <v>49</v>
      </c>
      <c r="H272" s="76">
        <v>47</v>
      </c>
      <c r="I272" s="76">
        <v>47</v>
      </c>
      <c r="J272" s="76">
        <v>47</v>
      </c>
      <c r="K272" s="76">
        <v>47</v>
      </c>
      <c r="L272" s="76">
        <f>+P2a!D334</f>
        <v>48</v>
      </c>
      <c r="M272" s="76">
        <f>+P2a!E334</f>
        <v>49</v>
      </c>
      <c r="N272" s="76">
        <f>+P2a!F334</f>
        <v>49</v>
      </c>
      <c r="O272" s="76">
        <v>50</v>
      </c>
      <c r="P272" s="76">
        <v>50</v>
      </c>
      <c r="Q272" s="76">
        <v>51</v>
      </c>
      <c r="R272" s="76">
        <v>51</v>
      </c>
      <c r="S272" s="76">
        <v>53</v>
      </c>
      <c r="T272" s="76">
        <v>53</v>
      </c>
      <c r="U272" s="76">
        <v>55</v>
      </c>
      <c r="V272" s="76">
        <v>55</v>
      </c>
      <c r="W272" s="76">
        <v>59.84</v>
      </c>
      <c r="X272" s="46"/>
      <c r="Y272" s="451" t="s">
        <v>607</v>
      </c>
    </row>
    <row r="273" spans="1:25" ht="15" x14ac:dyDescent="0.2">
      <c r="A273" s="62" t="s">
        <v>608</v>
      </c>
      <c r="B273" s="77" t="s">
        <v>226</v>
      </c>
      <c r="C273" s="75" t="s">
        <v>223</v>
      </c>
      <c r="D273" s="76">
        <v>140</v>
      </c>
      <c r="E273" s="76">
        <v>115</v>
      </c>
      <c r="F273" s="76">
        <v>105</v>
      </c>
      <c r="G273" s="76">
        <v>102</v>
      </c>
      <c r="H273" s="76">
        <v>98</v>
      </c>
      <c r="I273" s="76">
        <v>99</v>
      </c>
      <c r="J273" s="76">
        <v>99</v>
      </c>
      <c r="K273" s="76">
        <v>100</v>
      </c>
      <c r="L273" s="76">
        <f>+P2a!D335</f>
        <v>101</v>
      </c>
      <c r="M273" s="76">
        <f>+P2a!E335</f>
        <v>102</v>
      </c>
      <c r="N273" s="76">
        <f>+P2a!F335</f>
        <v>102</v>
      </c>
      <c r="O273" s="76">
        <v>103</v>
      </c>
      <c r="P273" s="76">
        <v>103</v>
      </c>
      <c r="Q273" s="76">
        <v>106</v>
      </c>
      <c r="R273" s="76">
        <v>106</v>
      </c>
      <c r="S273" s="76">
        <v>110</v>
      </c>
      <c r="T273" s="76">
        <v>110</v>
      </c>
      <c r="U273" s="76">
        <v>116</v>
      </c>
      <c r="V273" s="76">
        <v>116</v>
      </c>
      <c r="W273" s="76">
        <v>126.2</v>
      </c>
      <c r="X273" s="46"/>
      <c r="Y273" s="451" t="s">
        <v>609</v>
      </c>
    </row>
    <row r="274" spans="1:25" ht="15" x14ac:dyDescent="0.2">
      <c r="A274" s="62" t="s">
        <v>610</v>
      </c>
      <c r="B274" s="77" t="s">
        <v>229</v>
      </c>
      <c r="C274" s="75" t="s">
        <v>223</v>
      </c>
      <c r="D274" s="76">
        <v>553</v>
      </c>
      <c r="E274" s="76">
        <v>454</v>
      </c>
      <c r="F274" s="76">
        <v>413</v>
      </c>
      <c r="G274" s="76">
        <v>400</v>
      </c>
      <c r="H274" s="76">
        <v>385</v>
      </c>
      <c r="I274" s="76">
        <v>389</v>
      </c>
      <c r="J274" s="76">
        <v>387</v>
      </c>
      <c r="K274" s="76">
        <v>389</v>
      </c>
      <c r="L274" s="76">
        <f>+P2a!D336</f>
        <v>397</v>
      </c>
      <c r="M274" s="76">
        <f>+P2a!E336</f>
        <v>404</v>
      </c>
      <c r="N274" s="76">
        <f>+P2a!F336</f>
        <v>404</v>
      </c>
      <c r="O274" s="76">
        <v>412</v>
      </c>
      <c r="P274" s="76">
        <v>412</v>
      </c>
      <c r="Q274" s="76">
        <v>422</v>
      </c>
      <c r="R274" s="76">
        <v>422</v>
      </c>
      <c r="S274" s="76">
        <v>440</v>
      </c>
      <c r="T274" s="76">
        <v>440</v>
      </c>
      <c r="U274" s="76">
        <v>462</v>
      </c>
      <c r="V274" s="76">
        <v>462</v>
      </c>
      <c r="W274" s="76">
        <v>502</v>
      </c>
      <c r="X274" s="46"/>
      <c r="Y274" s="451" t="s">
        <v>440</v>
      </c>
    </row>
    <row r="275" spans="1:25" ht="15" x14ac:dyDescent="0.2">
      <c r="A275" s="62" t="s">
        <v>611</v>
      </c>
      <c r="B275" s="77" t="s">
        <v>232</v>
      </c>
      <c r="C275" s="75" t="s">
        <v>223</v>
      </c>
      <c r="D275" s="76">
        <v>823</v>
      </c>
      <c r="E275" s="76">
        <v>677</v>
      </c>
      <c r="F275" s="76">
        <v>615</v>
      </c>
      <c r="G275" s="76">
        <v>596</v>
      </c>
      <c r="H275" s="76">
        <v>574</v>
      </c>
      <c r="I275" s="76">
        <v>580</v>
      </c>
      <c r="J275" s="76">
        <v>578</v>
      </c>
      <c r="K275" s="76">
        <v>581</v>
      </c>
      <c r="L275" s="76">
        <f>+P2a!D337</f>
        <v>593</v>
      </c>
      <c r="M275" s="76">
        <f>+P2a!E337</f>
        <v>605</v>
      </c>
      <c r="N275" s="76">
        <f>+P2a!F337</f>
        <v>605</v>
      </c>
      <c r="O275" s="76">
        <v>617</v>
      </c>
      <c r="P275" s="76">
        <v>617</v>
      </c>
      <c r="Q275" s="76">
        <v>632</v>
      </c>
      <c r="R275" s="76">
        <v>632</v>
      </c>
      <c r="S275" s="76">
        <v>659</v>
      </c>
      <c r="T275" s="76">
        <v>659</v>
      </c>
      <c r="U275" s="76">
        <v>692</v>
      </c>
      <c r="V275" s="76">
        <v>692</v>
      </c>
      <c r="W275" s="76">
        <v>753</v>
      </c>
      <c r="X275" s="46"/>
      <c r="Y275" s="451" t="s">
        <v>290</v>
      </c>
    </row>
    <row r="276" spans="1:25" ht="15" x14ac:dyDescent="0.2">
      <c r="A276" s="62" t="s">
        <v>612</v>
      </c>
      <c r="B276" s="77" t="s">
        <v>235</v>
      </c>
      <c r="C276" s="75" t="s">
        <v>223</v>
      </c>
      <c r="D276" s="76">
        <v>2230</v>
      </c>
      <c r="E276" s="76">
        <v>1834</v>
      </c>
      <c r="F276" s="76">
        <v>1667</v>
      </c>
      <c r="G276" s="76">
        <v>1616</v>
      </c>
      <c r="H276" s="76">
        <v>1556</v>
      </c>
      <c r="I276" s="76">
        <v>1572</v>
      </c>
      <c r="J276" s="76">
        <v>1566</v>
      </c>
      <c r="K276" s="76">
        <v>1575</v>
      </c>
      <c r="L276" s="76">
        <f>+P2a!D338</f>
        <v>1607</v>
      </c>
      <c r="M276" s="76">
        <f>+P2a!E338</f>
        <v>1639</v>
      </c>
      <c r="N276" s="76">
        <f>+P2a!F338</f>
        <v>1639</v>
      </c>
      <c r="O276" s="76">
        <v>1672</v>
      </c>
      <c r="P276" s="76">
        <v>1672</v>
      </c>
      <c r="Q276" s="76">
        <v>1714</v>
      </c>
      <c r="R276" s="76">
        <v>1714</v>
      </c>
      <c r="S276" s="76">
        <v>1786</v>
      </c>
      <c r="T276" s="76">
        <v>1786</v>
      </c>
      <c r="U276" s="76">
        <v>1875</v>
      </c>
      <c r="V276" s="76">
        <v>1875</v>
      </c>
      <c r="W276" s="76">
        <v>2040</v>
      </c>
      <c r="X276" s="46"/>
      <c r="Y276" s="451" t="s">
        <v>613</v>
      </c>
    </row>
    <row r="277" spans="1:25" ht="15" x14ac:dyDescent="0.2">
      <c r="A277" s="62" t="s">
        <v>614</v>
      </c>
      <c r="B277" s="77" t="s">
        <v>364</v>
      </c>
      <c r="C277" s="75" t="s">
        <v>223</v>
      </c>
      <c r="D277" s="76">
        <v>3961</v>
      </c>
      <c r="E277" s="76">
        <v>3257</v>
      </c>
      <c r="F277" s="76">
        <v>2962</v>
      </c>
      <c r="G277" s="76">
        <v>2871</v>
      </c>
      <c r="H277" s="76">
        <v>2765</v>
      </c>
      <c r="I277" s="76">
        <v>2793</v>
      </c>
      <c r="J277" s="76">
        <v>2782</v>
      </c>
      <c r="K277" s="76">
        <v>2799</v>
      </c>
      <c r="L277" s="76">
        <f>+P2a!D339</f>
        <v>2855</v>
      </c>
      <c r="M277" s="76">
        <f>+P2a!E339</f>
        <v>2912</v>
      </c>
      <c r="N277" s="76">
        <f>+P2a!F339</f>
        <v>2912</v>
      </c>
      <c r="O277" s="76">
        <v>2970</v>
      </c>
      <c r="P277" s="76">
        <v>2970</v>
      </c>
      <c r="Q277" s="76">
        <v>3044</v>
      </c>
      <c r="R277" s="76">
        <v>3044</v>
      </c>
      <c r="S277" s="76">
        <v>3172</v>
      </c>
      <c r="T277" s="76">
        <v>3172</v>
      </c>
      <c r="U277" s="76">
        <v>3331</v>
      </c>
      <c r="V277" s="76">
        <v>3331</v>
      </c>
      <c r="W277" s="76">
        <v>3624</v>
      </c>
      <c r="X277" s="46"/>
      <c r="Y277" s="451" t="s">
        <v>615</v>
      </c>
    </row>
    <row r="278" spans="1:25" ht="15" x14ac:dyDescent="0.2">
      <c r="A278" s="62" t="s">
        <v>616</v>
      </c>
      <c r="B278" s="71" t="s">
        <v>367</v>
      </c>
      <c r="C278" s="75" t="s">
        <v>223</v>
      </c>
      <c r="D278" s="76">
        <v>12690</v>
      </c>
      <c r="E278" s="76">
        <v>10436</v>
      </c>
      <c r="F278" s="76">
        <v>9488</v>
      </c>
      <c r="G278" s="76">
        <v>9198</v>
      </c>
      <c r="H278" s="76">
        <v>8858</v>
      </c>
      <c r="I278" s="76">
        <v>8947</v>
      </c>
      <c r="J278" s="76">
        <v>8911</v>
      </c>
      <c r="K278" s="76">
        <v>8964</v>
      </c>
      <c r="L278" s="76">
        <f>+P2a!D340</f>
        <v>9143</v>
      </c>
      <c r="M278" s="76">
        <f>+P2a!E340</f>
        <v>9326</v>
      </c>
      <c r="N278" s="76">
        <f>+P2a!F340</f>
        <v>9326</v>
      </c>
      <c r="O278" s="76">
        <v>9513</v>
      </c>
      <c r="P278" s="76">
        <v>9513</v>
      </c>
      <c r="Q278" s="76">
        <v>9751</v>
      </c>
      <c r="R278" s="76">
        <v>9751</v>
      </c>
      <c r="S278" s="76">
        <v>10161</v>
      </c>
      <c r="T278" s="76">
        <v>10161</v>
      </c>
      <c r="U278" s="76">
        <v>10669</v>
      </c>
      <c r="V278" s="76">
        <v>10669</v>
      </c>
      <c r="W278" s="76">
        <v>11608</v>
      </c>
      <c r="X278" s="46"/>
      <c r="Y278" s="451" t="s">
        <v>446</v>
      </c>
    </row>
    <row r="279" spans="1:25" ht="15.75" x14ac:dyDescent="0.25">
      <c r="A279" s="108"/>
      <c r="B279" s="121"/>
      <c r="C279" s="123"/>
      <c r="D279" s="72"/>
      <c r="E279" s="72"/>
      <c r="F279" s="72"/>
      <c r="G279" s="72"/>
      <c r="H279" s="72"/>
      <c r="I279" s="72"/>
      <c r="J279" s="72"/>
      <c r="K279" s="72"/>
      <c r="L279" s="72"/>
      <c r="M279" s="72"/>
      <c r="N279" s="72"/>
      <c r="O279" s="72"/>
      <c r="P279" s="72"/>
      <c r="Q279" s="72"/>
      <c r="R279" s="72"/>
      <c r="S279" s="72"/>
      <c r="T279" s="72"/>
      <c r="U279" s="72"/>
      <c r="V279" s="72"/>
      <c r="W279" s="72"/>
    </row>
    <row r="280" spans="1:25" ht="15.75" x14ac:dyDescent="0.25">
      <c r="B280" s="80" t="s">
        <v>542</v>
      </c>
      <c r="C280" s="116"/>
      <c r="V280" s="60"/>
      <c r="W280" s="60"/>
    </row>
    <row r="281" spans="1:25" ht="15" x14ac:dyDescent="0.2">
      <c r="A281" s="62" t="s">
        <v>617</v>
      </c>
      <c r="B281" s="71" t="s">
        <v>298</v>
      </c>
      <c r="C281" s="75" t="s">
        <v>223</v>
      </c>
      <c r="D281" s="85">
        <v>0.93559999999999999</v>
      </c>
      <c r="E281" s="85">
        <v>0.76939999999999997</v>
      </c>
      <c r="F281" s="85">
        <v>0.69950000000000001</v>
      </c>
      <c r="G281" s="85">
        <v>0.67810000000000004</v>
      </c>
      <c r="H281" s="85">
        <v>0.65300000000000002</v>
      </c>
      <c r="I281" s="85">
        <v>0.65949999999999998</v>
      </c>
      <c r="J281" s="85">
        <v>0.65690000000000004</v>
      </c>
      <c r="K281" s="85">
        <v>0.66080000000000005</v>
      </c>
      <c r="L281" s="85">
        <f>+P2a!D343</f>
        <v>0.67400000000000004</v>
      </c>
      <c r="M281" s="85">
        <f>+P2a!E343</f>
        <v>0.6875</v>
      </c>
      <c r="N281" s="85">
        <f>+P2a!F343</f>
        <v>0.6875</v>
      </c>
      <c r="O281" s="85">
        <v>0.70130000000000003</v>
      </c>
      <c r="P281" s="85">
        <v>0.70130000000000003</v>
      </c>
      <c r="Q281" s="85">
        <v>0.71879999999999999</v>
      </c>
      <c r="R281" s="85">
        <v>0.71879999999999999</v>
      </c>
      <c r="S281" s="85">
        <v>0.749</v>
      </c>
      <c r="T281" s="85">
        <v>0.749</v>
      </c>
      <c r="U281" s="85">
        <v>0.78649999999999998</v>
      </c>
      <c r="V281" s="85">
        <v>0.78649999999999998</v>
      </c>
      <c r="W281" s="85">
        <v>0.85570000000000002</v>
      </c>
      <c r="X281" s="46"/>
      <c r="Y281" s="451" t="s">
        <v>544</v>
      </c>
    </row>
    <row r="282" spans="1:25" ht="15" x14ac:dyDescent="0.2">
      <c r="A282" s="62" t="s">
        <v>618</v>
      </c>
      <c r="B282" s="71" t="s">
        <v>546</v>
      </c>
      <c r="C282" s="75" t="s">
        <v>223</v>
      </c>
      <c r="D282" s="85">
        <v>1.1217999999999999</v>
      </c>
      <c r="E282" s="85">
        <v>0.92249999999999999</v>
      </c>
      <c r="F282" s="85">
        <v>0.83879999999999999</v>
      </c>
      <c r="G282" s="85">
        <v>0.81310000000000004</v>
      </c>
      <c r="H282" s="85">
        <v>0.78300000000000003</v>
      </c>
      <c r="I282" s="85">
        <v>0.79079999999999995</v>
      </c>
      <c r="J282" s="85">
        <v>0.78720000000000001</v>
      </c>
      <c r="K282" s="85">
        <v>0.79190000000000005</v>
      </c>
      <c r="L282" s="85">
        <f>+P2a!D344</f>
        <v>0.80769999999999997</v>
      </c>
      <c r="M282" s="85">
        <f>+P2a!E344</f>
        <v>0.82389999999999997</v>
      </c>
      <c r="N282" s="85">
        <f>+P2a!F344</f>
        <v>0.82389999999999997</v>
      </c>
      <c r="O282" s="85">
        <v>0.84040000000000004</v>
      </c>
      <c r="P282" s="85">
        <v>0.84040000000000004</v>
      </c>
      <c r="Q282" s="85">
        <v>0.86140000000000005</v>
      </c>
      <c r="R282" s="85">
        <v>0.86140000000000005</v>
      </c>
      <c r="S282" s="85">
        <v>0.89759999999999995</v>
      </c>
      <c r="T282" s="85">
        <v>0.89759999999999995</v>
      </c>
      <c r="U282" s="85">
        <v>0.9425</v>
      </c>
      <c r="V282" s="85">
        <v>0.9425</v>
      </c>
      <c r="W282" s="85">
        <v>1.0254000000000001</v>
      </c>
      <c r="X282" s="46"/>
      <c r="Y282" s="451" t="s">
        <v>547</v>
      </c>
    </row>
    <row r="283" spans="1:25" ht="15" x14ac:dyDescent="0.2">
      <c r="A283" s="108"/>
      <c r="B283" s="106"/>
      <c r="C283" s="110"/>
      <c r="D283" s="72"/>
      <c r="E283" s="72"/>
      <c r="F283" s="72"/>
      <c r="G283" s="72"/>
      <c r="H283" s="72"/>
      <c r="I283" s="72"/>
      <c r="J283" s="72"/>
      <c r="K283" s="72"/>
      <c r="L283" s="72"/>
      <c r="M283" s="72"/>
      <c r="N283" s="72"/>
      <c r="O283" s="72"/>
      <c r="P283" s="72"/>
      <c r="Q283" s="72"/>
      <c r="R283" s="72"/>
      <c r="S283" s="72"/>
      <c r="T283" s="72"/>
      <c r="U283" s="72"/>
      <c r="V283" s="72"/>
      <c r="W283" s="72"/>
    </row>
    <row r="284" spans="1:25" ht="15.75" x14ac:dyDescent="0.25">
      <c r="B284" s="80" t="s">
        <v>481</v>
      </c>
      <c r="C284" s="116"/>
      <c r="V284" s="60"/>
      <c r="W284" s="60"/>
    </row>
    <row r="285" spans="1:25" ht="15" x14ac:dyDescent="0.2">
      <c r="A285" s="62" t="s">
        <v>619</v>
      </c>
      <c r="B285" s="71" t="s">
        <v>620</v>
      </c>
      <c r="C285" s="75" t="s">
        <v>223</v>
      </c>
      <c r="D285" s="76">
        <v>154457.18</v>
      </c>
      <c r="E285" s="76">
        <v>229381.75700000001</v>
      </c>
      <c r="F285" s="76">
        <v>147867.51</v>
      </c>
      <c r="G285" s="76">
        <v>168919.8</v>
      </c>
      <c r="H285" s="76">
        <v>178152.86</v>
      </c>
      <c r="I285" s="76">
        <v>165126.01</v>
      </c>
      <c r="J285" s="76">
        <v>178045.03</v>
      </c>
      <c r="K285" s="76">
        <v>179286.39999999999</v>
      </c>
      <c r="L285" s="76">
        <f>+P2a!D347</f>
        <v>70303.3</v>
      </c>
      <c r="M285" s="76">
        <f>+P2a!E347</f>
        <v>75686.877899999905</v>
      </c>
      <c r="N285" s="76">
        <f>+P2a!F347</f>
        <v>71196.950500000006</v>
      </c>
      <c r="O285" s="76">
        <v>96054.141799999998</v>
      </c>
      <c r="P285" s="76">
        <v>73708</v>
      </c>
      <c r="Q285" s="76">
        <v>82146</v>
      </c>
      <c r="R285" s="76">
        <v>61718.25</v>
      </c>
      <c r="S285" s="76">
        <v>0</v>
      </c>
      <c r="T285" s="76">
        <v>3275.25</v>
      </c>
      <c r="U285" s="76">
        <v>872.16</v>
      </c>
      <c r="V285" s="76">
        <v>-62.0289</v>
      </c>
      <c r="W285" s="76">
        <v>-110.715899999999</v>
      </c>
      <c r="X285" s="46"/>
      <c r="Y285" s="451" t="s">
        <v>621</v>
      </c>
    </row>
    <row r="286" spans="1:25" ht="15" x14ac:dyDescent="0.2">
      <c r="A286" s="62" t="s">
        <v>622</v>
      </c>
      <c r="B286" s="71" t="s">
        <v>623</v>
      </c>
      <c r="C286" s="75" t="s">
        <v>223</v>
      </c>
      <c r="D286" s="76">
        <v>145804.70989999999</v>
      </c>
      <c r="E286" s="76">
        <v>121070.4397</v>
      </c>
      <c r="F286" s="76">
        <v>170094.44510000001</v>
      </c>
      <c r="G286" s="76">
        <v>80853.002900000007</v>
      </c>
      <c r="H286" s="76">
        <v>94287.874100000001</v>
      </c>
      <c r="I286" s="76">
        <v>105940.2257</v>
      </c>
      <c r="J286" s="76">
        <v>129275.52190000001</v>
      </c>
      <c r="K286" s="76">
        <v>154847.51439999999</v>
      </c>
      <c r="L286" s="76">
        <f>+P2a!D348</f>
        <v>75239.027700000006</v>
      </c>
      <c r="M286" s="76">
        <f>+P2a!E348</f>
        <v>99247.954199999993</v>
      </c>
      <c r="N286" s="76">
        <f>+P2a!F348</f>
        <v>77179.753599999996</v>
      </c>
      <c r="O286" s="76">
        <v>107706.9436</v>
      </c>
      <c r="P286" s="76">
        <v>64302.17</v>
      </c>
      <c r="Q286" s="76">
        <v>93387</v>
      </c>
      <c r="R286" s="76">
        <v>51071.02</v>
      </c>
      <c r="S286" s="76">
        <v>0</v>
      </c>
      <c r="T286" s="76">
        <v>0</v>
      </c>
      <c r="U286" s="76">
        <v>0</v>
      </c>
      <c r="V286" s="76">
        <v>0</v>
      </c>
      <c r="W286" s="76">
        <v>0</v>
      </c>
      <c r="X286" s="46"/>
      <c r="Y286" s="451" t="s">
        <v>624</v>
      </c>
    </row>
    <row r="287" spans="1:25" ht="15.75" x14ac:dyDescent="0.25">
      <c r="A287" s="108"/>
      <c r="B287" s="121"/>
      <c r="C287" s="123"/>
      <c r="D287" s="72"/>
      <c r="E287" s="72"/>
      <c r="F287" s="72"/>
      <c r="G287" s="72"/>
      <c r="H287" s="72"/>
      <c r="I287" s="72"/>
      <c r="J287" s="72"/>
      <c r="K287" s="72"/>
      <c r="L287" s="72"/>
      <c r="M287" s="72"/>
      <c r="N287" s="72"/>
      <c r="O287" s="72"/>
      <c r="P287" s="72"/>
      <c r="Q287" s="72"/>
      <c r="R287" s="72"/>
      <c r="S287" s="72"/>
      <c r="T287" s="72"/>
      <c r="U287" s="72"/>
      <c r="V287" s="72"/>
      <c r="W287" s="72"/>
    </row>
    <row r="288" spans="1:25" ht="15.75" x14ac:dyDescent="0.25">
      <c r="B288" s="80" t="s">
        <v>318</v>
      </c>
      <c r="C288" s="116"/>
      <c r="W288" s="60"/>
    </row>
    <row r="289" spans="1:25" ht="15" x14ac:dyDescent="0.2">
      <c r="A289" s="62" t="s">
        <v>625</v>
      </c>
      <c r="B289" s="71" t="s">
        <v>626</v>
      </c>
      <c r="C289" s="63" t="s">
        <v>190</v>
      </c>
      <c r="D289" s="64">
        <f t="shared" ref="D289:W289" si="67">SUMPRODUCT(D251:D257,D272:D278)</f>
        <v>7446658.8285400039</v>
      </c>
      <c r="E289" s="64">
        <f t="shared" si="67"/>
        <v>6755613.6885245917</v>
      </c>
      <c r="F289" s="64">
        <f t="shared" si="67"/>
        <v>6203567.4493150357</v>
      </c>
      <c r="G289" s="64">
        <f t="shared" si="67"/>
        <v>6007627.772602722</v>
      </c>
      <c r="H289" s="64">
        <f t="shared" si="67"/>
        <v>5815663.2931507491</v>
      </c>
      <c r="I289" s="64">
        <f t="shared" si="67"/>
        <v>5846935.8196721515</v>
      </c>
      <c r="J289" s="64">
        <f t="shared" si="67"/>
        <v>5891132.8000000995</v>
      </c>
      <c r="K289" s="64">
        <f t="shared" si="67"/>
        <v>6532958.8794521382</v>
      </c>
      <c r="L289" s="64">
        <f t="shared" si="67"/>
        <v>6657488.400000087</v>
      </c>
      <c r="M289" s="64">
        <f t="shared" si="67"/>
        <v>6865968.5519125219</v>
      </c>
      <c r="N289" s="64">
        <f t="shared" si="67"/>
        <v>6847307.1885247426</v>
      </c>
      <c r="O289" s="64">
        <f t="shared" si="67"/>
        <v>7021343.6082189521</v>
      </c>
      <c r="P289" s="64">
        <f t="shared" si="67"/>
        <v>7019438.0191780748</v>
      </c>
      <c r="Q289" s="64">
        <f t="shared" si="67"/>
        <v>7235178.8164381115</v>
      </c>
      <c r="R289" s="64">
        <f t="shared" si="67"/>
        <v>7209785.2246574694</v>
      </c>
      <c r="S289" s="64">
        <f t="shared" si="67"/>
        <v>7571916.6876706602</v>
      </c>
      <c r="T289" s="64">
        <f t="shared" si="67"/>
        <v>7522661.2027397035</v>
      </c>
      <c r="U289" s="64">
        <f t="shared" si="67"/>
        <v>7906409.1174863577</v>
      </c>
      <c r="V289" s="64">
        <f t="shared" si="67"/>
        <v>7811731.0710382583</v>
      </c>
      <c r="W289" s="64">
        <f t="shared" si="67"/>
        <v>8525676.3243831303</v>
      </c>
      <c r="X289" s="46"/>
      <c r="Y289" s="451" t="s">
        <v>489</v>
      </c>
    </row>
    <row r="290" spans="1:25" ht="15" x14ac:dyDescent="0.2">
      <c r="A290" s="62" t="s">
        <v>627</v>
      </c>
      <c r="B290" s="71" t="s">
        <v>323</v>
      </c>
      <c r="C290" s="63" t="s">
        <v>190</v>
      </c>
      <c r="D290" s="64">
        <f t="shared" ref="D290:W290" si="68">D268*D281</f>
        <v>4176822.4560606824</v>
      </c>
      <c r="E290" s="64">
        <f t="shared" si="68"/>
        <v>3611330.4081458147</v>
      </c>
      <c r="F290" s="64">
        <f t="shared" si="68"/>
        <v>3338975.7675595172</v>
      </c>
      <c r="G290" s="64">
        <f t="shared" si="68"/>
        <v>3270152.9307373916</v>
      </c>
      <c r="H290" s="64">
        <f t="shared" si="68"/>
        <v>3150204.5722389091</v>
      </c>
      <c r="I290" s="64">
        <f t="shared" si="68"/>
        <v>3192714.1067483616</v>
      </c>
      <c r="J290" s="64">
        <f t="shared" si="68"/>
        <v>3146722.6013570921</v>
      </c>
      <c r="K290" s="64">
        <f t="shared" si="68"/>
        <v>3223224.9124412038</v>
      </c>
      <c r="L290" s="64">
        <f t="shared" si="68"/>
        <v>3256927.3406169941</v>
      </c>
      <c r="M290" s="64">
        <f t="shared" si="68"/>
        <v>3310981.616454937</v>
      </c>
      <c r="N290" s="64">
        <f t="shared" si="68"/>
        <v>3280205.7705071806</v>
      </c>
      <c r="O290" s="64">
        <f t="shared" si="68"/>
        <v>3351663.7409696905</v>
      </c>
      <c r="P290" s="64">
        <f t="shared" si="68"/>
        <v>3126473.9456000002</v>
      </c>
      <c r="Q290" s="64">
        <f t="shared" si="68"/>
        <v>3327799.608</v>
      </c>
      <c r="R290" s="64">
        <f t="shared" si="68"/>
        <v>3346883.3243806325</v>
      </c>
      <c r="S290" s="64">
        <f t="shared" si="68"/>
        <v>3542714.390094847</v>
      </c>
      <c r="T290" s="64">
        <f t="shared" si="68"/>
        <v>3576143.2920065126</v>
      </c>
      <c r="U290" s="64">
        <f t="shared" si="68"/>
        <v>3760111.9834052697</v>
      </c>
      <c r="V290" s="64">
        <f t="shared" si="68"/>
        <v>3758950.9410633049</v>
      </c>
      <c r="W290" s="64">
        <f t="shared" si="68"/>
        <v>4065778.9009399498</v>
      </c>
      <c r="X290" s="46"/>
      <c r="Y290" s="451" t="s">
        <v>491</v>
      </c>
    </row>
    <row r="291" spans="1:25" ht="15" x14ac:dyDescent="0.2">
      <c r="A291" s="62" t="s">
        <v>628</v>
      </c>
      <c r="B291" s="71" t="s">
        <v>326</v>
      </c>
      <c r="C291" s="63" t="s">
        <v>190</v>
      </c>
      <c r="D291" s="64">
        <f t="shared" ref="D291:W291" si="69">D269*D282</f>
        <v>54352486.09944348</v>
      </c>
      <c r="E291" s="64">
        <f t="shared" si="69"/>
        <v>43371984.305632524</v>
      </c>
      <c r="F291" s="64">
        <f t="shared" si="69"/>
        <v>38675267.92072197</v>
      </c>
      <c r="G291" s="64">
        <f t="shared" si="69"/>
        <v>38348797.140627407</v>
      </c>
      <c r="H291" s="64">
        <f t="shared" si="69"/>
        <v>36806571.588380709</v>
      </c>
      <c r="I291" s="64">
        <f t="shared" si="69"/>
        <v>37727665.834853329</v>
      </c>
      <c r="J291" s="64">
        <f t="shared" si="69"/>
        <v>38472312.340531692</v>
      </c>
      <c r="K291" s="64">
        <f t="shared" si="69"/>
        <v>39356993.082192652</v>
      </c>
      <c r="L291" s="64">
        <f t="shared" si="69"/>
        <v>40070999.539811581</v>
      </c>
      <c r="M291" s="64">
        <f t="shared" si="69"/>
        <v>41836281.694616884</v>
      </c>
      <c r="N291" s="64">
        <f t="shared" si="69"/>
        <v>40186356.322094887</v>
      </c>
      <c r="O291" s="64">
        <f t="shared" si="69"/>
        <v>33213011.467827529</v>
      </c>
      <c r="P291" s="64">
        <f t="shared" si="69"/>
        <v>31755219.095600002</v>
      </c>
      <c r="Q291" s="64">
        <f t="shared" si="69"/>
        <v>37405123.495999999</v>
      </c>
      <c r="R291" s="64">
        <f t="shared" si="69"/>
        <v>37242549.606116466</v>
      </c>
      <c r="S291" s="64">
        <f t="shared" si="69"/>
        <v>41837665.693902411</v>
      </c>
      <c r="T291" s="64">
        <f t="shared" si="69"/>
        <v>41926832.131177478</v>
      </c>
      <c r="U291" s="64">
        <f t="shared" si="69"/>
        <v>44904517.069319837</v>
      </c>
      <c r="V291" s="64">
        <f t="shared" si="69"/>
        <v>44412225.584334984</v>
      </c>
      <c r="W291" s="64">
        <f t="shared" si="69"/>
        <v>48228599.875948012</v>
      </c>
      <c r="X291" s="46"/>
      <c r="Y291" s="451" t="s">
        <v>493</v>
      </c>
    </row>
    <row r="292" spans="1:25" ht="15" x14ac:dyDescent="0.2">
      <c r="A292" s="62" t="s">
        <v>629</v>
      </c>
      <c r="B292" s="71" t="s">
        <v>495</v>
      </c>
      <c r="C292" s="63" t="s">
        <v>190</v>
      </c>
      <c r="D292" s="64">
        <f t="shared" ref="D292:W292" si="70">D286</f>
        <v>145804.70989999999</v>
      </c>
      <c r="E292" s="64">
        <f t="shared" si="70"/>
        <v>121070.4397</v>
      </c>
      <c r="F292" s="64">
        <f t="shared" si="70"/>
        <v>170094.44510000001</v>
      </c>
      <c r="G292" s="64">
        <f t="shared" si="70"/>
        <v>80853.002900000007</v>
      </c>
      <c r="H292" s="64">
        <f t="shared" si="70"/>
        <v>94287.874100000001</v>
      </c>
      <c r="I292" s="64">
        <f t="shared" si="70"/>
        <v>105940.2257</v>
      </c>
      <c r="J292" s="64">
        <f t="shared" si="70"/>
        <v>129275.52190000001</v>
      </c>
      <c r="K292" s="64">
        <f t="shared" si="70"/>
        <v>154847.51439999999</v>
      </c>
      <c r="L292" s="64">
        <f t="shared" si="70"/>
        <v>75239.027700000006</v>
      </c>
      <c r="M292" s="64">
        <f t="shared" si="70"/>
        <v>99247.954199999993</v>
      </c>
      <c r="N292" s="64">
        <f t="shared" si="70"/>
        <v>77179.753599999996</v>
      </c>
      <c r="O292" s="64">
        <f t="shared" si="70"/>
        <v>107706.9436</v>
      </c>
      <c r="P292" s="64">
        <f t="shared" si="70"/>
        <v>64302.17</v>
      </c>
      <c r="Q292" s="64">
        <f t="shared" si="70"/>
        <v>93387</v>
      </c>
      <c r="R292" s="64">
        <f t="shared" si="70"/>
        <v>51071.02</v>
      </c>
      <c r="S292" s="64">
        <f t="shared" si="70"/>
        <v>0</v>
      </c>
      <c r="T292" s="64">
        <f t="shared" si="70"/>
        <v>0</v>
      </c>
      <c r="U292" s="64">
        <f t="shared" si="70"/>
        <v>0</v>
      </c>
      <c r="V292" s="64">
        <f t="shared" si="70"/>
        <v>0</v>
      </c>
      <c r="W292" s="64">
        <f t="shared" si="70"/>
        <v>0</v>
      </c>
      <c r="X292" s="46"/>
      <c r="Y292" s="451" t="str">
        <f>Y286</f>
        <v>Total revenue from foul sewerage for customers subject to schedule 3 agreements</v>
      </c>
    </row>
    <row r="293" spans="1:25" ht="15" x14ac:dyDescent="0.2">
      <c r="A293" s="62" t="s">
        <v>630</v>
      </c>
      <c r="B293" s="71" t="s">
        <v>189</v>
      </c>
      <c r="C293" s="63" t="s">
        <v>190</v>
      </c>
      <c r="D293" s="64">
        <f t="shared" ref="D293:W293" si="71">SUM(D289:D292)</f>
        <v>66121772.09394417</v>
      </c>
      <c r="E293" s="64">
        <f t="shared" si="71"/>
        <v>53859998.842002928</v>
      </c>
      <c r="F293" s="64">
        <f t="shared" si="71"/>
        <v>48387905.582696527</v>
      </c>
      <c r="G293" s="64">
        <f t="shared" si="71"/>
        <v>47707430.846867517</v>
      </c>
      <c r="H293" s="64">
        <f t="shared" si="71"/>
        <v>45866727.327870369</v>
      </c>
      <c r="I293" s="64">
        <f t="shared" si="71"/>
        <v>46873255.986973844</v>
      </c>
      <c r="J293" s="64">
        <f t="shared" si="71"/>
        <v>47639443.263788879</v>
      </c>
      <c r="K293" s="64">
        <f t="shared" si="71"/>
        <v>49268024.38848599</v>
      </c>
      <c r="L293" s="64">
        <f t="shared" si="71"/>
        <v>50060654.308128662</v>
      </c>
      <c r="M293" s="64">
        <f t="shared" si="71"/>
        <v>52112479.817184344</v>
      </c>
      <c r="N293" s="64">
        <f t="shared" si="71"/>
        <v>50391049.034726813</v>
      </c>
      <c r="O293" s="64">
        <f t="shared" si="71"/>
        <v>43693725.760616168</v>
      </c>
      <c r="P293" s="64">
        <f t="shared" si="71"/>
        <v>41965433.230378076</v>
      </c>
      <c r="Q293" s="64">
        <f t="shared" si="71"/>
        <v>48061488.920438111</v>
      </c>
      <c r="R293" s="64">
        <f t="shared" si="71"/>
        <v>47850289.175154574</v>
      </c>
      <c r="S293" s="64">
        <f t="shared" si="71"/>
        <v>52952296.77166792</v>
      </c>
      <c r="T293" s="64">
        <f t="shared" si="71"/>
        <v>53025636.625923693</v>
      </c>
      <c r="U293" s="64">
        <f t="shared" si="71"/>
        <v>56571038.170211464</v>
      </c>
      <c r="V293" s="64">
        <f t="shared" si="71"/>
        <v>55982907.596436545</v>
      </c>
      <c r="W293" s="64">
        <f t="shared" si="71"/>
        <v>60820055.101271093</v>
      </c>
      <c r="X293" s="46"/>
      <c r="Y293" s="451" t="s">
        <v>175</v>
      </c>
    </row>
    <row r="294" spans="1:25" ht="15" x14ac:dyDescent="0.2">
      <c r="A294" s="108"/>
      <c r="B294" s="106"/>
      <c r="C294" s="110"/>
      <c r="D294" s="72"/>
      <c r="E294" s="72"/>
      <c r="F294" s="72"/>
      <c r="G294" s="72"/>
      <c r="H294" s="72"/>
      <c r="I294" s="72"/>
      <c r="J294" s="72"/>
      <c r="K294" s="72"/>
      <c r="L294" s="72"/>
      <c r="M294" s="72"/>
      <c r="N294" s="72"/>
      <c r="O294" s="72"/>
      <c r="P294" s="72"/>
      <c r="Q294" s="72"/>
      <c r="R294" s="72"/>
      <c r="S294" s="72"/>
      <c r="T294" s="72"/>
      <c r="U294" s="72"/>
      <c r="V294" s="72"/>
      <c r="W294" s="72"/>
    </row>
    <row r="295" spans="1:25" ht="31.5" x14ac:dyDescent="0.25">
      <c r="B295" s="80" t="s">
        <v>631</v>
      </c>
      <c r="C295" s="119"/>
      <c r="W295" s="84"/>
    </row>
    <row r="296" spans="1:25" ht="30" x14ac:dyDescent="0.2">
      <c r="A296" s="62" t="s">
        <v>632</v>
      </c>
      <c r="B296" s="62" t="s">
        <v>633</v>
      </c>
      <c r="C296" s="75" t="s">
        <v>223</v>
      </c>
      <c r="D296" s="76">
        <v>0</v>
      </c>
      <c r="E296" s="76">
        <v>0</v>
      </c>
      <c r="F296" s="76">
        <v>0</v>
      </c>
      <c r="G296" s="76">
        <v>217.1636</v>
      </c>
      <c r="H296" s="76">
        <v>108206.8419</v>
      </c>
      <c r="I296" s="76">
        <v>719660.48600000003</v>
      </c>
      <c r="J296" s="76">
        <v>1078054.9805000001</v>
      </c>
      <c r="K296" s="76">
        <v>1371965.8533999999</v>
      </c>
      <c r="L296" s="76">
        <f>+P2a!D358-L300</f>
        <v>1372272.9916999999</v>
      </c>
      <c r="M296" s="76">
        <f>+P2a!E358</f>
        <v>1784507.7345</v>
      </c>
      <c r="N296" s="76">
        <f>+P2a!F358</f>
        <v>1726221.83989999</v>
      </c>
      <c r="O296" s="76">
        <v>1712874.4494999901</v>
      </c>
      <c r="P296" s="76">
        <v>1629422</v>
      </c>
      <c r="Q296" s="76">
        <v>2029575</v>
      </c>
      <c r="R296" s="76">
        <v>1988693.3293999999</v>
      </c>
      <c r="S296" s="76">
        <v>2389379.89679999</v>
      </c>
      <c r="T296" s="76">
        <v>2363658.9609999899</v>
      </c>
      <c r="U296" s="76">
        <v>2682425.2897999901</v>
      </c>
      <c r="V296" s="76">
        <v>2562613.4999000002</v>
      </c>
      <c r="W296" s="76">
        <v>2761887.1833000001</v>
      </c>
      <c r="X296" s="46"/>
      <c r="Y296" s="451" t="s">
        <v>634</v>
      </c>
    </row>
    <row r="297" spans="1:25" ht="30" x14ac:dyDescent="0.2">
      <c r="A297" s="62" t="s">
        <v>635</v>
      </c>
      <c r="B297" s="62" t="s">
        <v>636</v>
      </c>
      <c r="C297" s="63" t="s">
        <v>190</v>
      </c>
      <c r="D297" s="89">
        <f t="shared" ref="D297:U297" si="72">D296/D293</f>
        <v>0</v>
      </c>
      <c r="E297" s="89">
        <f t="shared" si="72"/>
        <v>0</v>
      </c>
      <c r="F297" s="89">
        <f t="shared" si="72"/>
        <v>0</v>
      </c>
      <c r="G297" s="89">
        <f t="shared" si="72"/>
        <v>4.5519868948100988E-6</v>
      </c>
      <c r="H297" s="89">
        <f t="shared" si="72"/>
        <v>2.3591576771218514E-3</v>
      </c>
      <c r="I297" s="89">
        <f t="shared" si="72"/>
        <v>1.5353328264629085E-2</v>
      </c>
      <c r="J297" s="89">
        <f t="shared" si="72"/>
        <v>2.2629462198594547E-2</v>
      </c>
      <c r="K297" s="89">
        <f t="shared" si="72"/>
        <v>2.7846983320902761E-2</v>
      </c>
      <c r="L297" s="89">
        <f t="shared" si="72"/>
        <v>2.7412206465650915E-2</v>
      </c>
      <c r="M297" s="89">
        <f t="shared" si="72"/>
        <v>3.4243385476189714E-2</v>
      </c>
      <c r="N297" s="89">
        <f t="shared" si="72"/>
        <v>3.4256517238019202E-2</v>
      </c>
      <c r="O297" s="89">
        <f t="shared" si="72"/>
        <v>3.9201840073887877E-2</v>
      </c>
      <c r="P297" s="89">
        <f t="shared" si="72"/>
        <v>3.8827717828026347E-2</v>
      </c>
      <c r="Q297" s="89">
        <f t="shared" si="72"/>
        <v>4.2228716704132835E-2</v>
      </c>
      <c r="R297" s="89">
        <f t="shared" si="72"/>
        <v>4.1560737953337056E-2</v>
      </c>
      <c r="S297" s="89">
        <f t="shared" si="72"/>
        <v>4.5123253238723078E-2</v>
      </c>
      <c r="T297" s="89">
        <f t="shared" si="72"/>
        <v>4.4575777141059744E-2</v>
      </c>
      <c r="U297" s="89">
        <f t="shared" si="72"/>
        <v>4.7416935883854282E-2</v>
      </c>
      <c r="V297" s="89">
        <v>4.5774926846834901E-2</v>
      </c>
      <c r="W297" s="89">
        <v>4.5410797124422198E-2</v>
      </c>
      <c r="X297" s="46"/>
      <c r="Y297" s="451" t="s">
        <v>637</v>
      </c>
    </row>
    <row r="298" spans="1:25" ht="30" x14ac:dyDescent="0.2">
      <c r="A298" s="62" t="s">
        <v>638</v>
      </c>
      <c r="B298" s="62" t="s">
        <v>639</v>
      </c>
      <c r="C298" s="75" t="s">
        <v>223</v>
      </c>
      <c r="D298" s="76">
        <v>0</v>
      </c>
      <c r="E298" s="76">
        <v>0</v>
      </c>
      <c r="F298" s="76">
        <v>0</v>
      </c>
      <c r="G298" s="76">
        <v>0</v>
      </c>
      <c r="H298" s="76">
        <v>0</v>
      </c>
      <c r="I298" s="76">
        <v>0</v>
      </c>
      <c r="J298" s="76">
        <v>0</v>
      </c>
      <c r="K298" s="76">
        <v>998183.0307</v>
      </c>
      <c r="L298" s="76">
        <f>+P2a!D360-L300</f>
        <v>926688.95350000495</v>
      </c>
      <c r="M298" s="76">
        <f>+P2a!E360-M300</f>
        <v>807005.69570000004</v>
      </c>
      <c r="N298" s="76">
        <f>+P2a!F360-N300</f>
        <v>953674.39209998993</v>
      </c>
      <c r="O298" s="76">
        <v>968108.44509997999</v>
      </c>
      <c r="P298" s="76">
        <v>1072802</v>
      </c>
      <c r="Q298" s="76">
        <v>823489</v>
      </c>
      <c r="R298" s="76">
        <v>1173017.5197999999</v>
      </c>
      <c r="S298" s="76">
        <v>909934.0024</v>
      </c>
      <c r="T298" s="76">
        <v>1212614.3825000001</v>
      </c>
      <c r="U298" s="76">
        <v>843751.966599999</v>
      </c>
      <c r="V298" s="76">
        <v>1148202.6329999999</v>
      </c>
      <c r="W298" s="76">
        <v>901312.11559999897</v>
      </c>
      <c r="X298" s="46"/>
      <c r="Y298" s="451" t="s">
        <v>640</v>
      </c>
    </row>
    <row r="299" spans="1:25" ht="30" x14ac:dyDescent="0.2">
      <c r="A299" s="62" t="s">
        <v>641</v>
      </c>
      <c r="B299" s="62" t="s">
        <v>642</v>
      </c>
      <c r="C299" s="63" t="s">
        <v>190</v>
      </c>
      <c r="D299" s="89">
        <f t="shared" ref="D299:U299" si="73">D298/D293</f>
        <v>0</v>
      </c>
      <c r="E299" s="89">
        <f t="shared" si="73"/>
        <v>0</v>
      </c>
      <c r="F299" s="89">
        <f t="shared" si="73"/>
        <v>0</v>
      </c>
      <c r="G299" s="89">
        <f t="shared" si="73"/>
        <v>0</v>
      </c>
      <c r="H299" s="89">
        <f t="shared" si="73"/>
        <v>0</v>
      </c>
      <c r="I299" s="89">
        <f t="shared" si="73"/>
        <v>0</v>
      </c>
      <c r="J299" s="89">
        <f t="shared" si="73"/>
        <v>0</v>
      </c>
      <c r="K299" s="89">
        <f t="shared" si="73"/>
        <v>2.0260260951995405E-2</v>
      </c>
      <c r="L299" s="89">
        <f t="shared" si="73"/>
        <v>1.8511323239926825E-2</v>
      </c>
      <c r="M299" s="89">
        <f t="shared" si="73"/>
        <v>1.5485843286119844E-2</v>
      </c>
      <c r="N299" s="89">
        <f t="shared" si="73"/>
        <v>1.8925472090147766E-2</v>
      </c>
      <c r="O299" s="89">
        <f t="shared" si="73"/>
        <v>2.2156692482667509E-2</v>
      </c>
      <c r="P299" s="89">
        <f t="shared" si="73"/>
        <v>2.5563944356552397E-2</v>
      </c>
      <c r="Q299" s="89">
        <f t="shared" si="73"/>
        <v>1.7134071758850816E-2</v>
      </c>
      <c r="R299" s="89">
        <f t="shared" si="73"/>
        <v>2.4514324574010489E-2</v>
      </c>
      <c r="S299" s="89">
        <f t="shared" si="73"/>
        <v>1.7184032759214693E-2</v>
      </c>
      <c r="T299" s="89">
        <f t="shared" si="73"/>
        <v>2.2868454952357238E-2</v>
      </c>
      <c r="U299" s="89">
        <f t="shared" si="73"/>
        <v>1.4914910418672364E-2</v>
      </c>
      <c r="V299" s="89">
        <v>2.05098785021499E-2</v>
      </c>
      <c r="W299" s="89">
        <v>1.48193242196054E-2</v>
      </c>
      <c r="X299" s="46"/>
      <c r="Y299" s="451" t="s">
        <v>643</v>
      </c>
    </row>
    <row r="300" spans="1:25" ht="15" x14ac:dyDescent="0.2">
      <c r="A300" s="62" t="s">
        <v>644</v>
      </c>
      <c r="B300" s="62" t="s">
        <v>347</v>
      </c>
      <c r="C300" s="75" t="s">
        <v>223</v>
      </c>
      <c r="D300" s="76">
        <v>0</v>
      </c>
      <c r="E300" s="76">
        <v>0</v>
      </c>
      <c r="F300" s="76">
        <v>0</v>
      </c>
      <c r="G300" s="76">
        <v>0</v>
      </c>
      <c r="H300" s="76">
        <v>0</v>
      </c>
      <c r="I300" s="76">
        <v>0</v>
      </c>
      <c r="J300" s="76">
        <v>0</v>
      </c>
      <c r="K300" s="76">
        <v>37181.536399999997</v>
      </c>
      <c r="L300" s="76">
        <f>+P2a!D362</f>
        <v>45910.614300000001</v>
      </c>
      <c r="M300" s="76">
        <f>+P2a!E362</f>
        <v>38425.034299999999</v>
      </c>
      <c r="N300" s="76">
        <f>+P2a!F362</f>
        <v>54021.734100000103</v>
      </c>
      <c r="O300" s="76">
        <v>62407.757400000097</v>
      </c>
      <c r="P300" s="76">
        <v>67330</v>
      </c>
      <c r="Q300" s="76">
        <v>52276</v>
      </c>
      <c r="R300" s="76">
        <v>67276.217699999994</v>
      </c>
      <c r="S300" s="76">
        <v>49211.560899999997</v>
      </c>
      <c r="T300" s="76">
        <v>61494.407399999902</v>
      </c>
      <c r="U300" s="76">
        <v>44119.020299999902</v>
      </c>
      <c r="V300" s="76">
        <v>63740.689299999904</v>
      </c>
      <c r="W300" s="76">
        <v>59922.623799999899</v>
      </c>
      <c r="X300" s="46"/>
      <c r="Y300" s="451" t="s">
        <v>348</v>
      </c>
    </row>
    <row r="301" spans="1:25" ht="30" x14ac:dyDescent="0.2">
      <c r="A301" s="62" t="s">
        <v>645</v>
      </c>
      <c r="B301" s="62" t="s">
        <v>350</v>
      </c>
      <c r="C301" s="63" t="s">
        <v>190</v>
      </c>
      <c r="D301" s="89">
        <f t="shared" ref="D301:W301" si="74">D300/D293</f>
        <v>0</v>
      </c>
      <c r="E301" s="89">
        <f t="shared" si="74"/>
        <v>0</v>
      </c>
      <c r="F301" s="89">
        <f t="shared" si="74"/>
        <v>0</v>
      </c>
      <c r="G301" s="89">
        <f t="shared" si="74"/>
        <v>0</v>
      </c>
      <c r="H301" s="89">
        <f t="shared" si="74"/>
        <v>0</v>
      </c>
      <c r="I301" s="89">
        <f t="shared" si="74"/>
        <v>0</v>
      </c>
      <c r="J301" s="89">
        <f t="shared" si="74"/>
        <v>0</v>
      </c>
      <c r="K301" s="89">
        <f t="shared" si="74"/>
        <v>7.5467885837714611E-4</v>
      </c>
      <c r="L301" s="89">
        <f t="shared" si="74"/>
        <v>9.170997649654213E-4</v>
      </c>
      <c r="M301" s="89">
        <f t="shared" si="74"/>
        <v>7.3734802939331924E-4</v>
      </c>
      <c r="N301" s="89">
        <f t="shared" si="74"/>
        <v>1.0720501980971107E-3</v>
      </c>
      <c r="O301" s="89">
        <f t="shared" si="74"/>
        <v>1.4283002036015898E-3</v>
      </c>
      <c r="P301" s="89">
        <f t="shared" si="74"/>
        <v>1.6044157016175146E-3</v>
      </c>
      <c r="Q301" s="89">
        <f t="shared" si="74"/>
        <v>1.0876899816095725E-3</v>
      </c>
      <c r="R301" s="89">
        <f t="shared" si="74"/>
        <v>1.405973064316025E-3</v>
      </c>
      <c r="S301" s="89">
        <f t="shared" si="74"/>
        <v>9.2935649443501756E-4</v>
      </c>
      <c r="T301" s="89">
        <f t="shared" si="74"/>
        <v>1.1597108740781419E-3</v>
      </c>
      <c r="U301" s="89">
        <f t="shared" si="74"/>
        <v>7.7988705399491135E-4</v>
      </c>
      <c r="V301" s="89">
        <f t="shared" si="74"/>
        <v>1.1385741119322849E-3</v>
      </c>
      <c r="W301" s="89">
        <f t="shared" si="74"/>
        <v>9.8524448391608833E-4</v>
      </c>
      <c r="X301" s="46"/>
    </row>
    <row r="302" spans="1:25" ht="15" x14ac:dyDescent="0.2">
      <c r="A302" s="108"/>
      <c r="B302" s="109"/>
      <c r="C302" s="110"/>
      <c r="D302" s="72"/>
      <c r="E302" s="72"/>
      <c r="F302" s="72"/>
      <c r="G302" s="72"/>
      <c r="H302" s="72"/>
      <c r="I302" s="72"/>
      <c r="J302" s="72"/>
      <c r="K302" s="72"/>
      <c r="L302" s="72"/>
      <c r="M302" s="72"/>
      <c r="N302" s="72"/>
      <c r="O302" s="72"/>
      <c r="P302" s="72"/>
      <c r="Q302" s="72"/>
      <c r="R302" s="72"/>
      <c r="S302" s="72"/>
      <c r="T302" s="72"/>
      <c r="U302" s="72"/>
      <c r="V302" s="72"/>
      <c r="W302" s="72"/>
    </row>
    <row r="303" spans="1:25" ht="15" x14ac:dyDescent="0.2">
      <c r="W303" s="59"/>
    </row>
    <row r="304" spans="1:25" ht="15" x14ac:dyDescent="0.2">
      <c r="W304" s="59"/>
    </row>
    <row r="305" spans="1:25" ht="15.75" x14ac:dyDescent="0.25">
      <c r="B305" s="73" t="s">
        <v>646</v>
      </c>
      <c r="U305" s="60"/>
      <c r="V305" s="60"/>
      <c r="W305" s="60"/>
    </row>
    <row r="306" spans="1:25" ht="31.5" x14ac:dyDescent="0.25">
      <c r="B306" s="80" t="s">
        <v>647</v>
      </c>
      <c r="C306" s="31" t="s">
        <v>159</v>
      </c>
      <c r="D306" s="61" t="str">
        <f t="shared" ref="D306:O306" si="75">+D$14</f>
        <v>2010-11 RF</v>
      </c>
      <c r="E306" s="61" t="str">
        <f t="shared" si="75"/>
        <v>2011-12 RF</v>
      </c>
      <c r="F306" s="61" t="str">
        <f t="shared" si="75"/>
        <v>2012-13 RF</v>
      </c>
      <c r="G306" s="61" t="str">
        <f t="shared" si="75"/>
        <v>2013-14 RF</v>
      </c>
      <c r="H306" s="61" t="str">
        <f t="shared" si="75"/>
        <v>2014-15 RF</v>
      </c>
      <c r="I306" s="61" t="str">
        <f t="shared" si="75"/>
        <v>2015-16 RF</v>
      </c>
      <c r="J306" s="61" t="str">
        <f t="shared" si="75"/>
        <v>2016-17 RF</v>
      </c>
      <c r="K306" s="61" t="str">
        <f t="shared" si="75"/>
        <v>2017-18 RF</v>
      </c>
      <c r="L306" s="61" t="str">
        <f t="shared" si="75"/>
        <v>2018-19 RF</v>
      </c>
      <c r="M306" s="61" t="str">
        <f t="shared" si="75"/>
        <v>2019-20 month</v>
      </c>
      <c r="N306" s="61" t="str">
        <f t="shared" si="75"/>
        <v>2019-20 RF</v>
      </c>
      <c r="O306" s="61" t="str">
        <f t="shared" si="75"/>
        <v>2020-21 month</v>
      </c>
      <c r="P306" s="61" t="s">
        <v>18</v>
      </c>
      <c r="Q306" s="61" t="s">
        <v>162</v>
      </c>
      <c r="R306" s="61" t="s">
        <v>20</v>
      </c>
      <c r="S306" s="61" t="s">
        <v>163</v>
      </c>
      <c r="T306" s="61" t="s">
        <v>22</v>
      </c>
      <c r="U306" s="61" t="s">
        <v>23</v>
      </c>
      <c r="V306" s="61" t="s">
        <v>24</v>
      </c>
      <c r="W306" s="61" t="s">
        <v>25</v>
      </c>
      <c r="X306" s="46"/>
    </row>
    <row r="307" spans="1:25" ht="15" x14ac:dyDescent="0.2">
      <c r="A307" s="62" t="s">
        <v>648</v>
      </c>
      <c r="B307" s="71" t="s">
        <v>649</v>
      </c>
      <c r="C307" s="75" t="s">
        <v>223</v>
      </c>
      <c r="D307" s="76">
        <v>2614732222.5205302</v>
      </c>
      <c r="E307" s="76">
        <v>2655234622.5567598</v>
      </c>
      <c r="F307" s="76">
        <v>2744554672.0861602</v>
      </c>
      <c r="G307" s="76">
        <v>2779583031.0562901</v>
      </c>
      <c r="H307" s="76">
        <v>2874867748.95186</v>
      </c>
      <c r="I307" s="76">
        <v>3069356313.7407398</v>
      </c>
      <c r="J307" s="76">
        <v>3209828348.5939898</v>
      </c>
      <c r="K307" s="76">
        <v>3609328387.52881</v>
      </c>
      <c r="L307" s="76">
        <f>+P2a!D367+(P2a!D369/3*2)+(P2a!D371/3)</f>
        <v>4093044862.1558809</v>
      </c>
      <c r="M307" s="76">
        <f>+P2a!E367+(P2a!E369/3)+(P2a!E371/3*2)</f>
        <v>4569185717.5262146</v>
      </c>
      <c r="N307" s="76">
        <f>+P2a!F367+(P2a!F369/3)+(P2a!F371/3*2)</f>
        <v>4554479015.252203</v>
      </c>
      <c r="O307" s="76">
        <v>4869057750.72507</v>
      </c>
      <c r="P307" s="76">
        <v>4875400741</v>
      </c>
      <c r="Q307" s="76">
        <v>4899792604</v>
      </c>
      <c r="R307" s="76">
        <v>4855415661.4207296</v>
      </c>
      <c r="S307" s="76">
        <v>4894168968.3231697</v>
      </c>
      <c r="T307" s="76">
        <v>4851172786.8272696</v>
      </c>
      <c r="U307" s="76">
        <v>5014328274.6553497</v>
      </c>
      <c r="V307" s="76">
        <v>4896830520.5959797</v>
      </c>
      <c r="W307" s="76">
        <v>5003956738.7146196</v>
      </c>
      <c r="X307" s="46"/>
      <c r="Y307" s="451" t="s">
        <v>650</v>
      </c>
    </row>
    <row r="308" spans="1:25" ht="15" x14ac:dyDescent="0.2">
      <c r="A308" s="62" t="s">
        <v>651</v>
      </c>
      <c r="B308" s="71" t="s">
        <v>652</v>
      </c>
      <c r="C308" s="75" t="s">
        <v>223</v>
      </c>
      <c r="D308" s="76">
        <v>2845743915.7972498</v>
      </c>
      <c r="E308" s="76">
        <v>3017787633.69101</v>
      </c>
      <c r="F308" s="76">
        <v>3148282401.7379398</v>
      </c>
      <c r="G308" s="76">
        <v>3213655806.5432501</v>
      </c>
      <c r="H308" s="76">
        <v>3297537497.36515</v>
      </c>
      <c r="I308" s="76">
        <v>3459572375.1382799</v>
      </c>
      <c r="J308" s="76">
        <v>3605182422.6898799</v>
      </c>
      <c r="K308" s="76">
        <v>4002472959.93155</v>
      </c>
      <c r="L308" s="76">
        <f>+P2a!D368+(P2a!D370/3*2)+(P2a!D372/3)</f>
        <v>4540375178.9290533</v>
      </c>
      <c r="M308" s="76">
        <f>+P2a!E368+(P2a!E370/3)+(P2a!E372/3*2)</f>
        <v>5071578705.0197134</v>
      </c>
      <c r="N308" s="76">
        <f>+P2a!F368+(P2a!F370/3)+(P2a!F372/3*2)</f>
        <v>5066213581.3315439</v>
      </c>
      <c r="O308" s="76">
        <v>5427136670.6909504</v>
      </c>
      <c r="P308" s="76">
        <v>5451578602</v>
      </c>
      <c r="Q308" s="76">
        <v>0</v>
      </c>
      <c r="R308" s="76">
        <v>0</v>
      </c>
      <c r="S308" s="76">
        <v>0</v>
      </c>
      <c r="T308" s="76">
        <v>0</v>
      </c>
      <c r="U308" s="76">
        <v>0</v>
      </c>
      <c r="V308" s="76">
        <v>0</v>
      </c>
      <c r="W308" s="76">
        <v>0</v>
      </c>
      <c r="X308" s="46"/>
      <c r="Y308" s="454" t="s">
        <v>653</v>
      </c>
    </row>
    <row r="309" spans="1:25" ht="15" x14ac:dyDescent="0.2">
      <c r="A309" s="62" t="s">
        <v>654</v>
      </c>
      <c r="B309" s="71" t="s">
        <v>655</v>
      </c>
      <c r="C309" s="75" t="s">
        <v>223</v>
      </c>
      <c r="D309" s="76">
        <v>10355</v>
      </c>
      <c r="E309" s="76">
        <v>10355</v>
      </c>
      <c r="F309" s="76">
        <v>10355</v>
      </c>
      <c r="G309" s="76">
        <v>10774</v>
      </c>
      <c r="H309" s="76">
        <v>10505</v>
      </c>
      <c r="I309" s="76">
        <v>11200</v>
      </c>
      <c r="J309" s="76">
        <v>11163</v>
      </c>
      <c r="K309" s="76">
        <v>11144</v>
      </c>
      <c r="L309" s="76">
        <f>P2a!D373</f>
        <v>11144</v>
      </c>
      <c r="M309" s="76">
        <f>P2a!E373</f>
        <v>11144</v>
      </c>
      <c r="N309" s="76">
        <f>P2a!F373</f>
        <v>8159</v>
      </c>
      <c r="O309" s="76">
        <v>36269</v>
      </c>
      <c r="P309" s="76">
        <v>43470</v>
      </c>
      <c r="Q309" s="76">
        <v>46310</v>
      </c>
      <c r="R309" s="76">
        <v>58171.061643835601</v>
      </c>
      <c r="S309" s="76">
        <v>63045.2307692307</v>
      </c>
      <c r="T309" s="76">
        <v>63222</v>
      </c>
      <c r="U309" s="76">
        <v>64396.256410256399</v>
      </c>
      <c r="V309" s="76">
        <v>64996</v>
      </c>
      <c r="W309" s="76">
        <v>65891.833333333299</v>
      </c>
      <c r="X309" s="46"/>
      <c r="Y309" s="451" t="s">
        <v>656</v>
      </c>
    </row>
    <row r="310" spans="1:25" ht="15" x14ac:dyDescent="0.2">
      <c r="A310" s="105"/>
      <c r="B310" s="106"/>
      <c r="C310" s="120"/>
      <c r="D310" s="69"/>
      <c r="E310" s="69"/>
      <c r="F310" s="69"/>
      <c r="G310" s="69"/>
      <c r="H310" s="69"/>
      <c r="I310" s="69"/>
      <c r="J310" s="69"/>
      <c r="K310" s="69"/>
      <c r="L310" s="69"/>
      <c r="M310" s="69"/>
      <c r="N310" s="69"/>
      <c r="O310" s="69"/>
      <c r="P310" s="69"/>
      <c r="Q310" s="69"/>
      <c r="R310" s="69"/>
      <c r="S310" s="69"/>
      <c r="T310" s="69"/>
      <c r="U310" s="69"/>
      <c r="V310" s="69"/>
      <c r="W310" s="69"/>
    </row>
    <row r="311" spans="1:25" ht="15" x14ac:dyDescent="0.2">
      <c r="A311" s="62" t="s">
        <v>657</v>
      </c>
      <c r="B311" s="77" t="s">
        <v>658</v>
      </c>
      <c r="C311" s="75" t="s">
        <v>223</v>
      </c>
      <c r="D311" s="76">
        <v>0</v>
      </c>
      <c r="E311" s="76">
        <v>3110.6557377049198</v>
      </c>
      <c r="F311" s="76">
        <v>11500</v>
      </c>
      <c r="G311" s="76">
        <v>174829.394520548</v>
      </c>
      <c r="H311" s="76">
        <v>20231245.433698501</v>
      </c>
      <c r="I311" s="76">
        <v>109866837.92131101</v>
      </c>
      <c r="J311" s="76">
        <v>203134059.60027501</v>
      </c>
      <c r="K311" s="76">
        <v>262481302.77013701</v>
      </c>
      <c r="L311" s="76">
        <v>323946197.986485</v>
      </c>
      <c r="M311" s="76">
        <v>314862313.15978402</v>
      </c>
      <c r="N311" s="76">
        <f>347472972-N313</f>
        <v>313652338</v>
      </c>
      <c r="O311" s="76">
        <v>319305855.41380399</v>
      </c>
      <c r="P311" s="76">
        <v>316600231</v>
      </c>
      <c r="Q311" s="76">
        <v>332695657</v>
      </c>
      <c r="R311" s="76">
        <v>326507516.21780699</v>
      </c>
      <c r="S311" s="76">
        <v>353183890.56986302</v>
      </c>
      <c r="T311" s="76">
        <v>348477996.70054901</v>
      </c>
      <c r="U311" s="76">
        <v>400065249.76721197</v>
      </c>
      <c r="V311" s="76">
        <v>388668127.40874499</v>
      </c>
      <c r="W311" s="76">
        <v>399992770.486027</v>
      </c>
      <c r="X311" s="46"/>
      <c r="Y311" s="453" t="s">
        <v>659</v>
      </c>
    </row>
    <row r="312" spans="1:25" ht="15" x14ac:dyDescent="0.2">
      <c r="A312" s="62" t="s">
        <v>660</v>
      </c>
      <c r="B312" s="77" t="s">
        <v>661</v>
      </c>
      <c r="C312" s="75" t="s">
        <v>223</v>
      </c>
      <c r="D312" s="76">
        <v>417255889.05753499</v>
      </c>
      <c r="E312" s="76">
        <v>514484169.477597</v>
      </c>
      <c r="F312" s="76">
        <v>457497356.48126</v>
      </c>
      <c r="G312" s="76">
        <v>376155783.08821899</v>
      </c>
      <c r="H312" s="76">
        <v>335046828.32493001</v>
      </c>
      <c r="I312" s="76">
        <v>318974811.51174903</v>
      </c>
      <c r="J312" s="76">
        <v>297068051.34273797</v>
      </c>
      <c r="K312" s="76">
        <v>222234102.27139601</v>
      </c>
      <c r="L312" s="76">
        <v>266405713.53424299</v>
      </c>
      <c r="M312" s="76">
        <f>287853556.827593-M313</f>
        <v>251444440.77853683</v>
      </c>
      <c r="N312" s="76">
        <v>279235624</v>
      </c>
      <c r="O312" s="76">
        <v>326333592.90699703</v>
      </c>
      <c r="P312" s="76">
        <v>299737620</v>
      </c>
      <c r="Q312" s="76">
        <v>292367437</v>
      </c>
      <c r="R312" s="76">
        <v>299311941.15534103</v>
      </c>
      <c r="S312" s="76">
        <v>287092200.81260097</v>
      </c>
      <c r="T312" s="76">
        <v>274849465.006024</v>
      </c>
      <c r="U312" s="76">
        <v>269746450.51912099</v>
      </c>
      <c r="V312" s="76">
        <v>242769134.62322399</v>
      </c>
      <c r="W312" s="76">
        <v>245174472.04547599</v>
      </c>
      <c r="X312" s="46"/>
      <c r="Y312" s="453" t="s">
        <v>662</v>
      </c>
    </row>
    <row r="313" spans="1:25" ht="15" x14ac:dyDescent="0.2">
      <c r="A313" s="62" t="s">
        <v>663</v>
      </c>
      <c r="B313" s="77" t="s">
        <v>664</v>
      </c>
      <c r="C313" s="75" t="s">
        <v>223</v>
      </c>
      <c r="D313" s="76">
        <v>0</v>
      </c>
      <c r="E313" s="76">
        <v>0</v>
      </c>
      <c r="F313" s="76">
        <v>0</v>
      </c>
      <c r="G313" s="76">
        <v>53129.219178082203</v>
      </c>
      <c r="H313" s="76">
        <v>7155060.5479452396</v>
      </c>
      <c r="I313" s="76">
        <v>23706142.319398899</v>
      </c>
      <c r="J313" s="76">
        <v>41528711.494246602</v>
      </c>
      <c r="K313" s="76">
        <v>40611097.946301401</v>
      </c>
      <c r="L313" s="76">
        <v>39357072.9707762</v>
      </c>
      <c r="M313" s="76">
        <v>36409116.049056202</v>
      </c>
      <c r="N313" s="76">
        <v>33820634</v>
      </c>
      <c r="O313" s="76">
        <v>37042688.910696797</v>
      </c>
      <c r="P313" s="76">
        <v>34700976</v>
      </c>
      <c r="Q313" s="76">
        <v>33883948</v>
      </c>
      <c r="R313" s="76">
        <v>35265674.765479401</v>
      </c>
      <c r="S313" s="76">
        <v>35731807.835890397</v>
      </c>
      <c r="T313" s="76">
        <v>34993252.234520502</v>
      </c>
      <c r="U313" s="76">
        <v>37957636.804371603</v>
      </c>
      <c r="V313" s="76">
        <v>35178694.844808698</v>
      </c>
      <c r="W313" s="76">
        <v>36991317.289589003</v>
      </c>
      <c r="X313" s="46"/>
      <c r="Y313" s="453" t="s">
        <v>665</v>
      </c>
    </row>
    <row r="314" spans="1:25" ht="15" x14ac:dyDescent="0.2">
      <c r="A314" s="105"/>
      <c r="B314" s="106"/>
      <c r="C314" s="120"/>
      <c r="D314" s="69"/>
      <c r="E314" s="69"/>
      <c r="F314" s="69"/>
      <c r="G314" s="69"/>
      <c r="H314" s="69"/>
      <c r="I314" s="69"/>
      <c r="J314" s="69"/>
      <c r="K314" s="69"/>
      <c r="L314" s="69"/>
      <c r="M314" s="69"/>
      <c r="N314" s="69"/>
      <c r="O314" s="69"/>
      <c r="P314" s="69"/>
      <c r="Q314" s="69"/>
      <c r="R314" s="69"/>
      <c r="S314" s="69"/>
      <c r="T314" s="69"/>
      <c r="U314" s="69"/>
      <c r="V314" s="69"/>
      <c r="W314" s="69"/>
    </row>
    <row r="315" spans="1:25" ht="15" x14ac:dyDescent="0.2">
      <c r="A315" s="62" t="s">
        <v>666</v>
      </c>
      <c r="B315" s="77" t="s">
        <v>667</v>
      </c>
      <c r="C315" s="75" t="s">
        <v>223</v>
      </c>
      <c r="D315" s="76">
        <v>0</v>
      </c>
      <c r="E315" s="76">
        <v>3110.6557377049198</v>
      </c>
      <c r="F315" s="76">
        <v>11500</v>
      </c>
      <c r="G315" s="76">
        <v>175088.298630137</v>
      </c>
      <c r="H315" s="76">
        <v>20535095.0227396</v>
      </c>
      <c r="I315" s="76">
        <v>116472790.639891</v>
      </c>
      <c r="J315" s="76">
        <v>219772616.289864</v>
      </c>
      <c r="K315" s="76">
        <v>286548848.93452102</v>
      </c>
      <c r="L315" s="76">
        <v>355043014.493698</v>
      </c>
      <c r="M315" s="76">
        <v>346485787.22840899</v>
      </c>
      <c r="N315" s="76">
        <f>382137269-N317</f>
        <v>345577892</v>
      </c>
      <c r="O315" s="76">
        <v>352635362.417826</v>
      </c>
      <c r="P315" s="76">
        <v>355154854</v>
      </c>
      <c r="Q315" s="76">
        <v>0</v>
      </c>
      <c r="R315" s="76">
        <v>0</v>
      </c>
      <c r="S315" s="76">
        <v>0</v>
      </c>
      <c r="T315" s="76">
        <v>0</v>
      </c>
      <c r="U315" s="76">
        <v>0</v>
      </c>
      <c r="V315" s="76">
        <v>0</v>
      </c>
      <c r="W315" s="76">
        <v>0</v>
      </c>
      <c r="X315" s="46"/>
      <c r="Y315" s="453" t="s">
        <v>668</v>
      </c>
    </row>
    <row r="316" spans="1:25" ht="15" x14ac:dyDescent="0.2">
      <c r="A316" s="62" t="s">
        <v>669</v>
      </c>
      <c r="B316" s="77" t="s">
        <v>670</v>
      </c>
      <c r="C316" s="75" t="s">
        <v>223</v>
      </c>
      <c r="D316" s="76">
        <v>431268132.54246598</v>
      </c>
      <c r="E316" s="76">
        <v>535091313.78360802</v>
      </c>
      <c r="F316" s="76">
        <v>475457081.16893101</v>
      </c>
      <c r="G316" s="76">
        <v>393624865.71835601</v>
      </c>
      <c r="H316" s="76">
        <v>355620246.51123101</v>
      </c>
      <c r="I316" s="76">
        <v>333775085.12377</v>
      </c>
      <c r="J316" s="76">
        <v>313595344.53150499</v>
      </c>
      <c r="K316" s="76">
        <v>233353809.091396</v>
      </c>
      <c r="L316" s="76">
        <v>284248781.51278102</v>
      </c>
      <c r="M316" s="76">
        <f>313470359.612265-M317</f>
        <v>274358827.60339332</v>
      </c>
      <c r="N316" s="76">
        <v>303270545</v>
      </c>
      <c r="O316" s="76">
        <v>353855811.13293201</v>
      </c>
      <c r="P316" s="76">
        <v>327881138</v>
      </c>
      <c r="Q316" s="76">
        <v>0</v>
      </c>
      <c r="R316" s="76">
        <v>0</v>
      </c>
      <c r="S316" s="76">
        <v>0</v>
      </c>
      <c r="T316" s="76">
        <v>0</v>
      </c>
      <c r="U316" s="76">
        <v>0</v>
      </c>
      <c r="V316" s="76">
        <v>0</v>
      </c>
      <c r="W316" s="76">
        <v>0</v>
      </c>
      <c r="X316" s="46"/>
      <c r="Y316" s="453" t="s">
        <v>671</v>
      </c>
    </row>
    <row r="317" spans="1:25" ht="15" x14ac:dyDescent="0.2">
      <c r="A317" s="62" t="s">
        <v>672</v>
      </c>
      <c r="B317" s="77" t="s">
        <v>673</v>
      </c>
      <c r="C317" s="75" t="s">
        <v>223</v>
      </c>
      <c r="D317" s="76">
        <v>0</v>
      </c>
      <c r="E317" s="76">
        <v>0</v>
      </c>
      <c r="F317" s="76">
        <v>0</v>
      </c>
      <c r="G317" s="76">
        <v>53129.219178082203</v>
      </c>
      <c r="H317" s="76">
        <v>7177465.4794520903</v>
      </c>
      <c r="I317" s="76">
        <v>24108655.4942623</v>
      </c>
      <c r="J317" s="76">
        <v>44003924.7383563</v>
      </c>
      <c r="K317" s="76">
        <v>43300930.713424601</v>
      </c>
      <c r="L317" s="76">
        <v>42235574.384840198</v>
      </c>
      <c r="M317" s="76">
        <v>39111532.008871697</v>
      </c>
      <c r="N317" s="76">
        <v>36559377</v>
      </c>
      <c r="O317" s="76">
        <v>39811662.255613402</v>
      </c>
      <c r="P317" s="76">
        <v>39156213</v>
      </c>
      <c r="Q317" s="76">
        <v>0</v>
      </c>
      <c r="R317" s="76">
        <v>0</v>
      </c>
      <c r="S317" s="76">
        <v>0</v>
      </c>
      <c r="T317" s="76">
        <v>0</v>
      </c>
      <c r="U317" s="76">
        <v>0</v>
      </c>
      <c r="V317" s="76">
        <v>0</v>
      </c>
      <c r="W317" s="76">
        <v>0</v>
      </c>
      <c r="X317" s="46"/>
      <c r="Y317" s="453" t="s">
        <v>674</v>
      </c>
    </row>
    <row r="318" spans="1:25" ht="15" x14ac:dyDescent="0.2">
      <c r="A318" s="105"/>
      <c r="B318" s="106"/>
      <c r="C318" s="120"/>
      <c r="D318" s="69"/>
      <c r="E318" s="69"/>
      <c r="F318" s="69"/>
      <c r="G318" s="69"/>
      <c r="H318" s="69"/>
      <c r="I318" s="69"/>
      <c r="J318" s="69"/>
      <c r="K318" s="69"/>
      <c r="L318" s="69"/>
      <c r="M318" s="69"/>
      <c r="N318" s="69"/>
      <c r="O318" s="69"/>
      <c r="P318" s="69"/>
      <c r="Q318" s="69"/>
      <c r="R318" s="69"/>
      <c r="S318" s="69"/>
      <c r="T318" s="69"/>
      <c r="U318" s="69"/>
      <c r="V318" s="69"/>
      <c r="W318" s="69"/>
    </row>
    <row r="319" spans="1:25" ht="15" x14ac:dyDescent="0.2">
      <c r="A319" s="62" t="s">
        <v>675</v>
      </c>
      <c r="B319" s="77" t="s">
        <v>676</v>
      </c>
      <c r="C319" s="75" t="s">
        <v>223</v>
      </c>
      <c r="D319" s="76">
        <v>0</v>
      </c>
      <c r="E319" s="76">
        <v>0</v>
      </c>
      <c r="F319" s="76">
        <v>0</v>
      </c>
      <c r="G319" s="76">
        <v>0</v>
      </c>
      <c r="H319" s="76">
        <v>0</v>
      </c>
      <c r="I319" s="76">
        <v>0</v>
      </c>
      <c r="J319" s="76">
        <v>0</v>
      </c>
      <c r="K319" s="76">
        <v>0</v>
      </c>
      <c r="L319" s="76">
        <v>0</v>
      </c>
      <c r="M319" s="76">
        <v>0</v>
      </c>
      <c r="N319" s="76">
        <v>0</v>
      </c>
      <c r="O319" s="76">
        <v>0</v>
      </c>
      <c r="P319" s="76">
        <v>0</v>
      </c>
      <c r="Q319" s="76">
        <v>2831</v>
      </c>
      <c r="R319" s="76">
        <v>2720.0616438356101</v>
      </c>
      <c r="S319" s="76">
        <v>5095</v>
      </c>
      <c r="T319" s="76">
        <v>5095</v>
      </c>
      <c r="U319" s="76">
        <v>5094.99999999999</v>
      </c>
      <c r="V319" s="76">
        <v>5095</v>
      </c>
      <c r="W319" s="76">
        <v>5783.5</v>
      </c>
      <c r="X319" s="46"/>
      <c r="Y319" s="453" t="s">
        <v>677</v>
      </c>
    </row>
    <row r="320" spans="1:25" ht="30" x14ac:dyDescent="0.2">
      <c r="A320" s="62" t="s">
        <v>678</v>
      </c>
      <c r="B320" s="77" t="s">
        <v>679</v>
      </c>
      <c r="C320" s="75" t="s">
        <v>223</v>
      </c>
      <c r="D320" s="76">
        <v>81</v>
      </c>
      <c r="E320" s="76">
        <v>231</v>
      </c>
      <c r="F320" s="76">
        <v>434</v>
      </c>
      <c r="G320" s="76">
        <v>703</v>
      </c>
      <c r="H320" s="76">
        <v>703</v>
      </c>
      <c r="I320" s="76">
        <v>1129</v>
      </c>
      <c r="J320" s="76">
        <v>958</v>
      </c>
      <c r="K320" s="76">
        <v>651</v>
      </c>
      <c r="L320" s="76">
        <v>426</v>
      </c>
      <c r="M320" s="76">
        <v>426</v>
      </c>
      <c r="N320" s="76">
        <v>0</v>
      </c>
      <c r="O320" s="76">
        <v>0</v>
      </c>
      <c r="P320" s="76">
        <v>703</v>
      </c>
      <c r="Q320" s="76">
        <v>701</v>
      </c>
      <c r="R320" s="76">
        <v>658.27671232876696</v>
      </c>
      <c r="S320" s="76">
        <v>885.99999999999898</v>
      </c>
      <c r="T320" s="76">
        <v>886</v>
      </c>
      <c r="U320" s="76">
        <v>580.99999999999898</v>
      </c>
      <c r="V320" s="76">
        <v>581</v>
      </c>
      <c r="W320" s="76">
        <v>928.23287671232799</v>
      </c>
      <c r="X320" s="46"/>
      <c r="Y320" s="453" t="s">
        <v>680</v>
      </c>
    </row>
    <row r="321" spans="1:25" ht="30" x14ac:dyDescent="0.2">
      <c r="A321" s="62" t="s">
        <v>681</v>
      </c>
      <c r="B321" s="77" t="s">
        <v>682</v>
      </c>
      <c r="C321" s="75" t="s">
        <v>223</v>
      </c>
      <c r="D321" s="76">
        <v>0</v>
      </c>
      <c r="E321" s="76">
        <v>0</v>
      </c>
      <c r="F321" s="76">
        <v>0</v>
      </c>
      <c r="G321" s="76">
        <v>0</v>
      </c>
      <c r="H321" s="76">
        <v>0</v>
      </c>
      <c r="I321" s="76">
        <v>0</v>
      </c>
      <c r="J321" s="76">
        <v>0</v>
      </c>
      <c r="K321" s="76">
        <v>0</v>
      </c>
      <c r="L321" s="76">
        <v>0</v>
      </c>
      <c r="M321" s="76">
        <v>0</v>
      </c>
      <c r="N321" s="76">
        <v>0</v>
      </c>
      <c r="O321" s="76">
        <v>0</v>
      </c>
      <c r="P321" s="76">
        <v>0</v>
      </c>
      <c r="Q321" s="76">
        <v>0</v>
      </c>
      <c r="R321" s="76">
        <v>0</v>
      </c>
      <c r="S321" s="76">
        <v>0</v>
      </c>
      <c r="T321" s="76">
        <v>0</v>
      </c>
      <c r="U321" s="76">
        <v>0</v>
      </c>
      <c r="V321" s="76">
        <v>0</v>
      </c>
      <c r="W321" s="76">
        <v>0</v>
      </c>
      <c r="X321" s="46"/>
      <c r="Y321" s="453" t="s">
        <v>683</v>
      </c>
    </row>
    <row r="322" spans="1:25" ht="15" x14ac:dyDescent="0.2">
      <c r="A322" s="108"/>
      <c r="B322" s="106"/>
      <c r="C322" s="110"/>
      <c r="D322" s="72"/>
      <c r="E322" s="72"/>
      <c r="F322" s="72"/>
      <c r="G322" s="72"/>
      <c r="H322" s="72"/>
      <c r="I322" s="72"/>
      <c r="J322" s="72"/>
      <c r="K322" s="72"/>
      <c r="L322" s="72"/>
      <c r="M322" s="72"/>
      <c r="N322" s="72"/>
      <c r="O322" s="72"/>
      <c r="P322" s="72"/>
      <c r="Q322" s="72"/>
      <c r="R322" s="72"/>
      <c r="S322" s="72"/>
      <c r="T322" s="72"/>
      <c r="U322" s="72"/>
      <c r="V322" s="72"/>
      <c r="W322" s="72"/>
    </row>
    <row r="323" spans="1:25" ht="15.75" x14ac:dyDescent="0.25">
      <c r="B323" s="80" t="s">
        <v>684</v>
      </c>
      <c r="C323" s="116"/>
      <c r="V323" s="60"/>
      <c r="W323" s="60"/>
    </row>
    <row r="324" spans="1:25" ht="15" x14ac:dyDescent="0.2">
      <c r="A324" s="62" t="s">
        <v>685</v>
      </c>
      <c r="B324" s="71" t="s">
        <v>686</v>
      </c>
      <c r="C324" s="75" t="s">
        <v>223</v>
      </c>
      <c r="D324" s="85">
        <v>2.1706E-2</v>
      </c>
      <c r="E324" s="85">
        <v>2.2690999999999999E-2</v>
      </c>
      <c r="F324" s="85">
        <v>2.3643999999999998E-2</v>
      </c>
      <c r="G324" s="85">
        <v>2.2919999999999999E-2</v>
      </c>
      <c r="H324" s="85">
        <v>2.2072000000000001E-2</v>
      </c>
      <c r="I324" s="85">
        <v>2.2293E-2</v>
      </c>
      <c r="J324" s="85">
        <v>2.2204000000000002E-2</v>
      </c>
      <c r="K324" s="85">
        <v>2.2336999999999999E-2</v>
      </c>
      <c r="L324" s="78" t="s">
        <v>62</v>
      </c>
      <c r="M324" s="78" t="s">
        <v>62</v>
      </c>
      <c r="N324" s="78" t="s">
        <v>62</v>
      </c>
      <c r="O324" s="95">
        <v>1.8342000000000001E-2</v>
      </c>
      <c r="P324" s="95">
        <v>1.8342000000000001E-2</v>
      </c>
      <c r="Q324" s="95">
        <v>3.0806E-2</v>
      </c>
      <c r="R324" s="95">
        <v>3.0806E-2</v>
      </c>
      <c r="S324" s="95">
        <v>3.2099999999999997E-2</v>
      </c>
      <c r="T324" s="95">
        <v>3.2099999999999997E-2</v>
      </c>
      <c r="U324" s="95">
        <v>3.3704999999999999E-2</v>
      </c>
      <c r="V324" s="95">
        <v>3.3704999999999999E-2</v>
      </c>
      <c r="W324" s="95">
        <v>3.6671000000000002E-2</v>
      </c>
      <c r="X324" s="46"/>
      <c r="Y324" s="451" t="s">
        <v>687</v>
      </c>
    </row>
    <row r="325" spans="1:25" ht="15" x14ac:dyDescent="0.2">
      <c r="A325" s="62" t="s">
        <v>688</v>
      </c>
      <c r="B325" s="71" t="s">
        <v>689</v>
      </c>
      <c r="C325" s="75" t="s">
        <v>223</v>
      </c>
      <c r="D325" s="85">
        <v>1.3936E-2</v>
      </c>
      <c r="E325" s="85">
        <v>1.4569E-2</v>
      </c>
      <c r="F325" s="85">
        <v>1.5181E-2</v>
      </c>
      <c r="G325" s="85">
        <v>1.4716E-2</v>
      </c>
      <c r="H325" s="85">
        <v>1.4172000000000001E-2</v>
      </c>
      <c r="I325" s="85">
        <v>1.4314E-2</v>
      </c>
      <c r="J325" s="85">
        <v>1.4257000000000001E-2</v>
      </c>
      <c r="K325" s="85">
        <v>1.4343E-2</v>
      </c>
      <c r="L325" s="78" t="s">
        <v>62</v>
      </c>
      <c r="M325" s="78" t="s">
        <v>62</v>
      </c>
      <c r="N325" s="78" t="s">
        <v>62</v>
      </c>
      <c r="O325" s="95">
        <v>1.1712999999999999E-2</v>
      </c>
      <c r="P325" s="95">
        <v>1.1712999999999999E-2</v>
      </c>
      <c r="Q325" s="95">
        <v>0</v>
      </c>
      <c r="R325" s="95">
        <v>0</v>
      </c>
      <c r="S325" s="95">
        <v>0</v>
      </c>
      <c r="T325" s="95">
        <v>0</v>
      </c>
      <c r="U325" s="95">
        <v>0</v>
      </c>
      <c r="V325" s="95">
        <v>0</v>
      </c>
      <c r="W325" s="95">
        <v>0</v>
      </c>
      <c r="X325" s="46"/>
      <c r="Y325" s="451" t="s">
        <v>690</v>
      </c>
    </row>
    <row r="326" spans="1:25" ht="15" x14ac:dyDescent="0.2">
      <c r="A326" s="62" t="s">
        <v>691</v>
      </c>
      <c r="B326" s="71" t="s">
        <v>692</v>
      </c>
      <c r="C326" s="75" t="s">
        <v>223</v>
      </c>
      <c r="D326" s="85">
        <v>0.31520199999999998</v>
      </c>
      <c r="E326" s="85">
        <v>0.32951200000000003</v>
      </c>
      <c r="F326" s="85">
        <v>0.34335199999999999</v>
      </c>
      <c r="G326" s="85">
        <v>0.332845</v>
      </c>
      <c r="H326" s="85">
        <v>0.32052999999999998</v>
      </c>
      <c r="I326" s="85">
        <v>0.32373499999999999</v>
      </c>
      <c r="J326" s="85">
        <v>0.32244</v>
      </c>
      <c r="K326" s="85">
        <v>0.32438</v>
      </c>
      <c r="L326" s="78" t="s">
        <v>62</v>
      </c>
      <c r="M326" s="78" t="s">
        <v>62</v>
      </c>
      <c r="N326" s="78" t="s">
        <v>62</v>
      </c>
      <c r="O326" s="95">
        <v>0.34422999999999998</v>
      </c>
      <c r="P326" s="95">
        <v>0.34422999999999998</v>
      </c>
      <c r="Q326" s="95">
        <v>0.82777000000000001</v>
      </c>
      <c r="R326" s="95">
        <v>0.82777000000000001</v>
      </c>
      <c r="S326" s="95">
        <v>0.86253599999999997</v>
      </c>
      <c r="T326" s="95">
        <v>0.86253599999999997</v>
      </c>
      <c r="U326" s="95">
        <v>0.905663</v>
      </c>
      <c r="V326" s="95">
        <v>0.905663</v>
      </c>
      <c r="W326" s="95">
        <v>0.98536100000000004</v>
      </c>
      <c r="X326" s="46"/>
      <c r="Y326" s="451" t="s">
        <v>693</v>
      </c>
    </row>
    <row r="327" spans="1:25" ht="15" x14ac:dyDescent="0.2">
      <c r="A327" s="108"/>
      <c r="B327" s="106"/>
      <c r="C327" s="110"/>
      <c r="D327" s="72"/>
      <c r="E327" s="72"/>
      <c r="F327" s="72"/>
      <c r="G327" s="72"/>
      <c r="H327" s="72"/>
      <c r="I327" s="72"/>
      <c r="J327" s="72"/>
      <c r="K327" s="72"/>
      <c r="L327" s="72"/>
      <c r="M327" s="72"/>
      <c r="N327" s="72"/>
      <c r="O327" s="72"/>
      <c r="P327" s="72"/>
      <c r="Q327" s="72"/>
      <c r="R327" s="72"/>
      <c r="S327" s="72"/>
      <c r="T327" s="72"/>
      <c r="U327" s="72"/>
      <c r="V327" s="72"/>
      <c r="W327" s="72"/>
    </row>
    <row r="328" spans="1:25" ht="15.75" x14ac:dyDescent="0.25">
      <c r="B328" s="80" t="s">
        <v>318</v>
      </c>
      <c r="C328" s="116"/>
      <c r="W328" s="60"/>
    </row>
    <row r="329" spans="1:25" ht="15" x14ac:dyDescent="0.2">
      <c r="A329" s="62" t="s">
        <v>694</v>
      </c>
      <c r="B329" s="71" t="s">
        <v>695</v>
      </c>
      <c r="C329" s="63" t="s">
        <v>190</v>
      </c>
      <c r="D329" s="64">
        <f t="shared" ref="D329:K331" si="76">D307*D324</f>
        <v>56755377.622030631</v>
      </c>
      <c r="E329" s="64">
        <f t="shared" si="76"/>
        <v>60249928.820435435</v>
      </c>
      <c r="F329" s="64">
        <f t="shared" si="76"/>
        <v>64892250.66680517</v>
      </c>
      <c r="G329" s="64">
        <f t="shared" si="76"/>
        <v>63708043.071810171</v>
      </c>
      <c r="H329" s="64">
        <f t="shared" si="76"/>
        <v>63454080.954865456</v>
      </c>
      <c r="I329" s="64">
        <f t="shared" si="76"/>
        <v>68425160.302222311</v>
      </c>
      <c r="J329" s="64">
        <f t="shared" si="76"/>
        <v>71271028.652180955</v>
      </c>
      <c r="K329" s="64">
        <f t="shared" si="76"/>
        <v>80621568.192231029</v>
      </c>
      <c r="L329" s="64">
        <f>+P2a!D385+P2a!D387+P2a!D389</f>
        <v>84001073.732739776</v>
      </c>
      <c r="M329" s="64">
        <f>+P2a!E385+P2a!E387+P2a!E389</f>
        <v>88087521.463001385</v>
      </c>
      <c r="N329" s="64">
        <f>+P2a!F385+P2a!F387+P2a!F389</f>
        <v>87779801.217135131</v>
      </c>
      <c r="O329" s="64">
        <f t="shared" ref="O329:W329" si="77">O307*O324</f>
        <v>89308257.263799235</v>
      </c>
      <c r="P329" s="64">
        <f t="shared" si="77"/>
        <v>89424600.391422004</v>
      </c>
      <c r="Q329" s="64">
        <f t="shared" si="77"/>
        <v>150943010.95882401</v>
      </c>
      <c r="R329" s="64">
        <f t="shared" si="77"/>
        <v>149575934.86572701</v>
      </c>
      <c r="S329" s="64">
        <f t="shared" si="77"/>
        <v>157102823.88317373</v>
      </c>
      <c r="T329" s="64">
        <f t="shared" si="77"/>
        <v>155722646.45715535</v>
      </c>
      <c r="U329" s="64">
        <f t="shared" si="77"/>
        <v>169007934.49725854</v>
      </c>
      <c r="V329" s="64">
        <f t="shared" si="77"/>
        <v>165047672.69668749</v>
      </c>
      <c r="W329" s="64">
        <f t="shared" si="77"/>
        <v>183500097.56540382</v>
      </c>
      <c r="X329" s="46"/>
      <c r="Y329" s="451" t="s">
        <v>696</v>
      </c>
    </row>
    <row r="330" spans="1:25" ht="15" x14ac:dyDescent="0.2">
      <c r="A330" s="62" t="s">
        <v>697</v>
      </c>
      <c r="B330" s="71" t="s">
        <v>698</v>
      </c>
      <c r="C330" s="63" t="s">
        <v>190</v>
      </c>
      <c r="D330" s="64">
        <f t="shared" si="76"/>
        <v>39658287.210550472</v>
      </c>
      <c r="E330" s="64">
        <f t="shared" si="76"/>
        <v>43966148.035244323</v>
      </c>
      <c r="F330" s="64">
        <f t="shared" si="76"/>
        <v>47794075.140783668</v>
      </c>
      <c r="G330" s="64">
        <f t="shared" si="76"/>
        <v>47292158.849090464</v>
      </c>
      <c r="H330" s="64">
        <f t="shared" si="76"/>
        <v>46732701.412658907</v>
      </c>
      <c r="I330" s="64">
        <f t="shared" si="76"/>
        <v>49520318.977729343</v>
      </c>
      <c r="J330" s="64">
        <f t="shared" si="76"/>
        <v>51399085.800289623</v>
      </c>
      <c r="K330" s="64">
        <f t="shared" si="76"/>
        <v>57407469.664298221</v>
      </c>
      <c r="L330" s="64">
        <f>+P2a!D386+P2a!D388+P2a!D390</f>
        <v>59719626.97948648</v>
      </c>
      <c r="M330" s="64">
        <f>+P2a!E386+P2a!E388+P2a!E390</f>
        <v>62546466.911298469</v>
      </c>
      <c r="N330" s="64">
        <f>+P2a!F386+P2a!F388+P2a!F390</f>
        <v>62458080.624810874</v>
      </c>
      <c r="O330" s="64">
        <f t="shared" ref="O330:W330" si="78">O308*O325</f>
        <v>63568051.823803097</v>
      </c>
      <c r="P330" s="64">
        <f t="shared" si="78"/>
        <v>63854340.165225998</v>
      </c>
      <c r="Q330" s="64">
        <f t="shared" si="78"/>
        <v>0</v>
      </c>
      <c r="R330" s="64">
        <f t="shared" si="78"/>
        <v>0</v>
      </c>
      <c r="S330" s="64">
        <f t="shared" si="78"/>
        <v>0</v>
      </c>
      <c r="T330" s="64">
        <f t="shared" si="78"/>
        <v>0</v>
      </c>
      <c r="U330" s="64">
        <f t="shared" si="78"/>
        <v>0</v>
      </c>
      <c r="V330" s="64">
        <f t="shared" si="78"/>
        <v>0</v>
      </c>
      <c r="W330" s="64">
        <f t="shared" si="78"/>
        <v>0</v>
      </c>
      <c r="X330" s="46"/>
      <c r="Y330" s="451" t="s">
        <v>699</v>
      </c>
    </row>
    <row r="331" spans="1:25" ht="15" x14ac:dyDescent="0.2">
      <c r="A331" s="62" t="s">
        <v>700</v>
      </c>
      <c r="B331" s="71" t="s">
        <v>701</v>
      </c>
      <c r="C331" s="63" t="s">
        <v>190</v>
      </c>
      <c r="D331" s="64">
        <f t="shared" si="76"/>
        <v>3263.91671</v>
      </c>
      <c r="E331" s="64">
        <f t="shared" si="76"/>
        <v>3412.0967600000004</v>
      </c>
      <c r="F331" s="64">
        <f t="shared" si="76"/>
        <v>3555.40996</v>
      </c>
      <c r="G331" s="64">
        <f t="shared" si="76"/>
        <v>3586.0720299999998</v>
      </c>
      <c r="H331" s="64">
        <f t="shared" si="76"/>
        <v>3367.1676499999999</v>
      </c>
      <c r="I331" s="64">
        <f t="shared" si="76"/>
        <v>3625.8319999999999</v>
      </c>
      <c r="J331" s="64">
        <f t="shared" si="76"/>
        <v>3599.3977199999999</v>
      </c>
      <c r="K331" s="64">
        <f t="shared" si="76"/>
        <v>3614.8907199999999</v>
      </c>
      <c r="L331" s="64">
        <f>+P2a!D391</f>
        <v>3687.1038399999998</v>
      </c>
      <c r="M331" s="64">
        <f>+P2a!E391</f>
        <v>3760.8771200000001</v>
      </c>
      <c r="N331" s="64">
        <f>+P2a!F391</f>
        <v>2753.4993199999999</v>
      </c>
      <c r="O331" s="64">
        <f t="shared" ref="O331:W331" si="79">O309*O326</f>
        <v>12484.877869999998</v>
      </c>
      <c r="P331" s="64">
        <f t="shared" si="79"/>
        <v>14963.678099999999</v>
      </c>
      <c r="Q331" s="64">
        <f t="shared" si="79"/>
        <v>38334.028700000003</v>
      </c>
      <c r="R331" s="64">
        <f t="shared" si="79"/>
        <v>48152.259696917798</v>
      </c>
      <c r="S331" s="64">
        <f t="shared" si="79"/>
        <v>54378.781166769171</v>
      </c>
      <c r="T331" s="64">
        <f t="shared" si="79"/>
        <v>54531.250992000001</v>
      </c>
      <c r="U331" s="64">
        <f t="shared" si="79"/>
        <v>58321.30676928204</v>
      </c>
      <c r="V331" s="64">
        <f t="shared" si="79"/>
        <v>58864.472348000003</v>
      </c>
      <c r="W331" s="64">
        <f t="shared" si="79"/>
        <v>64927.242785166636</v>
      </c>
      <c r="X331" s="46"/>
      <c r="Y331" s="451" t="s">
        <v>702</v>
      </c>
    </row>
    <row r="332" spans="1:25" ht="15" x14ac:dyDescent="0.2">
      <c r="A332" s="62" t="s">
        <v>703</v>
      </c>
      <c r="B332" s="71" t="s">
        <v>189</v>
      </c>
      <c r="C332" s="63" t="s">
        <v>190</v>
      </c>
      <c r="D332" s="64">
        <f t="shared" ref="D332:W332" si="80">SUM(D329:D331)</f>
        <v>96416928.749291107</v>
      </c>
      <c r="E332" s="64">
        <f t="shared" si="80"/>
        <v>104219488.95243976</v>
      </c>
      <c r="F332" s="64">
        <f t="shared" si="80"/>
        <v>112689881.21754885</v>
      </c>
      <c r="G332" s="64">
        <f t="shared" si="80"/>
        <v>111003787.99293064</v>
      </c>
      <c r="H332" s="64">
        <f t="shared" si="80"/>
        <v>110190149.53517435</v>
      </c>
      <c r="I332" s="64">
        <f t="shared" si="80"/>
        <v>117949105.11195166</v>
      </c>
      <c r="J332" s="64">
        <f t="shared" si="80"/>
        <v>122673713.85019056</v>
      </c>
      <c r="K332" s="64">
        <f t="shared" si="80"/>
        <v>138032652.74724925</v>
      </c>
      <c r="L332" s="64">
        <f t="shared" si="80"/>
        <v>143724387.81606627</v>
      </c>
      <c r="M332" s="64">
        <f t="shared" si="80"/>
        <v>150637749.25141984</v>
      </c>
      <c r="N332" s="64">
        <f t="shared" si="80"/>
        <v>150240635.34126601</v>
      </c>
      <c r="O332" s="64">
        <f t="shared" si="80"/>
        <v>152888793.96547231</v>
      </c>
      <c r="P332" s="64">
        <f t="shared" si="80"/>
        <v>153293904.23474801</v>
      </c>
      <c r="Q332" s="64">
        <f t="shared" si="80"/>
        <v>150981344.987524</v>
      </c>
      <c r="R332" s="64">
        <f t="shared" si="80"/>
        <v>149624087.12542394</v>
      </c>
      <c r="S332" s="64">
        <f t="shared" si="80"/>
        <v>157157202.6643405</v>
      </c>
      <c r="T332" s="64">
        <f t="shared" si="80"/>
        <v>155777177.70814735</v>
      </c>
      <c r="U332" s="64">
        <f t="shared" si="80"/>
        <v>169066255.80402783</v>
      </c>
      <c r="V332" s="64">
        <f t="shared" si="80"/>
        <v>165106537.16903549</v>
      </c>
      <c r="W332" s="64">
        <f t="shared" si="80"/>
        <v>183565024.80818897</v>
      </c>
      <c r="X332" s="46"/>
      <c r="Y332" s="451" t="s">
        <v>181</v>
      </c>
    </row>
    <row r="333" spans="1:25" ht="15" x14ac:dyDescent="0.2">
      <c r="A333" s="108"/>
      <c r="B333" s="106"/>
      <c r="C333" s="110"/>
      <c r="D333" s="72"/>
      <c r="E333" s="72"/>
      <c r="F333" s="72"/>
      <c r="G333" s="72"/>
      <c r="H333" s="72"/>
      <c r="I333" s="72"/>
      <c r="J333" s="72"/>
      <c r="K333" s="72"/>
      <c r="L333" s="72"/>
      <c r="M333" s="72"/>
      <c r="N333" s="72"/>
      <c r="O333" s="72"/>
      <c r="P333" s="72"/>
      <c r="Q333" s="72"/>
      <c r="R333" s="72"/>
      <c r="S333" s="72"/>
      <c r="T333" s="72"/>
      <c r="U333" s="72"/>
      <c r="V333" s="72"/>
      <c r="W333" s="72"/>
    </row>
    <row r="334" spans="1:25" ht="31.5" x14ac:dyDescent="0.25">
      <c r="B334" s="80" t="s">
        <v>704</v>
      </c>
      <c r="C334" s="119"/>
      <c r="W334" s="84"/>
    </row>
    <row r="335" spans="1:25" ht="15" x14ac:dyDescent="0.2">
      <c r="A335" s="62" t="s">
        <v>705</v>
      </c>
      <c r="B335" s="62" t="s">
        <v>706</v>
      </c>
      <c r="C335" s="75" t="s">
        <v>223</v>
      </c>
      <c r="D335" s="76">
        <v>0</v>
      </c>
      <c r="E335" s="76">
        <v>115.90300000000001</v>
      </c>
      <c r="F335" s="76">
        <v>446</v>
      </c>
      <c r="G335" s="76">
        <v>6583.6886999999997</v>
      </c>
      <c r="H335" s="76">
        <v>737567.41409999703</v>
      </c>
      <c r="I335" s="76">
        <v>4116442.8272000202</v>
      </c>
      <c r="J335" s="76">
        <v>7643686.9194997502</v>
      </c>
      <c r="K335" s="76">
        <v>9973015.2227999996</v>
      </c>
      <c r="L335" s="76">
        <f>+P2a!D395-L339</f>
        <v>10006420.95699979</v>
      </c>
      <c r="M335" s="76">
        <f>+P2a!E395</f>
        <v>10360410.8612001</v>
      </c>
      <c r="N335" s="76">
        <f>+P2a!F395-N339</f>
        <v>10319477.341099901</v>
      </c>
      <c r="O335" s="76">
        <v>9987126.2013000492</v>
      </c>
      <c r="P335" s="76">
        <v>9967010</v>
      </c>
      <c r="Q335" s="76">
        <v>10240246</v>
      </c>
      <c r="R335" s="76">
        <v>10060828.6269999</v>
      </c>
      <c r="S335" s="76">
        <v>11341597.578199901</v>
      </c>
      <c r="T335" s="76">
        <v>11190538.3210999</v>
      </c>
      <c r="U335" s="76">
        <v>13488813.8163999</v>
      </c>
      <c r="V335" s="76">
        <v>13104673.8643</v>
      </c>
      <c r="W335" s="76">
        <v>14673817.233100001</v>
      </c>
      <c r="X335" s="46"/>
      <c r="Y335" s="451" t="s">
        <v>707</v>
      </c>
    </row>
    <row r="336" spans="1:25" ht="30" x14ac:dyDescent="0.2">
      <c r="A336" s="62" t="s">
        <v>708</v>
      </c>
      <c r="B336" s="62" t="s">
        <v>709</v>
      </c>
      <c r="C336" s="63" t="s">
        <v>190</v>
      </c>
      <c r="D336" s="89">
        <f t="shared" ref="D336:U336" si="81">D335/D332</f>
        <v>0</v>
      </c>
      <c r="E336" s="89">
        <f t="shared" si="81"/>
        <v>1.1121048583618749E-6</v>
      </c>
      <c r="F336" s="89">
        <f t="shared" si="81"/>
        <v>3.9577643989081229E-6</v>
      </c>
      <c r="G336" s="89">
        <f t="shared" si="81"/>
        <v>5.9310486777435803E-5</v>
      </c>
      <c r="H336" s="89">
        <f t="shared" si="81"/>
        <v>6.6935875594265745E-3</v>
      </c>
      <c r="I336" s="89">
        <f t="shared" si="81"/>
        <v>3.4900161584887728E-2</v>
      </c>
      <c r="J336" s="89">
        <f t="shared" si="81"/>
        <v>6.2309085456027188E-2</v>
      </c>
      <c r="K336" s="89">
        <f t="shared" si="81"/>
        <v>7.2251130615170647E-2</v>
      </c>
      <c r="L336" s="89">
        <f t="shared" si="81"/>
        <v>6.9622289640959734E-2</v>
      </c>
      <c r="M336" s="89">
        <f t="shared" si="81"/>
        <v>6.8776989251931792E-2</v>
      </c>
      <c r="N336" s="89">
        <f t="shared" si="81"/>
        <v>6.8686326556457858E-2</v>
      </c>
      <c r="O336" s="89">
        <f t="shared" si="81"/>
        <v>6.5322813675641231E-2</v>
      </c>
      <c r="P336" s="89">
        <f t="shared" si="81"/>
        <v>6.5018958514729511E-2</v>
      </c>
      <c r="Q336" s="89">
        <f t="shared" si="81"/>
        <v>6.7824577936076672E-2</v>
      </c>
      <c r="R336" s="89">
        <f t="shared" si="81"/>
        <v>6.7240701816722231E-2</v>
      </c>
      <c r="S336" s="89">
        <f t="shared" si="81"/>
        <v>7.2167214648274899E-2</v>
      </c>
      <c r="T336" s="89">
        <f t="shared" si="81"/>
        <v>7.1836827998422642E-2</v>
      </c>
      <c r="U336" s="89">
        <f t="shared" si="81"/>
        <v>7.9784187283566399E-2</v>
      </c>
      <c r="V336" s="89">
        <v>7.9371017580506104E-2</v>
      </c>
      <c r="W336" s="89">
        <v>7.9937979734609005E-2</v>
      </c>
      <c r="X336" s="46"/>
      <c r="Y336" s="451" t="s">
        <v>710</v>
      </c>
    </row>
    <row r="337" spans="1:25" ht="15" x14ac:dyDescent="0.2">
      <c r="A337" s="62" t="s">
        <v>711</v>
      </c>
      <c r="B337" s="62" t="s">
        <v>712</v>
      </c>
      <c r="C337" s="75" t="s">
        <v>223</v>
      </c>
      <c r="D337" s="78"/>
      <c r="E337" s="78"/>
      <c r="F337" s="78"/>
      <c r="G337" s="78"/>
      <c r="H337" s="76">
        <v>0</v>
      </c>
      <c r="I337" s="76">
        <v>0</v>
      </c>
      <c r="J337" s="76">
        <v>0</v>
      </c>
      <c r="K337" s="76">
        <v>8311072.7668000003</v>
      </c>
      <c r="L337" s="76">
        <f>+P2a!D397-L339</f>
        <v>7848046.2812993592</v>
      </c>
      <c r="M337" s="76">
        <f>+P2a!E397-M339</f>
        <v>8256166.4037999995</v>
      </c>
      <c r="N337" s="76">
        <f>+P2a!F397-N339</f>
        <v>8028316.1998999901</v>
      </c>
      <c r="O337" s="76">
        <f>11276105.3177002-O339</f>
        <v>10130323.8769002</v>
      </c>
      <c r="P337" s="76">
        <v>9339772</v>
      </c>
      <c r="Q337" s="76">
        <v>9002627</v>
      </c>
      <c r="R337" s="76">
        <v>9221148.59170001</v>
      </c>
      <c r="S337" s="76">
        <v>9216424.0779999997</v>
      </c>
      <c r="T337" s="76">
        <v>8823432.0284999795</v>
      </c>
      <c r="U337" s="76">
        <v>9092330.5738000106</v>
      </c>
      <c r="V337" s="76">
        <v>8183059.9941999996</v>
      </c>
      <c r="W337" s="76">
        <v>8991707.7052000202</v>
      </c>
      <c r="X337" s="46"/>
      <c r="Y337" s="451" t="s">
        <v>713</v>
      </c>
    </row>
    <row r="338" spans="1:25" ht="30" x14ac:dyDescent="0.2">
      <c r="A338" s="62" t="s">
        <v>714</v>
      </c>
      <c r="B338" s="62" t="s">
        <v>715</v>
      </c>
      <c r="C338" s="63" t="s">
        <v>190</v>
      </c>
      <c r="D338" s="89">
        <f t="shared" ref="D338:U338" si="82">D337/D332</f>
        <v>0</v>
      </c>
      <c r="E338" s="89">
        <f t="shared" si="82"/>
        <v>0</v>
      </c>
      <c r="F338" s="89">
        <f t="shared" si="82"/>
        <v>0</v>
      </c>
      <c r="G338" s="89">
        <f t="shared" si="82"/>
        <v>0</v>
      </c>
      <c r="H338" s="89">
        <f t="shared" si="82"/>
        <v>0</v>
      </c>
      <c r="I338" s="89">
        <f t="shared" si="82"/>
        <v>0</v>
      </c>
      <c r="J338" s="89">
        <f t="shared" si="82"/>
        <v>0</v>
      </c>
      <c r="K338" s="89">
        <f t="shared" si="82"/>
        <v>6.0210918223953538E-2</v>
      </c>
      <c r="L338" s="89">
        <f t="shared" si="82"/>
        <v>5.4604833602373941E-2</v>
      </c>
      <c r="M338" s="89">
        <f t="shared" si="82"/>
        <v>5.4808083928684831E-2</v>
      </c>
      <c r="N338" s="89">
        <f t="shared" si="82"/>
        <v>5.3436383450216174E-2</v>
      </c>
      <c r="O338" s="89">
        <f t="shared" si="82"/>
        <v>6.6259426960932039E-2</v>
      </c>
      <c r="P338" s="89">
        <f t="shared" si="82"/>
        <v>6.092722373159376E-2</v>
      </c>
      <c r="Q338" s="89">
        <f t="shared" si="82"/>
        <v>5.9627412914780374E-2</v>
      </c>
      <c r="R338" s="89">
        <f t="shared" si="82"/>
        <v>6.1628770934256644E-2</v>
      </c>
      <c r="S338" s="89">
        <f t="shared" si="82"/>
        <v>5.8644617756938723E-2</v>
      </c>
      <c r="T338" s="89">
        <f t="shared" si="82"/>
        <v>5.6641365303400942E-2</v>
      </c>
      <c r="U338" s="89">
        <f t="shared" si="82"/>
        <v>5.3779688504720501E-2</v>
      </c>
      <c r="V338" s="89">
        <v>4.9562301617544102E-2</v>
      </c>
      <c r="W338" s="89">
        <v>4.8983774085480901E-2</v>
      </c>
      <c r="X338" s="46"/>
      <c r="Y338" s="451" t="s">
        <v>716</v>
      </c>
    </row>
    <row r="339" spans="1:25" ht="15" x14ac:dyDescent="0.2">
      <c r="A339" s="62" t="s">
        <v>717</v>
      </c>
      <c r="B339" s="62" t="s">
        <v>347</v>
      </c>
      <c r="C339" s="75" t="s">
        <v>223</v>
      </c>
      <c r="D339" s="78"/>
      <c r="E339" s="78"/>
      <c r="F339" s="78"/>
      <c r="G339" s="78"/>
      <c r="H339" s="76">
        <v>0</v>
      </c>
      <c r="I339" s="76">
        <v>0</v>
      </c>
      <c r="J339" s="76">
        <v>0</v>
      </c>
      <c r="K339" s="76">
        <v>1528195.3626999999</v>
      </c>
      <c r="L339" s="76">
        <f>+P2a!D399</f>
        <v>1374479.8991000101</v>
      </c>
      <c r="M339" s="76">
        <f>+P2a!E399</f>
        <v>1195923.0462</v>
      </c>
      <c r="N339" s="76">
        <f>+P2a!F399</f>
        <v>1115746.4663</v>
      </c>
      <c r="O339" s="76">
        <v>1145781.4408</v>
      </c>
      <c r="P339" s="76">
        <v>1095122</v>
      </c>
      <c r="Q339" s="76">
        <v>1043417</v>
      </c>
      <c r="R339" s="76">
        <v>1086394.37939999</v>
      </c>
      <c r="S339" s="76">
        <v>1146991.0485999901</v>
      </c>
      <c r="T339" s="76">
        <v>1123283.3973999999</v>
      </c>
      <c r="U339" s="76">
        <v>1279362.1924000001</v>
      </c>
      <c r="V339" s="76">
        <v>1185697.9358999999</v>
      </c>
      <c r="W339" s="76">
        <v>1356508.5847999901</v>
      </c>
      <c r="X339" s="46"/>
      <c r="Y339" s="451" t="s">
        <v>348</v>
      </c>
    </row>
    <row r="340" spans="1:25" ht="30" x14ac:dyDescent="0.2">
      <c r="A340" s="62" t="s">
        <v>718</v>
      </c>
      <c r="B340" s="62" t="s">
        <v>350</v>
      </c>
      <c r="C340" s="63" t="s">
        <v>190</v>
      </c>
      <c r="D340" s="89">
        <f t="shared" ref="D340:W340" si="83">D339/D332</f>
        <v>0</v>
      </c>
      <c r="E340" s="89">
        <f t="shared" si="83"/>
        <v>0</v>
      </c>
      <c r="F340" s="89">
        <f t="shared" si="83"/>
        <v>0</v>
      </c>
      <c r="G340" s="89">
        <f t="shared" si="83"/>
        <v>0</v>
      </c>
      <c r="H340" s="89">
        <f t="shared" si="83"/>
        <v>0</v>
      </c>
      <c r="I340" s="89">
        <f t="shared" si="83"/>
        <v>0</v>
      </c>
      <c r="J340" s="89">
        <f t="shared" si="83"/>
        <v>0</v>
      </c>
      <c r="K340" s="89">
        <f t="shared" si="83"/>
        <v>1.1071259823559786E-2</v>
      </c>
      <c r="L340" s="89">
        <f t="shared" si="83"/>
        <v>9.5633032082142119E-3</v>
      </c>
      <c r="M340" s="89">
        <f t="shared" si="83"/>
        <v>7.9390660849821999E-3</v>
      </c>
      <c r="N340" s="89">
        <f t="shared" si="83"/>
        <v>7.4263960862893282E-3</v>
      </c>
      <c r="O340" s="89">
        <f t="shared" si="83"/>
        <v>7.4942146581309151E-3</v>
      </c>
      <c r="P340" s="89">
        <f t="shared" si="83"/>
        <v>7.1439370369416324E-3</v>
      </c>
      <c r="Q340" s="89">
        <f t="shared" si="83"/>
        <v>6.9109001518447219E-3</v>
      </c>
      <c r="R340" s="89">
        <f t="shared" si="83"/>
        <v>7.2608254477723811E-3</v>
      </c>
      <c r="S340" s="89">
        <f t="shared" si="83"/>
        <v>7.2983676799704593E-3</v>
      </c>
      <c r="T340" s="89">
        <f t="shared" si="83"/>
        <v>7.210834179474615E-3</v>
      </c>
      <c r="U340" s="89">
        <f t="shared" si="83"/>
        <v>7.5672237864128564E-3</v>
      </c>
      <c r="V340" s="89">
        <f t="shared" si="83"/>
        <v>7.1814112041250463E-3</v>
      </c>
      <c r="W340" s="89">
        <f t="shared" si="83"/>
        <v>7.3897987169257049E-3</v>
      </c>
      <c r="X340" s="46"/>
    </row>
    <row r="341" spans="1:25" ht="15" x14ac:dyDescent="0.2">
      <c r="A341" s="108"/>
      <c r="B341" s="109"/>
      <c r="C341" s="110"/>
      <c r="D341" s="72"/>
      <c r="E341" s="72"/>
      <c r="F341" s="72"/>
      <c r="G341" s="72"/>
      <c r="H341" s="72"/>
      <c r="I341" s="72"/>
      <c r="J341" s="72"/>
      <c r="K341" s="72"/>
      <c r="L341" s="72"/>
      <c r="M341" s="72"/>
      <c r="N341" s="72"/>
      <c r="O341" s="72"/>
      <c r="P341" s="72"/>
      <c r="Q341" s="72"/>
      <c r="R341" s="72"/>
      <c r="S341" s="72"/>
      <c r="T341" s="72"/>
      <c r="U341" s="72"/>
      <c r="V341" s="72"/>
      <c r="W341" s="72"/>
    </row>
    <row r="342" spans="1:25" ht="15" x14ac:dyDescent="0.2">
      <c r="W342" s="59"/>
    </row>
    <row r="343" spans="1:25" ht="15" x14ac:dyDescent="0.2">
      <c r="W343" s="59"/>
    </row>
    <row r="344" spans="1:25" ht="15.75" x14ac:dyDescent="0.25">
      <c r="B344" s="73" t="s">
        <v>719</v>
      </c>
      <c r="W344" s="60"/>
    </row>
    <row r="345" spans="1:25" ht="31.5" x14ac:dyDescent="0.25">
      <c r="B345" s="80" t="s">
        <v>720</v>
      </c>
      <c r="C345" s="31" t="s">
        <v>159</v>
      </c>
      <c r="D345" s="61" t="str">
        <f t="shared" ref="D345:O345" si="84">+D$14</f>
        <v>2010-11 RF</v>
      </c>
      <c r="E345" s="61" t="str">
        <f t="shared" si="84"/>
        <v>2011-12 RF</v>
      </c>
      <c r="F345" s="61" t="str">
        <f t="shared" si="84"/>
        <v>2012-13 RF</v>
      </c>
      <c r="G345" s="61" t="str">
        <f t="shared" si="84"/>
        <v>2013-14 RF</v>
      </c>
      <c r="H345" s="61" t="str">
        <f t="shared" si="84"/>
        <v>2014-15 RF</v>
      </c>
      <c r="I345" s="61" t="str">
        <f t="shared" si="84"/>
        <v>2015-16 RF</v>
      </c>
      <c r="J345" s="61" t="str">
        <f t="shared" si="84"/>
        <v>2016-17 RF</v>
      </c>
      <c r="K345" s="61" t="str">
        <f t="shared" si="84"/>
        <v>2017-18 RF</v>
      </c>
      <c r="L345" s="61" t="str">
        <f t="shared" si="84"/>
        <v>2018-19 RF</v>
      </c>
      <c r="M345" s="61" t="str">
        <f t="shared" si="84"/>
        <v>2019-20 month</v>
      </c>
      <c r="N345" s="61" t="str">
        <f t="shared" si="84"/>
        <v>2019-20 RF</v>
      </c>
      <c r="O345" s="61" t="str">
        <f t="shared" si="84"/>
        <v>2020-21 month</v>
      </c>
      <c r="P345" s="61" t="s">
        <v>18</v>
      </c>
      <c r="Q345" s="61" t="s">
        <v>162</v>
      </c>
      <c r="R345" s="61" t="s">
        <v>20</v>
      </c>
      <c r="S345" s="61" t="s">
        <v>163</v>
      </c>
      <c r="T345" s="61" t="s">
        <v>22</v>
      </c>
      <c r="U345" s="61" t="s">
        <v>23</v>
      </c>
      <c r="V345" s="61" t="s">
        <v>24</v>
      </c>
      <c r="W345" s="61" t="s">
        <v>25</v>
      </c>
      <c r="X345" s="46"/>
    </row>
    <row r="346" spans="1:25" ht="15" x14ac:dyDescent="0.2">
      <c r="A346" s="62" t="s">
        <v>721</v>
      </c>
      <c r="B346" s="71" t="s">
        <v>722</v>
      </c>
      <c r="C346" s="75" t="s">
        <v>223</v>
      </c>
      <c r="D346" s="76">
        <v>79618.851299999995</v>
      </c>
      <c r="E346" s="76">
        <v>83156.887499999997</v>
      </c>
      <c r="F346" s="76">
        <v>78824.555800000002</v>
      </c>
      <c r="G346" s="76">
        <v>88205.385299999994</v>
      </c>
      <c r="H346" s="76">
        <f>88880.8592+610.5123+3450.947-65.2129</f>
        <v>92877.10560000001</v>
      </c>
      <c r="I346" s="76">
        <f>94977.7804-8.8429</f>
        <v>94968.9375</v>
      </c>
      <c r="J346" s="76">
        <f>95716.3391-13.6856</f>
        <v>95702.6535</v>
      </c>
      <c r="K346" s="76">
        <f>101820.2793-53.3602</f>
        <v>101766.9191</v>
      </c>
      <c r="L346" s="76">
        <f>105055.4955-66.7327</f>
        <v>104988.76280000001</v>
      </c>
      <c r="M346" s="76">
        <v>119492.874264596</v>
      </c>
      <c r="N346" s="76">
        <f>119388.970354369-149.8102</f>
        <v>119239.16015436899</v>
      </c>
      <c r="O346" s="76">
        <f>118683.504862308-242.6805</f>
        <v>118440.82436230799</v>
      </c>
      <c r="P346" s="76">
        <v>118407.4555</v>
      </c>
      <c r="Q346" s="76">
        <v>117260.120794521</v>
      </c>
      <c r="R346" s="76">
        <v>117613.46</v>
      </c>
      <c r="S346" s="76">
        <f>115673.494-185.361</f>
        <v>115488.133</v>
      </c>
      <c r="T346" s="76">
        <v>115614.85</v>
      </c>
      <c r="U346" s="76">
        <v>115821.58</v>
      </c>
      <c r="V346" s="76">
        <v>115470.25</v>
      </c>
      <c r="W346" s="76">
        <v>113692.69500000001</v>
      </c>
      <c r="X346" s="46"/>
      <c r="Y346" s="451" t="s">
        <v>723</v>
      </c>
    </row>
    <row r="347" spans="1:25" ht="15" x14ac:dyDescent="0.2">
      <c r="A347" s="62" t="s">
        <v>724</v>
      </c>
      <c r="B347" s="71" t="s">
        <v>725</v>
      </c>
      <c r="C347" s="75" t="s">
        <v>223</v>
      </c>
      <c r="D347" s="76">
        <v>36625.148999999998</v>
      </c>
      <c r="E347" s="76">
        <v>37610.7814</v>
      </c>
      <c r="F347" s="76">
        <v>36373.1728</v>
      </c>
      <c r="G347" s="76">
        <v>39934.3416</v>
      </c>
      <c r="H347" s="76">
        <f>42987.3132+34.3248</f>
        <v>43021.637999999999</v>
      </c>
      <c r="I347" s="76">
        <f>45103.6972+27.085</f>
        <v>45130.782200000001</v>
      </c>
      <c r="J347" s="76">
        <f>45849.5569+18.6594</f>
        <v>45868.2163</v>
      </c>
      <c r="K347" s="76">
        <f>49347.8394+20.6058</f>
        <v>49368.445199999995</v>
      </c>
      <c r="L347" s="76">
        <f>52012.0006+26.5064</f>
        <v>52038.506999999998</v>
      </c>
      <c r="M347" s="76">
        <v>57087.1253390204</v>
      </c>
      <c r="N347" s="76">
        <f>56963.6222242623+45.6792</f>
        <v>57009.301424262296</v>
      </c>
      <c r="O347" s="76">
        <f>55414.8405479423+61.5135</f>
        <v>55476.354047942303</v>
      </c>
      <c r="P347" s="76">
        <v>54676.9833</v>
      </c>
      <c r="Q347" s="76">
        <v>54991.720821917799</v>
      </c>
      <c r="R347" s="76">
        <v>54812.81</v>
      </c>
      <c r="S347" s="76">
        <f>52777.599+124.566</f>
        <v>52902.165000000001</v>
      </c>
      <c r="T347" s="76">
        <v>52921.78</v>
      </c>
      <c r="U347" s="76">
        <v>52462.947</v>
      </c>
      <c r="V347" s="76">
        <v>52439.9</v>
      </c>
      <c r="W347" s="76">
        <v>52061.603999999999</v>
      </c>
      <c r="X347" s="46"/>
      <c r="Y347" s="454" t="s">
        <v>726</v>
      </c>
    </row>
    <row r="348" spans="1:25" ht="15" x14ac:dyDescent="0.2">
      <c r="A348" s="62" t="s">
        <v>727</v>
      </c>
      <c r="B348" s="71" t="s">
        <v>728</v>
      </c>
      <c r="C348" s="75" t="s">
        <v>223</v>
      </c>
      <c r="D348" s="76">
        <v>20324.861199999999</v>
      </c>
      <c r="E348" s="76">
        <v>20293.592499999999</v>
      </c>
      <c r="F348" s="76">
        <v>19579.4556999999</v>
      </c>
      <c r="G348" s="76">
        <v>21758.890100000001</v>
      </c>
      <c r="H348" s="76">
        <f>23270.1226+143.5241+61.0303</f>
        <v>23474.676999999996</v>
      </c>
      <c r="I348" s="76">
        <f>23956.9827+18.5724</f>
        <v>23975.555100000001</v>
      </c>
      <c r="J348" s="76">
        <f>24330.3477+30.2532</f>
        <v>24360.600899999998</v>
      </c>
      <c r="K348" s="76">
        <f>26946.1684+51.2167</f>
        <v>26997.3851</v>
      </c>
      <c r="L348" s="76">
        <f>27263.4091+63.0388</f>
        <v>27326.447899999999</v>
      </c>
      <c r="M348" s="76">
        <v>29400.131694045202</v>
      </c>
      <c r="N348" s="76">
        <f>29252.1681901092+103.3355</f>
        <v>29355.503690109203</v>
      </c>
      <c r="O348" s="76">
        <f>28810.0497099986+166.4049</f>
        <v>28976.4546099986</v>
      </c>
      <c r="P348" s="76">
        <v>28879.31</v>
      </c>
      <c r="Q348" s="76">
        <v>28871.7596986301</v>
      </c>
      <c r="R348" s="76">
        <v>28816.78</v>
      </c>
      <c r="S348" s="76">
        <f>27886.831+52.906</f>
        <v>27939.736999999997</v>
      </c>
      <c r="T348" s="76">
        <v>27964.87</v>
      </c>
      <c r="U348" s="76">
        <v>27630.77</v>
      </c>
      <c r="V348" s="76">
        <v>27620.39</v>
      </c>
      <c r="W348" s="76">
        <v>27486.221000000001</v>
      </c>
      <c r="X348" s="46"/>
      <c r="Y348" s="451" t="s">
        <v>729</v>
      </c>
    </row>
    <row r="349" spans="1:25" ht="15" x14ac:dyDescent="0.2">
      <c r="A349" s="108"/>
      <c r="B349" s="106"/>
      <c r="C349" s="110"/>
      <c r="D349" s="72"/>
      <c r="E349" s="72"/>
      <c r="F349" s="72"/>
      <c r="G349" s="72"/>
      <c r="H349" s="72"/>
      <c r="I349" s="72"/>
      <c r="J349" s="72"/>
      <c r="K349" s="72"/>
      <c r="L349" s="72"/>
      <c r="M349" s="72"/>
      <c r="N349" s="72"/>
      <c r="O349" s="72"/>
      <c r="P349" s="72"/>
      <c r="Q349" s="72"/>
      <c r="R349" s="72"/>
      <c r="S349" s="72"/>
      <c r="T349" s="72"/>
      <c r="U349" s="72"/>
      <c r="V349" s="72"/>
      <c r="W349" s="72"/>
    </row>
    <row r="350" spans="1:25" ht="31.5" x14ac:dyDescent="0.25">
      <c r="B350" s="80" t="s">
        <v>730</v>
      </c>
      <c r="C350" s="116"/>
      <c r="V350" s="60"/>
      <c r="W350" s="60"/>
    </row>
    <row r="351" spans="1:25" ht="15" x14ac:dyDescent="0.2">
      <c r="A351" s="62" t="s">
        <v>731</v>
      </c>
      <c r="B351" s="71" t="s">
        <v>732</v>
      </c>
      <c r="C351" s="75" t="s">
        <v>223</v>
      </c>
      <c r="D351" s="76">
        <v>16663508.281500001</v>
      </c>
      <c r="E351" s="76">
        <v>16545285.9749</v>
      </c>
      <c r="F351" s="76">
        <v>15539765.578199999</v>
      </c>
      <c r="G351" s="76">
        <v>19119895.354600001</v>
      </c>
      <c r="H351" s="76">
        <f>18679219.2541+123456.5624+578529.6149+6327.9275</f>
        <v>19387533.358899996</v>
      </c>
      <c r="I351" s="76">
        <f>18803270.2259+6720.4758</f>
        <v>18809990.701700002</v>
      </c>
      <c r="J351" s="76">
        <f>18333130.428+6643.0402</f>
        <v>18339773.468199998</v>
      </c>
      <c r="K351" s="76">
        <f>18167266.3217+3552.8524</f>
        <v>18170819.1741</v>
      </c>
      <c r="L351" s="76">
        <f>18919377.2082422+5129.1692</f>
        <v>18924506.3774422</v>
      </c>
      <c r="M351" s="76">
        <v>21441234.489016701</v>
      </c>
      <c r="N351" s="76">
        <f>23584883.3878767+1735.0391</f>
        <v>23586618.426976699</v>
      </c>
      <c r="O351" s="76">
        <f>22015139.1253433+7026.9161</f>
        <v>22022166.0414433</v>
      </c>
      <c r="P351" s="76">
        <v>21214592.402199998</v>
      </c>
      <c r="Q351" s="76">
        <v>21581831.144733801</v>
      </c>
      <c r="R351" s="76">
        <f>22763484.58</f>
        <v>22763484.579999998</v>
      </c>
      <c r="S351" s="76">
        <f>22715184.52+7545.107</f>
        <v>22722729.627</v>
      </c>
      <c r="T351" s="76">
        <v>23023439.52</v>
      </c>
      <c r="U351" s="76">
        <v>24893541.978</v>
      </c>
      <c r="V351" s="76">
        <v>22548226.734999999</v>
      </c>
      <c r="W351" s="76">
        <v>20435855.642999999</v>
      </c>
      <c r="X351" s="46"/>
      <c r="Y351" s="451" t="s">
        <v>733</v>
      </c>
    </row>
    <row r="352" spans="1:25" ht="30" x14ac:dyDescent="0.2">
      <c r="A352" s="62" t="s">
        <v>734</v>
      </c>
      <c r="B352" s="71" t="s">
        <v>735</v>
      </c>
      <c r="C352" s="75" t="s">
        <v>223</v>
      </c>
      <c r="D352" s="76">
        <v>42001657.7535</v>
      </c>
      <c r="E352" s="76">
        <v>45466654.190499999</v>
      </c>
      <c r="F352" s="76">
        <v>39269552.292599998</v>
      </c>
      <c r="G352" s="76">
        <v>47485268.450199999</v>
      </c>
      <c r="H352" s="76">
        <f>48467968.6823+14884.1199</f>
        <v>48482852.802200004</v>
      </c>
      <c r="I352" s="76">
        <f>46077116.5987+10385.5353</f>
        <v>46087502.134000003</v>
      </c>
      <c r="J352" s="76">
        <f>45825657.5171+9405.0265</f>
        <v>45835062.5436</v>
      </c>
      <c r="K352" s="76">
        <f>46995885.9067+9900.3846</f>
        <v>47005786.291299999</v>
      </c>
      <c r="L352" s="76">
        <f>47680592.3856222+12651.1628</f>
        <v>47693243.548422202</v>
      </c>
      <c r="M352" s="76">
        <v>51759075.3293586</v>
      </c>
      <c r="N352" s="76">
        <f>50907223.1655306+19468.9914</f>
        <v>50926692.156930603</v>
      </c>
      <c r="O352" s="76">
        <f>41449511.5365522+13883.5553</f>
        <v>41463395.091852196</v>
      </c>
      <c r="P352" s="76">
        <v>43287695.921499997</v>
      </c>
      <c r="Q352" s="76">
        <v>45497369.3670993</v>
      </c>
      <c r="R352" s="76">
        <v>45972855.5</v>
      </c>
      <c r="S352" s="76">
        <f>47973092.79+14731.584</f>
        <v>47987824.373999998</v>
      </c>
      <c r="T352" s="76">
        <v>48149666.729999997</v>
      </c>
      <c r="U352" s="76">
        <v>43532090.353</v>
      </c>
      <c r="V352" s="76">
        <v>44604743.623000003</v>
      </c>
      <c r="W352" s="76">
        <v>42597260.809</v>
      </c>
      <c r="X352" s="46"/>
      <c r="Y352" s="451" t="s">
        <v>736</v>
      </c>
    </row>
    <row r="353" spans="1:25" ht="15" x14ac:dyDescent="0.2">
      <c r="A353" s="62" t="s">
        <v>737</v>
      </c>
      <c r="B353" s="71" t="s">
        <v>738</v>
      </c>
      <c r="C353" s="75" t="s">
        <v>223</v>
      </c>
      <c r="D353" s="76">
        <v>16052992.139</v>
      </c>
      <c r="E353" s="76">
        <v>14856849.835100001</v>
      </c>
      <c r="F353" s="76">
        <v>12608860.747500001</v>
      </c>
      <c r="G353" s="76">
        <v>15167439.555400001</v>
      </c>
      <c r="H353" s="76">
        <f>16291545.0985+52301.8177+2620.8657</f>
        <v>16346467.781900002</v>
      </c>
      <c r="I353" s="76">
        <f>14625189.6869+1840.9128</f>
        <v>14627030.599699998</v>
      </c>
      <c r="J353" s="76">
        <f>16480203.3156+1896.8098</f>
        <v>16482100.125400001</v>
      </c>
      <c r="K353" s="76">
        <f>14743556.221+4102.3245</f>
        <v>14747658.545500001</v>
      </c>
      <c r="L353" s="76">
        <f>15292708.3668062+2452.6626</f>
        <v>15295161.029406199</v>
      </c>
      <c r="M353" s="76">
        <v>16038579.950910799</v>
      </c>
      <c r="N353" s="76">
        <f>15860836.0692662+990.8536</f>
        <v>15861826.922866199</v>
      </c>
      <c r="O353" s="76">
        <f>14911563.918194+3340.9322</f>
        <v>14914904.850393999</v>
      </c>
      <c r="P353" s="76">
        <v>15221868.036599999</v>
      </c>
      <c r="Q353" s="76">
        <v>14691047.846677201</v>
      </c>
      <c r="R353" s="76">
        <v>14730048.27</v>
      </c>
      <c r="S353" s="76">
        <f>14876880.44+3904.9855</f>
        <v>14880785.4255</v>
      </c>
      <c r="T353" s="76">
        <v>15217425.01</v>
      </c>
      <c r="U353" s="76">
        <v>14372785.478</v>
      </c>
      <c r="V353" s="76">
        <v>14865110.634</v>
      </c>
      <c r="W353" s="76">
        <v>14349694.7478</v>
      </c>
      <c r="X353" s="46"/>
      <c r="Y353" s="451" t="s">
        <v>739</v>
      </c>
    </row>
    <row r="354" spans="1:25" ht="15" x14ac:dyDescent="0.2">
      <c r="A354" s="108"/>
      <c r="B354" s="106"/>
      <c r="C354" s="110"/>
      <c r="D354" s="72"/>
      <c r="E354" s="72"/>
      <c r="F354" s="72"/>
      <c r="G354" s="72"/>
      <c r="H354" s="72"/>
      <c r="I354" s="72"/>
      <c r="J354" s="72"/>
      <c r="K354" s="72"/>
      <c r="L354" s="72"/>
      <c r="M354" s="72"/>
      <c r="N354" s="72"/>
      <c r="O354" s="72"/>
      <c r="P354" s="72"/>
      <c r="Q354" s="72"/>
      <c r="R354" s="72"/>
      <c r="S354" s="72"/>
      <c r="T354" s="72"/>
      <c r="U354" s="72"/>
      <c r="V354" s="72"/>
      <c r="W354" s="72"/>
    </row>
    <row r="355" spans="1:25" ht="15.75" x14ac:dyDescent="0.25">
      <c r="B355" s="80" t="s">
        <v>740</v>
      </c>
      <c r="C355" s="116"/>
      <c r="V355" s="60"/>
      <c r="W355" s="60"/>
    </row>
    <row r="356" spans="1:25" ht="15" x14ac:dyDescent="0.2">
      <c r="A356" s="62" t="s">
        <v>741</v>
      </c>
      <c r="B356" s="71" t="s">
        <v>742</v>
      </c>
      <c r="C356" s="75" t="s">
        <v>223</v>
      </c>
      <c r="D356" s="85">
        <v>7.7793000000000001E-2</v>
      </c>
      <c r="E356" s="85">
        <v>8.2102999999999995E-2</v>
      </c>
      <c r="F356" s="85">
        <v>8.7357000000000004E-2</v>
      </c>
      <c r="G356" s="85">
        <v>9.1025999999999996E-2</v>
      </c>
      <c r="H356" s="85">
        <f>9.4276/100</f>
        <v>9.4275999999999999E-2</v>
      </c>
      <c r="I356" s="85">
        <v>9.5218999999999998E-2</v>
      </c>
      <c r="J356" s="85">
        <v>9.4838000000000006E-2</v>
      </c>
      <c r="K356" s="85">
        <f>9.5406/100</f>
        <v>9.5405999999999991E-2</v>
      </c>
      <c r="L356" s="85">
        <v>9.7312999999999997E-2</v>
      </c>
      <c r="M356" s="85">
        <v>9.9259E-2</v>
      </c>
      <c r="N356" s="85">
        <v>9.9259E-2</v>
      </c>
      <c r="O356" s="85">
        <f>10.1244/100</f>
        <v>0.101244</v>
      </c>
      <c r="P356" s="85">
        <v>0.101244</v>
      </c>
      <c r="Q356" s="85">
        <v>0.10377400000000001</v>
      </c>
      <c r="R356" s="85">
        <v>0.10377400000000001</v>
      </c>
      <c r="S356" s="85">
        <v>0.10813300000000001</v>
      </c>
      <c r="T356" s="85">
        <v>0.10813300000000001</v>
      </c>
      <c r="U356" s="85">
        <v>0.11354</v>
      </c>
      <c r="V356" s="85">
        <v>0.11354</v>
      </c>
      <c r="W356" s="85">
        <v>0.123532</v>
      </c>
      <c r="X356" s="46"/>
      <c r="Y356" s="451" t="s">
        <v>743</v>
      </c>
    </row>
    <row r="357" spans="1:25" ht="15" x14ac:dyDescent="0.2">
      <c r="A357" s="62" t="s">
        <v>744</v>
      </c>
      <c r="B357" s="71" t="s">
        <v>745</v>
      </c>
      <c r="C357" s="75" t="s">
        <v>223</v>
      </c>
      <c r="D357" s="85">
        <v>5.1795000000000001E-2</v>
      </c>
      <c r="E357" s="85">
        <v>5.4663999999999997E-2</v>
      </c>
      <c r="F357" s="85">
        <v>5.8161999999999998E-2</v>
      </c>
      <c r="G357" s="85">
        <v>6.0603999999999998E-2</v>
      </c>
      <c r="H357" s="85">
        <v>6.2767000000000003E-2</v>
      </c>
      <c r="I357" s="85">
        <v>6.3393000000000005E-2</v>
      </c>
      <c r="J357" s="85">
        <v>6.3139000000000001E-2</v>
      </c>
      <c r="K357" s="85">
        <f>6.3517/100</f>
        <v>6.3517000000000004E-2</v>
      </c>
      <c r="L357" s="85">
        <v>6.4785999999999996E-2</v>
      </c>
      <c r="M357" s="85">
        <v>6.6082000000000002E-2</v>
      </c>
      <c r="N357" s="85">
        <v>6.6082000000000002E-2</v>
      </c>
      <c r="O357" s="85">
        <f>6.7404/100</f>
        <v>6.7404000000000006E-2</v>
      </c>
      <c r="P357" s="85">
        <v>6.7404000000000006E-2</v>
      </c>
      <c r="Q357" s="85">
        <v>6.9088999999999998E-2</v>
      </c>
      <c r="R357" s="85">
        <v>6.9088999999999998E-2</v>
      </c>
      <c r="S357" s="85">
        <v>7.1990999999999999E-2</v>
      </c>
      <c r="T357" s="85">
        <v>7.1990999999999999E-2</v>
      </c>
      <c r="U357" s="85">
        <v>7.5591000000000005E-2</v>
      </c>
      <c r="V357" s="85">
        <v>7.5591000000000005E-2</v>
      </c>
      <c r="W357" s="85">
        <v>8.2242999999999997E-2</v>
      </c>
      <c r="X357" s="46"/>
      <c r="Y357" s="451" t="s">
        <v>746</v>
      </c>
    </row>
    <row r="358" spans="1:25" ht="15" x14ac:dyDescent="0.2">
      <c r="A358" s="62" t="s">
        <v>747</v>
      </c>
      <c r="B358" s="71" t="s">
        <v>748</v>
      </c>
      <c r="C358" s="75" t="s">
        <v>223</v>
      </c>
      <c r="D358" s="85">
        <v>0.19764699999999999</v>
      </c>
      <c r="E358" s="85">
        <v>0.208597</v>
      </c>
      <c r="F358" s="85">
        <v>0.22194700000000001</v>
      </c>
      <c r="G358" s="85">
        <v>0.231269</v>
      </c>
      <c r="H358" s="85">
        <v>0.23952499999999999</v>
      </c>
      <c r="I358" s="85">
        <f>24.192/100</f>
        <v>0.24192</v>
      </c>
      <c r="J358" s="85">
        <v>0.240952</v>
      </c>
      <c r="K358" s="85">
        <f>24.2397/100</f>
        <v>0.242397</v>
      </c>
      <c r="L358" s="85">
        <v>0.24724499999999999</v>
      </c>
      <c r="M358" s="85">
        <v>0.25219000000000003</v>
      </c>
      <c r="N358" s="85">
        <v>0.25219000000000003</v>
      </c>
      <c r="O358" s="85">
        <f>25.7234/100</f>
        <v>0.25723400000000002</v>
      </c>
      <c r="P358" s="85">
        <v>0.25723400000000002</v>
      </c>
      <c r="Q358" s="85">
        <v>0.26366499999999998</v>
      </c>
      <c r="R358" s="85">
        <v>0.26366499999999998</v>
      </c>
      <c r="S358" s="85">
        <v>0.27473900000000001</v>
      </c>
      <c r="T358" s="85">
        <v>0.27473900000000001</v>
      </c>
      <c r="U358" s="85">
        <v>0.28847600000000001</v>
      </c>
      <c r="V358" s="85">
        <v>0.28847600000000001</v>
      </c>
      <c r="W358" s="85">
        <v>0.31386199999999997</v>
      </c>
      <c r="X358" s="46"/>
      <c r="Y358" s="451" t="s">
        <v>749</v>
      </c>
    </row>
    <row r="359" spans="1:25" ht="15" x14ac:dyDescent="0.2">
      <c r="A359" s="62" t="s">
        <v>750</v>
      </c>
      <c r="B359" s="71" t="s">
        <v>751</v>
      </c>
      <c r="C359" s="75" t="s">
        <v>223</v>
      </c>
      <c r="D359" s="85">
        <v>0.16941000000000001</v>
      </c>
      <c r="E359" s="85">
        <v>0.17879500000000001</v>
      </c>
      <c r="F359" s="85">
        <v>0.19023799999999999</v>
      </c>
      <c r="G359" s="85">
        <v>0.19822799999999999</v>
      </c>
      <c r="H359" s="85">
        <v>0.20530499999999999</v>
      </c>
      <c r="I359" s="85">
        <f>20.7358/100</f>
        <v>0.20735800000000001</v>
      </c>
      <c r="J359" s="85">
        <v>0.20652899999999999</v>
      </c>
      <c r="K359" s="85">
        <f>20.7767/100</f>
        <v>0.20776700000000001</v>
      </c>
      <c r="L359" s="85">
        <v>0.211921</v>
      </c>
      <c r="M359" s="85">
        <v>0.21615899999999999</v>
      </c>
      <c r="N359" s="85">
        <v>0.21615899999999999</v>
      </c>
      <c r="O359" s="85">
        <f>22.0482/100</f>
        <v>0.22048200000000001</v>
      </c>
      <c r="P359" s="85">
        <v>0.22048200000000001</v>
      </c>
      <c r="Q359" s="85">
        <v>0.225994</v>
      </c>
      <c r="R359" s="85">
        <v>0.225994</v>
      </c>
      <c r="S359" s="85">
        <v>0.235486</v>
      </c>
      <c r="T359" s="85">
        <v>0.235486</v>
      </c>
      <c r="U359" s="85">
        <v>0.24726000000000001</v>
      </c>
      <c r="V359" s="85">
        <v>0.24726000000000001</v>
      </c>
      <c r="W359" s="85">
        <v>0.26901900000000001</v>
      </c>
      <c r="X359" s="46"/>
      <c r="Y359" s="454" t="s">
        <v>749</v>
      </c>
    </row>
    <row r="360" spans="1:25" ht="15" x14ac:dyDescent="0.2">
      <c r="A360" s="108"/>
      <c r="B360" s="106"/>
      <c r="C360" s="110"/>
      <c r="D360" s="72"/>
      <c r="E360" s="72"/>
      <c r="F360" s="72"/>
      <c r="G360" s="72"/>
      <c r="H360" s="72"/>
      <c r="I360" s="72"/>
      <c r="J360" s="72"/>
      <c r="K360" s="72"/>
      <c r="L360" s="72"/>
      <c r="M360" s="72"/>
      <c r="N360" s="72"/>
      <c r="O360" s="72"/>
      <c r="P360" s="72"/>
      <c r="Q360" s="72"/>
      <c r="R360" s="72"/>
      <c r="S360" s="72"/>
      <c r="T360" s="72"/>
      <c r="U360" s="72"/>
      <c r="V360" s="72"/>
      <c r="W360" s="72"/>
    </row>
    <row r="361" spans="1:25" ht="15.75" x14ac:dyDescent="0.25">
      <c r="B361" s="80" t="s">
        <v>752</v>
      </c>
      <c r="C361" s="116"/>
      <c r="V361" s="60"/>
      <c r="W361" s="60"/>
    </row>
    <row r="362" spans="1:25" ht="15" x14ac:dyDescent="0.2">
      <c r="A362" s="62" t="s">
        <v>753</v>
      </c>
      <c r="B362" s="71" t="s">
        <v>754</v>
      </c>
      <c r="C362" s="75" t="s">
        <v>223</v>
      </c>
      <c r="D362" s="85">
        <v>0.12540200000000001</v>
      </c>
      <c r="E362" s="85">
        <v>0.13234899999999999</v>
      </c>
      <c r="F362" s="85">
        <v>0.140819</v>
      </c>
      <c r="G362" s="85">
        <v>0.146733</v>
      </c>
      <c r="H362" s="85">
        <v>0.15197099999999999</v>
      </c>
      <c r="I362" s="85">
        <v>0.15349099999999999</v>
      </c>
      <c r="J362" s="85">
        <v>0.15287700000000001</v>
      </c>
      <c r="K362" s="85">
        <v>0.15379399999999999</v>
      </c>
      <c r="L362" s="85">
        <v>0.15687000000000001</v>
      </c>
      <c r="M362" s="85">
        <v>0.16000700000000001</v>
      </c>
      <c r="N362" s="85">
        <v>0.16000700000000001</v>
      </c>
      <c r="O362" s="85">
        <f>16.3207/100</f>
        <v>0.16320699999999999</v>
      </c>
      <c r="P362" s="85">
        <v>0.16320699999999999</v>
      </c>
      <c r="Q362" s="85">
        <v>0.16728599999999999</v>
      </c>
      <c r="R362" s="85">
        <v>0.16728599999999999</v>
      </c>
      <c r="S362" s="85">
        <v>0.17431199999999999</v>
      </c>
      <c r="T362" s="85">
        <v>0.17431199999999999</v>
      </c>
      <c r="U362" s="85">
        <v>0.183028</v>
      </c>
      <c r="V362" s="85">
        <v>0.183028</v>
      </c>
      <c r="W362" s="85">
        <v>0.19913400000000001</v>
      </c>
      <c r="X362" s="46"/>
      <c r="Y362" s="451" t="s">
        <v>755</v>
      </c>
    </row>
    <row r="363" spans="1:25" ht="15" x14ac:dyDescent="0.2">
      <c r="A363" s="62" t="s">
        <v>756</v>
      </c>
      <c r="B363" s="71" t="s">
        <v>757</v>
      </c>
      <c r="C363" s="75" t="s">
        <v>223</v>
      </c>
      <c r="D363" s="85">
        <v>8.3634E-2</v>
      </c>
      <c r="E363" s="85">
        <v>8.8266999999999998E-2</v>
      </c>
      <c r="F363" s="85">
        <v>9.3915999999999999E-2</v>
      </c>
      <c r="G363" s="85">
        <v>9.7860000000000003E-2</v>
      </c>
      <c r="H363" s="85">
        <v>0.101354</v>
      </c>
      <c r="I363" s="85">
        <v>0.102368</v>
      </c>
      <c r="J363" s="85">
        <v>0.10195899999999999</v>
      </c>
      <c r="K363" s="85">
        <v>0.102571</v>
      </c>
      <c r="L363" s="85">
        <v>0.10462200000000001</v>
      </c>
      <c r="M363" s="85">
        <v>0.106714</v>
      </c>
      <c r="N363" s="85">
        <v>0.106714</v>
      </c>
      <c r="O363" s="85">
        <f>10.8848/100</f>
        <v>0.108848</v>
      </c>
      <c r="P363" s="85">
        <v>0.108848</v>
      </c>
      <c r="Q363" s="85">
        <v>0.111569</v>
      </c>
      <c r="R363" s="85">
        <v>0.111569</v>
      </c>
      <c r="S363" s="85">
        <v>0.116255</v>
      </c>
      <c r="T363" s="85">
        <v>0.116255</v>
      </c>
      <c r="U363" s="85">
        <v>0.122068</v>
      </c>
      <c r="V363" s="85">
        <v>0.122068</v>
      </c>
      <c r="W363" s="85">
        <v>0.13281000000000001</v>
      </c>
      <c r="X363" s="46"/>
      <c r="Y363" s="451" t="s">
        <v>758</v>
      </c>
    </row>
    <row r="364" spans="1:25" ht="30" x14ac:dyDescent="0.2">
      <c r="A364" s="62" t="s">
        <v>759</v>
      </c>
      <c r="B364" s="71" t="s">
        <v>760</v>
      </c>
      <c r="C364" s="75" t="s">
        <v>223</v>
      </c>
      <c r="D364" s="85">
        <v>0.111772</v>
      </c>
      <c r="E364" s="85">
        <v>0.117964</v>
      </c>
      <c r="F364" s="85">
        <v>0.12551399999999999</v>
      </c>
      <c r="G364" s="85">
        <v>0.13078600000000001</v>
      </c>
      <c r="H364" s="85">
        <v>0.13545499999999999</v>
      </c>
      <c r="I364" s="85">
        <v>0.13680999999999999</v>
      </c>
      <c r="J364" s="85">
        <v>0.136263</v>
      </c>
      <c r="K364" s="85">
        <v>0.13708100000000001</v>
      </c>
      <c r="L364" s="85">
        <v>0.139823</v>
      </c>
      <c r="M364" s="85">
        <v>0.142619</v>
      </c>
      <c r="N364" s="85">
        <v>0.142619</v>
      </c>
      <c r="O364" s="85">
        <f>14.5471/100</f>
        <v>0.14547100000000002</v>
      </c>
      <c r="P364" s="85">
        <v>0.14547099999999999</v>
      </c>
      <c r="Q364" s="85">
        <v>0.14910799999999999</v>
      </c>
      <c r="R364" s="85">
        <v>0.14910799999999999</v>
      </c>
      <c r="S364" s="85">
        <v>0.15537100000000001</v>
      </c>
      <c r="T364" s="85">
        <v>0.15537100000000001</v>
      </c>
      <c r="U364" s="85">
        <v>0.16314000000000001</v>
      </c>
      <c r="V364" s="85">
        <v>0.16314000000000001</v>
      </c>
      <c r="W364" s="85">
        <v>0.17749599999999999</v>
      </c>
      <c r="X364" s="46"/>
      <c r="Y364" s="451" t="s">
        <v>761</v>
      </c>
    </row>
    <row r="365" spans="1:25" ht="15" x14ac:dyDescent="0.2">
      <c r="A365" s="62" t="s">
        <v>762</v>
      </c>
      <c r="B365" s="71" t="s">
        <v>763</v>
      </c>
      <c r="C365" s="75" t="s">
        <v>223</v>
      </c>
      <c r="D365" s="85">
        <v>6.8348999999999993E-2</v>
      </c>
      <c r="E365" s="85">
        <v>7.2136000000000006E-2</v>
      </c>
      <c r="F365" s="85">
        <v>7.6753000000000002E-2</v>
      </c>
      <c r="G365" s="85">
        <v>7.9976000000000005E-2</v>
      </c>
      <c r="H365" s="85">
        <v>8.2831000000000002E-2</v>
      </c>
      <c r="I365" s="85">
        <v>8.3658999999999997E-2</v>
      </c>
      <c r="J365" s="85">
        <v>8.3323999999999995E-2</v>
      </c>
      <c r="K365" s="85">
        <v>8.3823999999999996E-2</v>
      </c>
      <c r="L365" s="85">
        <v>8.5500000000000007E-2</v>
      </c>
      <c r="M365" s="85">
        <v>8.7209999999999996E-2</v>
      </c>
      <c r="N365" s="85">
        <v>8.7209999999999996E-2</v>
      </c>
      <c r="O365" s="85">
        <f>8.8954/100</f>
        <v>8.8954000000000005E-2</v>
      </c>
      <c r="P365" s="85">
        <v>8.8954000000000005E-2</v>
      </c>
      <c r="Q365" s="85">
        <v>9.1177999999999995E-2</v>
      </c>
      <c r="R365" s="85">
        <v>9.1177999999999995E-2</v>
      </c>
      <c r="S365" s="85">
        <v>9.5006999999999994E-2</v>
      </c>
      <c r="T365" s="85">
        <v>9.5006999999999994E-2</v>
      </c>
      <c r="U365" s="85">
        <v>9.9756999999999998E-2</v>
      </c>
      <c r="V365" s="85">
        <v>9.9756999999999998E-2</v>
      </c>
      <c r="W365" s="85">
        <v>0.10853599999999999</v>
      </c>
      <c r="X365" s="46"/>
      <c r="Y365" s="451" t="s">
        <v>764</v>
      </c>
    </row>
    <row r="366" spans="1:25" ht="15" x14ac:dyDescent="0.2">
      <c r="A366" s="108"/>
      <c r="B366" s="106"/>
      <c r="C366" s="110"/>
      <c r="D366" s="72"/>
      <c r="E366" s="72"/>
      <c r="F366" s="72"/>
      <c r="G366" s="72"/>
      <c r="H366" s="72"/>
      <c r="I366" s="72"/>
      <c r="J366" s="72"/>
      <c r="K366" s="72"/>
      <c r="L366" s="72"/>
      <c r="M366" s="72"/>
      <c r="N366" s="72"/>
      <c r="O366" s="72"/>
      <c r="P366" s="72"/>
      <c r="Q366" s="72"/>
      <c r="R366" s="72"/>
      <c r="S366" s="72"/>
      <c r="T366" s="72"/>
      <c r="U366" s="72"/>
      <c r="V366" s="72"/>
      <c r="W366" s="72"/>
    </row>
    <row r="367" spans="1:25" ht="15.75" x14ac:dyDescent="0.25">
      <c r="B367" s="80" t="s">
        <v>481</v>
      </c>
      <c r="C367" s="114"/>
      <c r="V367" s="60"/>
      <c r="W367" s="60"/>
    </row>
    <row r="368" spans="1:25" ht="15" x14ac:dyDescent="0.2">
      <c r="A368" s="62" t="s">
        <v>765</v>
      </c>
      <c r="B368" s="71" t="s">
        <v>766</v>
      </c>
      <c r="C368" s="75" t="s">
        <v>223</v>
      </c>
      <c r="D368" s="76">
        <v>5920397.3981290003</v>
      </c>
      <c r="E368" s="76">
        <v>5819927.4303000001</v>
      </c>
      <c r="F368" s="76">
        <v>6435143.1871999996</v>
      </c>
      <c r="G368" s="76">
        <v>4539431.0387000004</v>
      </c>
      <c r="H368" s="76">
        <v>4569499.1533000004</v>
      </c>
      <c r="I368" s="76">
        <v>3904458.8295</v>
      </c>
      <c r="J368" s="76">
        <v>3003279.6797000002</v>
      </c>
      <c r="K368" s="76">
        <f>2241834.2712+2281099.7153</f>
        <v>4522933.9864999996</v>
      </c>
      <c r="L368" s="76">
        <v>5062249.5273000002</v>
      </c>
      <c r="M368" s="76">
        <v>0</v>
      </c>
      <c r="N368" s="76">
        <v>0</v>
      </c>
      <c r="O368" s="76">
        <v>0</v>
      </c>
      <c r="P368" s="76">
        <v>0</v>
      </c>
      <c r="Q368" s="76">
        <v>0</v>
      </c>
      <c r="R368" s="76">
        <v>0</v>
      </c>
      <c r="S368" s="76">
        <v>0</v>
      </c>
      <c r="T368" s="76">
        <v>0</v>
      </c>
      <c r="U368" s="76">
        <v>0</v>
      </c>
      <c r="V368" s="76">
        <v>0</v>
      </c>
      <c r="W368" s="76">
        <v>0</v>
      </c>
      <c r="X368" s="46"/>
      <c r="Y368" s="451" t="s">
        <v>767</v>
      </c>
    </row>
    <row r="369" spans="1:25" ht="15" x14ac:dyDescent="0.2">
      <c r="A369" s="108"/>
      <c r="B369" s="106"/>
      <c r="C369" s="110"/>
      <c r="D369" s="72"/>
      <c r="E369" s="72"/>
      <c r="F369" s="72"/>
      <c r="G369" s="72"/>
      <c r="H369" s="72"/>
      <c r="I369" s="72"/>
      <c r="J369" s="72"/>
      <c r="K369" s="72"/>
      <c r="L369" s="72"/>
      <c r="M369" s="72"/>
      <c r="N369" s="72"/>
      <c r="O369" s="72"/>
      <c r="P369" s="72"/>
      <c r="Q369" s="72"/>
      <c r="R369" s="72"/>
      <c r="S369" s="72"/>
      <c r="T369" s="72"/>
      <c r="U369" s="72"/>
      <c r="V369" s="72"/>
      <c r="W369" s="72"/>
    </row>
    <row r="370" spans="1:25" ht="15.75" x14ac:dyDescent="0.25">
      <c r="B370" s="80" t="s">
        <v>318</v>
      </c>
      <c r="C370" s="116"/>
      <c r="W370" s="60"/>
    </row>
    <row r="371" spans="1:25" ht="15" x14ac:dyDescent="0.2">
      <c r="A371" s="62" t="s">
        <v>768</v>
      </c>
      <c r="B371" s="96" t="s">
        <v>769</v>
      </c>
      <c r="C371" s="97" t="s">
        <v>190</v>
      </c>
      <c r="D371" s="64">
        <f>(D346*(D356+D357)+(D347*D358)+(D348*D359))*365</f>
        <v>7664902.6408341806</v>
      </c>
      <c r="E371" s="64">
        <f>(E346*(E356+E357)+(E347*E358)+(E348*E359))*366</f>
        <v>8362004.5881491629</v>
      </c>
      <c r="F371" s="64">
        <f>(F346*(F356+F357)+(F347*F358)+(F348*F359))*365</f>
        <v>8492872.4185108095</v>
      </c>
      <c r="G371" s="64">
        <f>(G346*(G356+G357)+(G347*G358)+(G348*G359))*365</f>
        <v>9827033.3668543529</v>
      </c>
      <c r="H371" s="64">
        <f>(H346*(H356+H357)+(H347*H358)+(H348*H359))*365</f>
        <v>10844122.879834166</v>
      </c>
      <c r="I371" s="64">
        <f>(I346*(I356+I357)+(I347*I358)+(I348*I359))*366</f>
        <v>11328715.686233928</v>
      </c>
      <c r="J371" s="64">
        <f>(J346*(J356+J357)+(J347*J358)+(J348*J359))*365</f>
        <v>11388739.887544569</v>
      </c>
      <c r="K371" s="64">
        <f>(K346*(K356+K357)+(K347*K358)+(K348*K359))*365</f>
        <v>12318396.973951072</v>
      </c>
      <c r="L371" s="64">
        <f>(L346*(L356+L357)+(L347*L358)+(L348*L359))*365</f>
        <v>13021697.035758056</v>
      </c>
      <c r="M371" s="64">
        <f>(M346*(M356+M357)+(M347*M358)+(M348*M359))*366</f>
        <v>14826285.409937266</v>
      </c>
      <c r="N371" s="64">
        <f>(N346*(N356+N357)+(N347*N358)+(N348*N359))*366</f>
        <v>14800217.974035187</v>
      </c>
      <c r="O371" s="64">
        <f t="shared" ref="O371:T371" si="85">(O346*(O356+O357)+(O347*O358)+(O348*O359))*365</f>
        <v>14831409.73338379</v>
      </c>
      <c r="P371" s="64">
        <f t="shared" si="85"/>
        <v>14746484.612243317</v>
      </c>
      <c r="Q371" s="64">
        <f t="shared" si="85"/>
        <v>15072373.069352455</v>
      </c>
      <c r="R371" s="64">
        <f t="shared" si="85"/>
        <v>15072913.879341749</v>
      </c>
      <c r="S371" s="64">
        <f t="shared" si="85"/>
        <v>15299299.589247286</v>
      </c>
      <c r="T371" s="64">
        <f t="shared" si="85"/>
        <v>15311757.8597786</v>
      </c>
      <c r="U371" s="64">
        <f>(U346*(U356+U357)+(U347*U358)+(U348*U359))*366</f>
        <v>16057055.572158433</v>
      </c>
      <c r="V371" s="64">
        <f>(V346*(V356+V357)+(V347*V358)+(V348*V359))*366</f>
        <v>16029363.1120173</v>
      </c>
      <c r="W371" s="64">
        <f>(W346*(W356+W357)+(W347*W358)+(W348*W359))*365</f>
        <v>17202300.041747276</v>
      </c>
      <c r="X371" s="46"/>
      <c r="Y371" s="451" t="s">
        <v>770</v>
      </c>
    </row>
    <row r="372" spans="1:25" ht="15" x14ac:dyDescent="0.2">
      <c r="A372" s="62" t="s">
        <v>771</v>
      </c>
      <c r="B372" s="71" t="s">
        <v>772</v>
      </c>
      <c r="C372" s="63" t="s">
        <v>190</v>
      </c>
      <c r="D372" s="64">
        <f t="shared" ref="D372:W372" si="86">(D351*(D362+D363)+(D352*D364)+(D353*D365))</f>
        <v>9275088.3672643453</v>
      </c>
      <c r="E372" s="64">
        <f t="shared" si="86"/>
        <v>10085296.925271453</v>
      </c>
      <c r="F372" s="64">
        <f t="shared" si="86"/>
        <v>9544373.3484050408</v>
      </c>
      <c r="G372" s="64">
        <f t="shared" si="86"/>
        <v>12100032.029878207</v>
      </c>
      <c r="H372" s="64">
        <f t="shared" si="86"/>
        <v>12832585.987307902</v>
      </c>
      <c r="I372" s="64">
        <f t="shared" si="86"/>
        <v>12341619.330839103</v>
      </c>
      <c r="J372" s="64">
        <f t="shared" si="86"/>
        <v>12292612.14976961</v>
      </c>
      <c r="K372" s="64">
        <f t="shared" si="86"/>
        <v>12338169.978083834</v>
      </c>
      <c r="L372" s="64">
        <f t="shared" si="86"/>
        <v>12924955.682335384</v>
      </c>
      <c r="M372" s="64">
        <f t="shared" si="86"/>
        <v>14499379.626061749</v>
      </c>
      <c r="N372" s="64">
        <f t="shared" si="86"/>
        <v>14937470.288134096</v>
      </c>
      <c r="O372" s="64">
        <f t="shared" si="86"/>
        <v>13349702.375873636</v>
      </c>
      <c r="P372" s="64">
        <f t="shared" si="86"/>
        <v>13422686.398704762</v>
      </c>
      <c r="Q372" s="64">
        <f t="shared" si="86"/>
        <v>14141723.63601852</v>
      </c>
      <c r="R372" s="64">
        <f t="shared" si="86"/>
        <v>14545688.371611957</v>
      </c>
      <c r="S372" s="64">
        <f t="shared" si="86"/>
        <v>15472170.421261743</v>
      </c>
      <c r="T372" s="64">
        <f t="shared" si="86"/>
        <v>15616675.51843974</v>
      </c>
      <c r="U372" s="64">
        <f t="shared" si="86"/>
        <v>16130531.264437154</v>
      </c>
      <c r="V372" s="64">
        <f t="shared" si="86"/>
        <v>15639090.500113718</v>
      </c>
      <c r="W372" s="64">
        <f t="shared" si="86"/>
        <v>15901861.539261475</v>
      </c>
      <c r="X372" s="46"/>
      <c r="Y372" s="451" t="s">
        <v>773</v>
      </c>
    </row>
    <row r="373" spans="1:25" ht="15" x14ac:dyDescent="0.2">
      <c r="A373" s="62" t="s">
        <v>774</v>
      </c>
      <c r="B373" s="71" t="s">
        <v>495</v>
      </c>
      <c r="C373" s="63" t="s">
        <v>190</v>
      </c>
      <c r="D373" s="64">
        <f t="shared" ref="D373:W373" si="87">D368</f>
        <v>5920397.3981290003</v>
      </c>
      <c r="E373" s="64">
        <f t="shared" si="87"/>
        <v>5819927.4303000001</v>
      </c>
      <c r="F373" s="64">
        <f t="shared" si="87"/>
        <v>6435143.1871999996</v>
      </c>
      <c r="G373" s="64">
        <f t="shared" si="87"/>
        <v>4539431.0387000004</v>
      </c>
      <c r="H373" s="64">
        <f t="shared" si="87"/>
        <v>4569499.1533000004</v>
      </c>
      <c r="I373" s="64">
        <f t="shared" si="87"/>
        <v>3904458.8295</v>
      </c>
      <c r="J373" s="64">
        <f t="shared" si="87"/>
        <v>3003279.6797000002</v>
      </c>
      <c r="K373" s="64">
        <f t="shared" si="87"/>
        <v>4522933.9864999996</v>
      </c>
      <c r="L373" s="64">
        <f t="shared" si="87"/>
        <v>5062249.5273000002</v>
      </c>
      <c r="M373" s="64">
        <f t="shared" si="87"/>
        <v>0</v>
      </c>
      <c r="N373" s="64">
        <f t="shared" si="87"/>
        <v>0</v>
      </c>
      <c r="O373" s="64">
        <f t="shared" si="87"/>
        <v>0</v>
      </c>
      <c r="P373" s="64">
        <f t="shared" si="87"/>
        <v>0</v>
      </c>
      <c r="Q373" s="64">
        <f t="shared" si="87"/>
        <v>0</v>
      </c>
      <c r="R373" s="64">
        <f t="shared" si="87"/>
        <v>0</v>
      </c>
      <c r="S373" s="64">
        <f t="shared" si="87"/>
        <v>0</v>
      </c>
      <c r="T373" s="64">
        <f t="shared" si="87"/>
        <v>0</v>
      </c>
      <c r="U373" s="64">
        <f t="shared" si="87"/>
        <v>0</v>
      </c>
      <c r="V373" s="64">
        <f t="shared" si="87"/>
        <v>0</v>
      </c>
      <c r="W373" s="64">
        <f t="shared" si="87"/>
        <v>0</v>
      </c>
      <c r="X373" s="46"/>
      <c r="Y373" s="451" t="str">
        <f>Y368</f>
        <v>Total revenue from trade effluent for customers subject to schedule 3 agreements</v>
      </c>
    </row>
    <row r="374" spans="1:25" ht="15" x14ac:dyDescent="0.2">
      <c r="A374" s="62" t="s">
        <v>775</v>
      </c>
      <c r="B374" s="71" t="s">
        <v>189</v>
      </c>
      <c r="C374" s="63" t="s">
        <v>190</v>
      </c>
      <c r="D374" s="64">
        <f t="shared" ref="D374:W374" si="88">SUM(D371:D373)</f>
        <v>22860388.406227529</v>
      </c>
      <c r="E374" s="64">
        <f t="shared" si="88"/>
        <v>24267228.943720616</v>
      </c>
      <c r="F374" s="64">
        <f t="shared" si="88"/>
        <v>24472388.954115849</v>
      </c>
      <c r="G374" s="64">
        <f t="shared" si="88"/>
        <v>26466496.435432561</v>
      </c>
      <c r="H374" s="64">
        <f t="shared" si="88"/>
        <v>28246208.020442069</v>
      </c>
      <c r="I374" s="64">
        <f t="shared" si="88"/>
        <v>27574793.846573032</v>
      </c>
      <c r="J374" s="64">
        <f t="shared" si="88"/>
        <v>26684631.717014179</v>
      </c>
      <c r="K374" s="64">
        <f t="shared" si="88"/>
        <v>29179500.938534904</v>
      </c>
      <c r="L374" s="64">
        <f t="shared" si="88"/>
        <v>31008902.24539344</v>
      </c>
      <c r="M374" s="64">
        <f t="shared" si="88"/>
        <v>29325665.035999015</v>
      </c>
      <c r="N374" s="64">
        <f t="shared" si="88"/>
        <v>29737688.262169283</v>
      </c>
      <c r="O374" s="64">
        <f t="shared" si="88"/>
        <v>28181112.109257426</v>
      </c>
      <c r="P374" s="64">
        <f t="shared" si="88"/>
        <v>28169171.010948077</v>
      </c>
      <c r="Q374" s="64">
        <f t="shared" si="88"/>
        <v>29214096.705370978</v>
      </c>
      <c r="R374" s="64">
        <f t="shared" si="88"/>
        <v>29618602.250953704</v>
      </c>
      <c r="S374" s="64">
        <f t="shared" si="88"/>
        <v>30771470.010509029</v>
      </c>
      <c r="T374" s="64">
        <f t="shared" si="88"/>
        <v>30928433.378218338</v>
      </c>
      <c r="U374" s="64">
        <f t="shared" si="88"/>
        <v>32187586.836595587</v>
      </c>
      <c r="V374" s="64">
        <f t="shared" si="88"/>
        <v>31668453.612131018</v>
      </c>
      <c r="W374" s="64">
        <f t="shared" si="88"/>
        <v>33104161.581008751</v>
      </c>
      <c r="X374" s="46"/>
      <c r="Y374" s="451" t="s">
        <v>184</v>
      </c>
    </row>
    <row r="375" spans="1:25" ht="15" x14ac:dyDescent="0.2">
      <c r="A375" s="108"/>
      <c r="B375" s="106"/>
      <c r="C375" s="110"/>
      <c r="D375" s="72"/>
      <c r="E375" s="72"/>
      <c r="F375" s="72"/>
      <c r="G375" s="72"/>
      <c r="H375" s="72"/>
      <c r="I375" s="72"/>
      <c r="J375" s="72"/>
      <c r="K375" s="72"/>
      <c r="L375" s="72"/>
      <c r="M375" s="72"/>
      <c r="N375" s="72"/>
      <c r="O375" s="72"/>
      <c r="P375" s="72"/>
      <c r="Q375" s="72"/>
      <c r="R375" s="72"/>
      <c r="S375" s="72"/>
      <c r="T375" s="72"/>
      <c r="U375" s="72"/>
      <c r="V375" s="72"/>
      <c r="W375" s="72"/>
    </row>
    <row r="376" spans="1:25" ht="31.5" x14ac:dyDescent="0.25">
      <c r="B376" s="80" t="s">
        <v>776</v>
      </c>
      <c r="C376" s="119"/>
      <c r="W376" s="84"/>
    </row>
    <row r="377" spans="1:25" ht="15" x14ac:dyDescent="0.2">
      <c r="A377" s="62" t="s">
        <v>777</v>
      </c>
      <c r="B377" s="62" t="s">
        <v>778</v>
      </c>
      <c r="C377" s="75" t="s">
        <v>223</v>
      </c>
      <c r="D377" s="76">
        <v>0</v>
      </c>
      <c r="E377" s="76">
        <v>0</v>
      </c>
      <c r="F377" s="76">
        <v>0</v>
      </c>
      <c r="G377" s="76">
        <v>0</v>
      </c>
      <c r="H377" s="76">
        <v>0</v>
      </c>
      <c r="I377" s="76">
        <v>1048.3338000000001</v>
      </c>
      <c r="J377" s="76">
        <v>3907.8218000000002</v>
      </c>
      <c r="K377" s="76">
        <v>5166.9988000000003</v>
      </c>
      <c r="L377" s="76">
        <v>7331.7793000000001</v>
      </c>
      <c r="M377" s="76">
        <v>4132.8662000000004</v>
      </c>
      <c r="N377" s="76">
        <v>8571.9732999999997</v>
      </c>
      <c r="O377" s="76">
        <v>24822.625700000001</v>
      </c>
      <c r="P377" s="76">
        <v>24822.625700000001</v>
      </c>
      <c r="Q377" s="76">
        <v>49711</v>
      </c>
      <c r="R377" s="98">
        <f>53113.7759+919.15</f>
        <v>54032.925900000002</v>
      </c>
      <c r="S377" s="98">
        <f>50976.2941+50356.54</f>
        <v>101332.83410000001</v>
      </c>
      <c r="T377" s="76">
        <v>116353.7481</v>
      </c>
      <c r="U377" s="76">
        <v>145647.24059999999</v>
      </c>
      <c r="V377" s="92">
        <v>139561</v>
      </c>
      <c r="W377" s="92">
        <v>227056</v>
      </c>
      <c r="X377" s="46"/>
      <c r="Y377" s="451" t="s">
        <v>779</v>
      </c>
    </row>
    <row r="378" spans="1:25" ht="15" x14ac:dyDescent="0.2">
      <c r="A378" s="62" t="s">
        <v>780</v>
      </c>
      <c r="B378" s="62" t="s">
        <v>781</v>
      </c>
      <c r="C378" s="63" t="s">
        <v>190</v>
      </c>
      <c r="D378" s="89">
        <f t="shared" ref="D378:W378" si="89">D377/D374</f>
        <v>0</v>
      </c>
      <c r="E378" s="89">
        <f t="shared" si="89"/>
        <v>0</v>
      </c>
      <c r="F378" s="89">
        <f t="shared" si="89"/>
        <v>0</v>
      </c>
      <c r="G378" s="89">
        <f t="shared" si="89"/>
        <v>0</v>
      </c>
      <c r="H378" s="89">
        <f t="shared" si="89"/>
        <v>0</v>
      </c>
      <c r="I378" s="89">
        <f t="shared" si="89"/>
        <v>3.8017829102656592E-5</v>
      </c>
      <c r="J378" s="89">
        <f t="shared" si="89"/>
        <v>1.4644465928710437E-4</v>
      </c>
      <c r="K378" s="89">
        <f t="shared" si="89"/>
        <v>1.7707632529027873E-4</v>
      </c>
      <c r="L378" s="89">
        <f t="shared" si="89"/>
        <v>2.3644111107123052E-4</v>
      </c>
      <c r="M378" s="89">
        <f t="shared" si="89"/>
        <v>1.4093000772281408E-4</v>
      </c>
      <c r="N378" s="89">
        <f t="shared" si="89"/>
        <v>2.8825284683963858E-4</v>
      </c>
      <c r="O378" s="89">
        <f t="shared" si="89"/>
        <v>8.8082491577207232E-4</v>
      </c>
      <c r="P378" s="89">
        <f t="shared" si="89"/>
        <v>8.8119830329236792E-4</v>
      </c>
      <c r="Q378" s="89">
        <f t="shared" si="89"/>
        <v>1.7016100309841409E-3</v>
      </c>
      <c r="R378" s="89">
        <f t="shared" si="89"/>
        <v>1.8242902025621473E-3</v>
      </c>
      <c r="S378" s="89">
        <f t="shared" si="89"/>
        <v>3.2930774534135989E-3</v>
      </c>
      <c r="T378" s="89">
        <f t="shared" si="89"/>
        <v>3.7620317420261999E-3</v>
      </c>
      <c r="U378" s="89">
        <f t="shared" si="89"/>
        <v>4.5249506071827284E-3</v>
      </c>
      <c r="V378" s="89">
        <f t="shared" si="89"/>
        <v>4.4069407906466053E-3</v>
      </c>
      <c r="W378" s="89">
        <f t="shared" si="89"/>
        <v>6.8588355407936943E-3</v>
      </c>
      <c r="X378" s="46"/>
      <c r="Y378" s="451" t="s">
        <v>782</v>
      </c>
    </row>
    <row r="379" spans="1:25" ht="15" x14ac:dyDescent="0.2">
      <c r="A379" s="62" t="s">
        <v>783</v>
      </c>
      <c r="B379" s="62" t="s">
        <v>784</v>
      </c>
      <c r="C379" s="75" t="s">
        <v>223</v>
      </c>
      <c r="D379" s="76">
        <v>0</v>
      </c>
      <c r="E379" s="76">
        <v>0</v>
      </c>
      <c r="F379" s="76">
        <v>71991.074299999993</v>
      </c>
      <c r="G379" s="76">
        <v>0</v>
      </c>
      <c r="H379" s="76">
        <v>0</v>
      </c>
      <c r="I379" s="76">
        <v>0</v>
      </c>
      <c r="J379" s="76">
        <v>0</v>
      </c>
      <c r="K379" s="76">
        <v>191504.666</v>
      </c>
      <c r="L379" s="76">
        <v>201981.8713</v>
      </c>
      <c r="M379" s="76">
        <f>294429.801</f>
        <v>294429.80099999998</v>
      </c>
      <c r="N379" s="76">
        <v>211491.82610000001</v>
      </c>
      <c r="O379" s="76">
        <v>239050.22080000001</v>
      </c>
      <c r="P379" s="76">
        <v>239050.22080000001</v>
      </c>
      <c r="Q379" s="76">
        <v>164252.17000000001</v>
      </c>
      <c r="R379" s="76">
        <v>132117.8628</v>
      </c>
      <c r="S379" s="76">
        <v>125767.58</v>
      </c>
      <c r="T379" s="76">
        <v>108819.58</v>
      </c>
      <c r="U379" s="76">
        <v>102243.62</v>
      </c>
      <c r="V379" s="92">
        <v>38789</v>
      </c>
      <c r="W379" s="92">
        <v>73608</v>
      </c>
      <c r="X379" s="46"/>
      <c r="Y379" s="451" t="s">
        <v>785</v>
      </c>
    </row>
    <row r="380" spans="1:25" ht="30" x14ac:dyDescent="0.2">
      <c r="A380" s="62" t="s">
        <v>786</v>
      </c>
      <c r="B380" s="62" t="s">
        <v>787</v>
      </c>
      <c r="C380" s="63" t="s">
        <v>190</v>
      </c>
      <c r="D380" s="89">
        <f t="shared" ref="D380:W380" si="90">D379/D374</f>
        <v>0</v>
      </c>
      <c r="E380" s="89">
        <f t="shared" si="90"/>
        <v>0</v>
      </c>
      <c r="F380" s="89">
        <f t="shared" si="90"/>
        <v>2.9417264671209096E-3</v>
      </c>
      <c r="G380" s="89">
        <f t="shared" si="90"/>
        <v>0</v>
      </c>
      <c r="H380" s="89">
        <f t="shared" si="90"/>
        <v>0</v>
      </c>
      <c r="I380" s="89">
        <f t="shared" si="90"/>
        <v>0</v>
      </c>
      <c r="J380" s="89">
        <f t="shared" si="90"/>
        <v>0</v>
      </c>
      <c r="K380" s="89">
        <f t="shared" si="90"/>
        <v>6.5629863376825597E-3</v>
      </c>
      <c r="L380" s="89">
        <f t="shared" si="90"/>
        <v>6.5136737089751583E-3</v>
      </c>
      <c r="M380" s="89">
        <f t="shared" si="90"/>
        <v>1.0040004229693332E-2</v>
      </c>
      <c r="N380" s="89">
        <f t="shared" si="90"/>
        <v>7.111912137738317E-3</v>
      </c>
      <c r="O380" s="89">
        <f t="shared" si="90"/>
        <v>8.4826397153245272E-3</v>
      </c>
      <c r="P380" s="89">
        <f t="shared" si="90"/>
        <v>8.486235562526567E-3</v>
      </c>
      <c r="Q380" s="89">
        <f t="shared" si="90"/>
        <v>5.6223600427050833E-3</v>
      </c>
      <c r="R380" s="89">
        <f t="shared" si="90"/>
        <v>4.4606380031233872E-3</v>
      </c>
      <c r="S380" s="89">
        <f t="shared" si="90"/>
        <v>4.0871489063424018E-3</v>
      </c>
      <c r="T380" s="89">
        <f t="shared" si="90"/>
        <v>3.5184316861208136E-3</v>
      </c>
      <c r="U380" s="89">
        <f t="shared" si="90"/>
        <v>3.1764922458789114E-3</v>
      </c>
      <c r="V380" s="89">
        <f t="shared" si="90"/>
        <v>1.2248466715514446E-3</v>
      </c>
      <c r="W380" s="89">
        <f t="shared" si="90"/>
        <v>2.2235270879727566E-3</v>
      </c>
      <c r="X380" s="46"/>
      <c r="Y380" s="451" t="s">
        <v>788</v>
      </c>
    </row>
    <row r="381" spans="1:25" ht="15" x14ac:dyDescent="0.2">
      <c r="A381" s="62" t="s">
        <v>789</v>
      </c>
      <c r="B381" s="62" t="s">
        <v>347</v>
      </c>
      <c r="C381" s="75" t="s">
        <v>223</v>
      </c>
      <c r="D381" s="76">
        <v>0</v>
      </c>
      <c r="E381" s="76">
        <v>0</v>
      </c>
      <c r="F381" s="76">
        <v>0</v>
      </c>
      <c r="G381" s="76">
        <v>0</v>
      </c>
      <c r="H381" s="76">
        <v>0</v>
      </c>
      <c r="I381" s="76">
        <v>0</v>
      </c>
      <c r="J381" s="76">
        <v>0</v>
      </c>
      <c r="K381" s="76">
        <v>0</v>
      </c>
      <c r="L381" s="76">
        <v>0</v>
      </c>
      <c r="M381" s="76">
        <v>1559.2786000000001</v>
      </c>
      <c r="N381" s="76">
        <v>0</v>
      </c>
      <c r="O381" s="76">
        <v>0</v>
      </c>
      <c r="P381" s="76">
        <v>0</v>
      </c>
      <c r="Q381" s="76">
        <v>0</v>
      </c>
      <c r="R381" s="76">
        <v>0</v>
      </c>
      <c r="S381" s="76">
        <v>39.090000000000003</v>
      </c>
      <c r="T381" s="76">
        <v>0</v>
      </c>
      <c r="U381" s="76">
        <v>0</v>
      </c>
      <c r="V381" s="92">
        <v>136</v>
      </c>
      <c r="W381" s="92">
        <v>233</v>
      </c>
      <c r="X381" s="46"/>
      <c r="Y381" s="451" t="s">
        <v>348</v>
      </c>
    </row>
    <row r="382" spans="1:25" ht="30" x14ac:dyDescent="0.2">
      <c r="A382" s="62" t="s">
        <v>790</v>
      </c>
      <c r="B382" s="62" t="s">
        <v>350</v>
      </c>
      <c r="C382" s="63" t="s">
        <v>190</v>
      </c>
      <c r="D382" s="89">
        <f t="shared" ref="D382:W382" si="91">D381/D374</f>
        <v>0</v>
      </c>
      <c r="E382" s="89">
        <f t="shared" si="91"/>
        <v>0</v>
      </c>
      <c r="F382" s="89">
        <f t="shared" si="91"/>
        <v>0</v>
      </c>
      <c r="G382" s="89">
        <f t="shared" si="91"/>
        <v>0</v>
      </c>
      <c r="H382" s="89">
        <f t="shared" si="91"/>
        <v>0</v>
      </c>
      <c r="I382" s="89">
        <f t="shared" si="91"/>
        <v>0</v>
      </c>
      <c r="J382" s="89">
        <f t="shared" si="91"/>
        <v>0</v>
      </c>
      <c r="K382" s="89">
        <f t="shared" si="91"/>
        <v>0</v>
      </c>
      <c r="L382" s="89">
        <f t="shared" si="91"/>
        <v>0</v>
      </c>
      <c r="M382" s="89">
        <f t="shared" si="91"/>
        <v>5.3171124954400589E-5</v>
      </c>
      <c r="N382" s="89">
        <f t="shared" si="91"/>
        <v>0</v>
      </c>
      <c r="O382" s="89">
        <f t="shared" si="91"/>
        <v>0</v>
      </c>
      <c r="P382" s="89">
        <f t="shared" si="91"/>
        <v>0</v>
      </c>
      <c r="Q382" s="89">
        <f t="shared" si="91"/>
        <v>0</v>
      </c>
      <c r="R382" s="89">
        <f t="shared" si="91"/>
        <v>0</v>
      </c>
      <c r="S382" s="89">
        <f t="shared" si="91"/>
        <v>1.2703325511147189E-6</v>
      </c>
      <c r="T382" s="89">
        <f t="shared" si="91"/>
        <v>0</v>
      </c>
      <c r="U382" s="89">
        <f t="shared" si="91"/>
        <v>0</v>
      </c>
      <c r="V382" s="89">
        <f t="shared" si="91"/>
        <v>4.2944945043954853E-6</v>
      </c>
      <c r="W382" s="89">
        <f t="shared" si="91"/>
        <v>7.0383900051305882E-6</v>
      </c>
      <c r="X382" s="46"/>
    </row>
    <row r="383" spans="1:25" ht="15" x14ac:dyDescent="0.2">
      <c r="A383" s="108"/>
      <c r="B383" s="109"/>
      <c r="C383" s="110"/>
      <c r="D383" s="72"/>
      <c r="E383" s="72"/>
      <c r="F383" s="72"/>
      <c r="G383" s="72"/>
      <c r="H383" s="72"/>
      <c r="I383" s="72"/>
      <c r="J383" s="72"/>
      <c r="K383" s="72"/>
      <c r="L383" s="72"/>
      <c r="M383" s="72"/>
      <c r="N383" s="72"/>
      <c r="O383" s="72"/>
      <c r="P383" s="72"/>
      <c r="Q383" s="72"/>
      <c r="R383" s="72"/>
      <c r="S383" s="72"/>
      <c r="T383" s="72"/>
      <c r="U383" s="72"/>
      <c r="V383" s="72"/>
      <c r="W383" s="99"/>
      <c r="X383" s="46"/>
    </row>
    <row r="384" spans="1:25" ht="15" x14ac:dyDescent="0.2">
      <c r="W384" s="59"/>
    </row>
    <row r="385" spans="1:25" ht="15" x14ac:dyDescent="0.2">
      <c r="W385" s="59"/>
    </row>
    <row r="386" spans="1:25" ht="15.75" x14ac:dyDescent="0.25">
      <c r="B386" s="73" t="s">
        <v>791</v>
      </c>
      <c r="W386" s="60"/>
    </row>
    <row r="387" spans="1:25" ht="31.5" x14ac:dyDescent="0.2">
      <c r="B387" s="9" t="s">
        <v>647</v>
      </c>
      <c r="C387" s="31" t="s">
        <v>159</v>
      </c>
      <c r="D387" s="61" t="str">
        <f t="shared" ref="D387:O387" si="92">+D$14</f>
        <v>2010-11 RF</v>
      </c>
      <c r="E387" s="61" t="str">
        <f t="shared" si="92"/>
        <v>2011-12 RF</v>
      </c>
      <c r="F387" s="61" t="str">
        <f t="shared" si="92"/>
        <v>2012-13 RF</v>
      </c>
      <c r="G387" s="61" t="str">
        <f t="shared" si="92"/>
        <v>2013-14 RF</v>
      </c>
      <c r="H387" s="61" t="str">
        <f t="shared" si="92"/>
        <v>2014-15 RF</v>
      </c>
      <c r="I387" s="61" t="str">
        <f t="shared" si="92"/>
        <v>2015-16 RF</v>
      </c>
      <c r="J387" s="61" t="str">
        <f t="shared" si="92"/>
        <v>2016-17 RF</v>
      </c>
      <c r="K387" s="61" t="str">
        <f t="shared" si="92"/>
        <v>2017-18 RF</v>
      </c>
      <c r="L387" s="61" t="str">
        <f t="shared" si="92"/>
        <v>2018-19 RF</v>
      </c>
      <c r="M387" s="61" t="str">
        <f t="shared" si="92"/>
        <v>2019-20 month</v>
      </c>
      <c r="N387" s="61" t="str">
        <f t="shared" si="92"/>
        <v>2019-20 RF</v>
      </c>
      <c r="O387" s="61" t="str">
        <f t="shared" si="92"/>
        <v>2020-21 month</v>
      </c>
      <c r="P387" s="61" t="s">
        <v>18</v>
      </c>
      <c r="Q387" s="61" t="s">
        <v>162</v>
      </c>
      <c r="R387" s="61" t="s">
        <v>20</v>
      </c>
      <c r="S387" s="61" t="s">
        <v>163</v>
      </c>
      <c r="T387" s="61" t="s">
        <v>22</v>
      </c>
      <c r="U387" s="61" t="s">
        <v>23</v>
      </c>
      <c r="V387" s="61" t="s">
        <v>24</v>
      </c>
      <c r="W387" s="61" t="s">
        <v>25</v>
      </c>
      <c r="X387" s="46"/>
    </row>
    <row r="388" spans="1:25" ht="15" x14ac:dyDescent="0.2">
      <c r="A388" s="62" t="s">
        <v>792</v>
      </c>
      <c r="B388" s="71" t="s">
        <v>793</v>
      </c>
      <c r="C388" s="75" t="s">
        <v>223</v>
      </c>
      <c r="D388" s="76">
        <v>10068.799999999999</v>
      </c>
      <c r="E388" s="76">
        <v>9861.7568306010908</v>
      </c>
      <c r="F388" s="76">
        <v>9803.7287671232898</v>
      </c>
      <c r="G388" s="76">
        <v>9679.7726027397202</v>
      </c>
      <c r="H388" s="76">
        <v>9558.3671232876695</v>
      </c>
      <c r="I388" s="76">
        <v>9438.1612021857909</v>
      </c>
      <c r="J388" s="76">
        <v>9350.8493150684899</v>
      </c>
      <c r="K388" s="76">
        <v>9656.67671232877</v>
      </c>
      <c r="L388" s="76">
        <f>+P2a!D442</f>
        <v>9553.3397260273996</v>
      </c>
      <c r="M388" s="76">
        <f>+P2a!E442</f>
        <v>9485.2568306010908</v>
      </c>
      <c r="N388" s="76">
        <f>+P2a!F442</f>
        <v>9479.3278688524606</v>
      </c>
      <c r="O388" s="76">
        <v>9403.7923497267693</v>
      </c>
      <c r="P388" s="76">
        <f>14+9415.74</f>
        <v>9429.74</v>
      </c>
      <c r="Q388" s="76">
        <v>9414.3287670000009</v>
      </c>
      <c r="R388" s="76">
        <v>9391.4465753424593</v>
      </c>
      <c r="S388" s="76">
        <f>9344.14+16.05</f>
        <v>9360.1899999999987</v>
      </c>
      <c r="T388" s="76">
        <v>9312.0300000000007</v>
      </c>
      <c r="U388" s="76">
        <v>9247.81</v>
      </c>
      <c r="V388" s="76">
        <v>9121.0499999999993</v>
      </c>
      <c r="W388" s="76">
        <v>9052.1232876711892</v>
      </c>
      <c r="X388" s="46"/>
      <c r="Y388" s="451" t="s">
        <v>794</v>
      </c>
    </row>
    <row r="389" spans="1:25" ht="15" x14ac:dyDescent="0.2">
      <c r="A389" s="62" t="s">
        <v>795</v>
      </c>
      <c r="B389" s="71" t="s">
        <v>796</v>
      </c>
      <c r="C389" s="75" t="s">
        <v>223</v>
      </c>
      <c r="D389" s="76">
        <v>1277.0164383561601</v>
      </c>
      <c r="E389" s="76">
        <v>1226.64480874317</v>
      </c>
      <c r="F389" s="76">
        <v>1221.3068493150699</v>
      </c>
      <c r="G389" s="76">
        <v>1212.5972602739701</v>
      </c>
      <c r="H389" s="76">
        <v>1206.22191780822</v>
      </c>
      <c r="I389" s="76">
        <v>1195.30054644809</v>
      </c>
      <c r="J389" s="76">
        <v>1193.4246575342499</v>
      </c>
      <c r="K389" s="76">
        <v>1216.0054794520499</v>
      </c>
      <c r="L389" s="76">
        <f>+P2a!D443</f>
        <v>1212.36164383562</v>
      </c>
      <c r="M389" s="76">
        <f>+P2a!E443</f>
        <v>1204.8032786885201</v>
      </c>
      <c r="N389" s="76">
        <f>+P2a!F443</f>
        <v>1206.9726775956301</v>
      </c>
      <c r="O389" s="76">
        <v>1194.4344262295101</v>
      </c>
      <c r="P389" s="76">
        <v>1196.161644</v>
      </c>
      <c r="Q389" s="76">
        <v>1177.1643839999999</v>
      </c>
      <c r="R389" s="76">
        <v>1174.8794520547899</v>
      </c>
      <c r="S389" s="76">
        <f>1168.74+10.61</f>
        <v>1179.3499999999999</v>
      </c>
      <c r="T389" s="76">
        <v>1175.69</v>
      </c>
      <c r="U389" s="76">
        <v>1172.8800000000001</v>
      </c>
      <c r="V389" s="76">
        <v>1160.25</v>
      </c>
      <c r="W389" s="76">
        <v>1156.5342465753399</v>
      </c>
      <c r="X389" s="46"/>
      <c r="Y389" s="451" t="s">
        <v>797</v>
      </c>
    </row>
    <row r="390" spans="1:25" ht="15" x14ac:dyDescent="0.2">
      <c r="A390" s="108"/>
      <c r="B390" s="106"/>
      <c r="C390" s="110"/>
      <c r="D390" s="72"/>
      <c r="E390" s="72"/>
      <c r="F390" s="72"/>
      <c r="G390" s="72"/>
      <c r="H390" s="72"/>
      <c r="I390" s="72"/>
      <c r="J390" s="72"/>
      <c r="K390" s="72"/>
      <c r="L390" s="72"/>
      <c r="M390" s="72"/>
      <c r="N390" s="72"/>
      <c r="O390" s="72"/>
      <c r="P390" s="72"/>
      <c r="Q390" s="72"/>
      <c r="R390" s="72"/>
      <c r="S390" s="72"/>
      <c r="T390" s="72"/>
      <c r="U390" s="72"/>
      <c r="V390" s="72"/>
      <c r="W390" s="72"/>
    </row>
    <row r="391" spans="1:25" ht="15.75" x14ac:dyDescent="0.25">
      <c r="B391" s="80" t="s">
        <v>684</v>
      </c>
      <c r="C391" s="116"/>
      <c r="V391" s="60"/>
      <c r="W391" s="60"/>
    </row>
    <row r="392" spans="1:25" ht="15" x14ac:dyDescent="0.2">
      <c r="A392" s="62" t="s">
        <v>798</v>
      </c>
      <c r="B392" s="71" t="s">
        <v>799</v>
      </c>
      <c r="C392" s="75" t="s">
        <v>223</v>
      </c>
      <c r="D392" s="76">
        <v>120.54</v>
      </c>
      <c r="E392" s="76">
        <v>117.72</v>
      </c>
      <c r="F392" s="76">
        <v>120.49</v>
      </c>
      <c r="G392" s="76">
        <v>120.67</v>
      </c>
      <c r="H392" s="76">
        <v>120.05</v>
      </c>
      <c r="I392" s="76">
        <v>121.25</v>
      </c>
      <c r="J392" s="76">
        <v>120.77</v>
      </c>
      <c r="K392" s="76">
        <v>121.49</v>
      </c>
      <c r="L392" s="76">
        <f>+P2a!D446</f>
        <v>123.92</v>
      </c>
      <c r="M392" s="76">
        <f>+P2a!E446</f>
        <v>126.4</v>
      </c>
      <c r="N392" s="76">
        <f>+P2a!F446</f>
        <v>126.4</v>
      </c>
      <c r="O392" s="76">
        <v>128.93</v>
      </c>
      <c r="P392" s="76">
        <v>128.93</v>
      </c>
      <c r="Q392" s="76">
        <v>132.15</v>
      </c>
      <c r="R392" s="76">
        <v>132.15</v>
      </c>
      <c r="S392" s="76">
        <v>137.69999999999999</v>
      </c>
      <c r="T392" s="76">
        <v>137.69999999999999</v>
      </c>
      <c r="U392" s="76">
        <v>144.59</v>
      </c>
      <c r="V392" s="76">
        <v>144.59</v>
      </c>
      <c r="W392" s="76">
        <v>157.31</v>
      </c>
      <c r="X392" s="46"/>
      <c r="Y392" s="451" t="s">
        <v>800</v>
      </c>
    </row>
    <row r="393" spans="1:25" ht="15" x14ac:dyDescent="0.2">
      <c r="A393" s="62" t="s">
        <v>801</v>
      </c>
      <c r="B393" s="71" t="s">
        <v>802</v>
      </c>
      <c r="C393" s="75" t="s">
        <v>223</v>
      </c>
      <c r="D393" s="76">
        <v>78.56</v>
      </c>
      <c r="E393" s="76">
        <v>76.72</v>
      </c>
      <c r="F393" s="76">
        <v>78.52</v>
      </c>
      <c r="G393" s="76">
        <v>78.64</v>
      </c>
      <c r="H393" s="76">
        <v>78.239999999999995</v>
      </c>
      <c r="I393" s="76">
        <v>79.02</v>
      </c>
      <c r="J393" s="76">
        <v>78.7</v>
      </c>
      <c r="K393" s="76">
        <v>79.17</v>
      </c>
      <c r="L393" s="76">
        <f>+P2a!D447</f>
        <v>80.75</v>
      </c>
      <c r="M393" s="76">
        <f>+P2a!E447</f>
        <v>82.37</v>
      </c>
      <c r="N393" s="76">
        <f>+P2a!F447</f>
        <v>82.37</v>
      </c>
      <c r="O393" s="76">
        <v>84.02</v>
      </c>
      <c r="P393" s="76">
        <v>84.02</v>
      </c>
      <c r="Q393" s="76">
        <v>86.12</v>
      </c>
      <c r="R393" s="76">
        <v>86.12</v>
      </c>
      <c r="S393" s="76">
        <v>89.74</v>
      </c>
      <c r="T393" s="76">
        <v>89.74</v>
      </c>
      <c r="U393" s="76">
        <v>94.23</v>
      </c>
      <c r="V393" s="76">
        <v>94.23</v>
      </c>
      <c r="W393" s="76">
        <v>102.52</v>
      </c>
      <c r="X393" s="46"/>
      <c r="Y393" s="451" t="s">
        <v>803</v>
      </c>
    </row>
    <row r="394" spans="1:25" ht="15" x14ac:dyDescent="0.2">
      <c r="A394" s="108"/>
      <c r="B394" s="106"/>
      <c r="C394" s="110"/>
      <c r="D394" s="72"/>
      <c r="E394" s="72"/>
      <c r="F394" s="72"/>
      <c r="G394" s="72"/>
      <c r="H394" s="72"/>
      <c r="I394" s="72"/>
      <c r="J394" s="72"/>
      <c r="K394" s="72"/>
      <c r="L394" s="72"/>
      <c r="M394" s="72"/>
      <c r="N394" s="72"/>
      <c r="O394" s="72"/>
      <c r="P394" s="72"/>
      <c r="Q394" s="72"/>
      <c r="R394" s="72"/>
      <c r="S394" s="72"/>
      <c r="T394" s="72"/>
      <c r="U394" s="72"/>
      <c r="V394" s="72"/>
      <c r="W394" s="72"/>
    </row>
    <row r="395" spans="1:25" ht="15.75" x14ac:dyDescent="0.25">
      <c r="B395" s="80" t="s">
        <v>318</v>
      </c>
      <c r="C395" s="116"/>
      <c r="W395" s="60"/>
    </row>
    <row r="396" spans="1:25" ht="15" x14ac:dyDescent="0.2">
      <c r="A396" s="62" t="s">
        <v>804</v>
      </c>
      <c r="B396" s="71" t="s">
        <v>805</v>
      </c>
      <c r="C396" s="63" t="s">
        <v>190</v>
      </c>
      <c r="D396" s="64">
        <f t="shared" ref="D396:W396" si="93">D388*D392</f>
        <v>1213693.152</v>
      </c>
      <c r="E396" s="64">
        <f t="shared" si="93"/>
        <v>1160926.0140983604</v>
      </c>
      <c r="F396" s="64">
        <f t="shared" si="93"/>
        <v>1181251.2791506851</v>
      </c>
      <c r="G396" s="64">
        <f t="shared" si="93"/>
        <v>1168058.159972602</v>
      </c>
      <c r="H396" s="64">
        <f t="shared" si="93"/>
        <v>1147481.9731506847</v>
      </c>
      <c r="I396" s="64">
        <f t="shared" si="93"/>
        <v>1144377.0457650272</v>
      </c>
      <c r="J396" s="64">
        <f t="shared" si="93"/>
        <v>1129302.0717808215</v>
      </c>
      <c r="K396" s="64">
        <f t="shared" si="93"/>
        <v>1173189.6537808222</v>
      </c>
      <c r="L396" s="64">
        <f t="shared" si="93"/>
        <v>1183849.8588493154</v>
      </c>
      <c r="M396" s="64">
        <f t="shared" si="93"/>
        <v>1198936.463387978</v>
      </c>
      <c r="N396" s="64">
        <f t="shared" si="93"/>
        <v>1198187.0426229511</v>
      </c>
      <c r="O396" s="64">
        <f t="shared" si="93"/>
        <v>1212430.9476502724</v>
      </c>
      <c r="P396" s="64">
        <f t="shared" si="93"/>
        <v>1215776.3782000002</v>
      </c>
      <c r="Q396" s="64">
        <f t="shared" si="93"/>
        <v>1244103.5465590502</v>
      </c>
      <c r="R396" s="64">
        <f t="shared" si="93"/>
        <v>1241079.6649315062</v>
      </c>
      <c r="S396" s="64">
        <f t="shared" si="93"/>
        <v>1288898.1629999997</v>
      </c>
      <c r="T396" s="64">
        <f t="shared" si="93"/>
        <v>1282266.531</v>
      </c>
      <c r="U396" s="64">
        <f t="shared" si="93"/>
        <v>1337140.8478999999</v>
      </c>
      <c r="V396" s="64">
        <f t="shared" si="93"/>
        <v>1318812.6195</v>
      </c>
      <c r="W396" s="64">
        <f t="shared" si="93"/>
        <v>1423989.5143835547</v>
      </c>
      <c r="X396" s="46"/>
      <c r="Y396" s="451" t="s">
        <v>806</v>
      </c>
    </row>
    <row r="397" spans="1:25" ht="15" x14ac:dyDescent="0.2">
      <c r="A397" s="62" t="s">
        <v>807</v>
      </c>
      <c r="B397" s="71" t="s">
        <v>808</v>
      </c>
      <c r="C397" s="63" t="s">
        <v>190</v>
      </c>
      <c r="D397" s="64">
        <f t="shared" ref="D397:W397" si="94">D389*D393</f>
        <v>100322.41139725993</v>
      </c>
      <c r="E397" s="64">
        <f t="shared" si="94"/>
        <v>94108.189726775992</v>
      </c>
      <c r="F397" s="64">
        <f t="shared" si="94"/>
        <v>95897.013808219286</v>
      </c>
      <c r="G397" s="64">
        <f t="shared" si="94"/>
        <v>95358.648547945006</v>
      </c>
      <c r="H397" s="64">
        <f t="shared" si="94"/>
        <v>94374.802849315136</v>
      </c>
      <c r="I397" s="64">
        <f t="shared" si="94"/>
        <v>94452.649180328066</v>
      </c>
      <c r="J397" s="64">
        <f t="shared" si="94"/>
        <v>93922.520547945474</v>
      </c>
      <c r="K397" s="64">
        <f t="shared" si="94"/>
        <v>96271.153808218791</v>
      </c>
      <c r="L397" s="64">
        <f t="shared" si="94"/>
        <v>97898.202739726315</v>
      </c>
      <c r="M397" s="64">
        <f t="shared" si="94"/>
        <v>99239.646065573412</v>
      </c>
      <c r="N397" s="64">
        <f t="shared" si="94"/>
        <v>99418.339453552064</v>
      </c>
      <c r="O397" s="64">
        <f t="shared" si="94"/>
        <v>100356.38049180343</v>
      </c>
      <c r="P397" s="64">
        <f t="shared" si="94"/>
        <v>100501.50132888</v>
      </c>
      <c r="Q397" s="64">
        <f t="shared" si="94"/>
        <v>101377.39675008001</v>
      </c>
      <c r="R397" s="64">
        <f t="shared" si="94"/>
        <v>101180.61841095852</v>
      </c>
      <c r="S397" s="64">
        <f t="shared" si="94"/>
        <v>105834.86899999999</v>
      </c>
      <c r="T397" s="64">
        <f t="shared" si="94"/>
        <v>105506.4206</v>
      </c>
      <c r="U397" s="64">
        <f t="shared" si="94"/>
        <v>110520.48240000001</v>
      </c>
      <c r="V397" s="64">
        <f t="shared" si="94"/>
        <v>109330.3575</v>
      </c>
      <c r="W397" s="64">
        <f t="shared" si="94"/>
        <v>118567.89095890384</v>
      </c>
      <c r="X397" s="46"/>
      <c r="Y397" s="451" t="s">
        <v>809</v>
      </c>
    </row>
    <row r="398" spans="1:25" ht="15" x14ac:dyDescent="0.2">
      <c r="A398" s="62" t="s">
        <v>810</v>
      </c>
      <c r="B398" s="71" t="s">
        <v>189</v>
      </c>
      <c r="C398" s="63" t="s">
        <v>190</v>
      </c>
      <c r="D398" s="64">
        <f t="shared" ref="D398:W398" si="95">SUM(D396:D397)</f>
        <v>1314015.5633972599</v>
      </c>
      <c r="E398" s="64">
        <f t="shared" si="95"/>
        <v>1255034.2038251364</v>
      </c>
      <c r="F398" s="64">
        <f t="shared" si="95"/>
        <v>1277148.2929589043</v>
      </c>
      <c r="G398" s="64">
        <f t="shared" si="95"/>
        <v>1263416.8085205471</v>
      </c>
      <c r="H398" s="64">
        <f t="shared" si="95"/>
        <v>1241856.7759999998</v>
      </c>
      <c r="I398" s="64">
        <f t="shared" si="95"/>
        <v>1238829.6949453552</v>
      </c>
      <c r="J398" s="64">
        <f t="shared" si="95"/>
        <v>1223224.5923287671</v>
      </c>
      <c r="K398" s="64">
        <f t="shared" si="95"/>
        <v>1269460.8075890411</v>
      </c>
      <c r="L398" s="64">
        <f t="shared" si="95"/>
        <v>1281748.0615890417</v>
      </c>
      <c r="M398" s="64">
        <f t="shared" si="95"/>
        <v>1298176.1094535515</v>
      </c>
      <c r="N398" s="64">
        <f t="shared" si="95"/>
        <v>1297605.3820765032</v>
      </c>
      <c r="O398" s="64">
        <f t="shared" si="95"/>
        <v>1312787.3281420758</v>
      </c>
      <c r="P398" s="64">
        <f t="shared" si="95"/>
        <v>1316277.8795288801</v>
      </c>
      <c r="Q398" s="64">
        <f t="shared" si="95"/>
        <v>1345480.9433091301</v>
      </c>
      <c r="R398" s="64">
        <f t="shared" si="95"/>
        <v>1342260.2833424646</v>
      </c>
      <c r="S398" s="64">
        <f t="shared" si="95"/>
        <v>1394733.0319999997</v>
      </c>
      <c r="T398" s="64">
        <f t="shared" si="95"/>
        <v>1387772.9516</v>
      </c>
      <c r="U398" s="64">
        <f t="shared" si="95"/>
        <v>1447661.3303</v>
      </c>
      <c r="V398" s="64">
        <f t="shared" si="95"/>
        <v>1428142.977</v>
      </c>
      <c r="W398" s="64">
        <f t="shared" si="95"/>
        <v>1542557.4053424585</v>
      </c>
      <c r="X398" s="46"/>
      <c r="Y398" s="451" t="s">
        <v>187</v>
      </c>
    </row>
    <row r="399" spans="1:25" ht="15" x14ac:dyDescent="0.2">
      <c r="A399" s="108"/>
      <c r="B399" s="106"/>
      <c r="C399" s="110"/>
      <c r="D399" s="72"/>
      <c r="E399" s="72"/>
      <c r="F399" s="72"/>
      <c r="G399" s="72"/>
      <c r="H399" s="72"/>
      <c r="I399" s="72"/>
      <c r="J399" s="72"/>
      <c r="K399" s="72"/>
      <c r="L399" s="72"/>
      <c r="M399" s="72"/>
      <c r="N399" s="72"/>
      <c r="O399" s="72"/>
      <c r="P399" s="72"/>
      <c r="Q399" s="72"/>
      <c r="R399" s="72"/>
      <c r="S399" s="72"/>
      <c r="T399" s="72"/>
      <c r="U399" s="72"/>
      <c r="V399" s="72"/>
      <c r="W399" s="72"/>
    </row>
    <row r="400" spans="1:25" ht="31.5" x14ac:dyDescent="0.25">
      <c r="B400" s="80" t="s">
        <v>811</v>
      </c>
      <c r="C400" s="119"/>
      <c r="W400" s="84"/>
    </row>
    <row r="401" spans="1:25" ht="15" x14ac:dyDescent="0.2">
      <c r="A401" s="62" t="s">
        <v>812</v>
      </c>
      <c r="B401" s="62" t="s">
        <v>813</v>
      </c>
      <c r="C401" s="75" t="s">
        <v>223</v>
      </c>
      <c r="D401" s="76">
        <v>0</v>
      </c>
      <c r="E401" s="76">
        <v>0</v>
      </c>
      <c r="F401" s="76">
        <v>0</v>
      </c>
      <c r="G401" s="76">
        <v>0</v>
      </c>
      <c r="H401" s="76">
        <v>0</v>
      </c>
      <c r="I401" s="76">
        <v>0</v>
      </c>
      <c r="J401" s="76">
        <v>18.1983</v>
      </c>
      <c r="K401" s="76">
        <v>639.40350000000001</v>
      </c>
      <c r="L401" s="76">
        <f>+P2a!D455-L405</f>
        <v>737.35619999999994</v>
      </c>
      <c r="M401" s="76">
        <f>+P2a!E455</f>
        <v>937.12450000000001</v>
      </c>
      <c r="N401" s="76">
        <f>+P2a!F455-N405</f>
        <v>980.29359999999997</v>
      </c>
      <c r="O401" s="76">
        <v>1289.2994000000001</v>
      </c>
      <c r="P401" s="76">
        <v>1289</v>
      </c>
      <c r="Q401" s="76">
        <v>1299</v>
      </c>
      <c r="R401" s="76">
        <v>1321.5</v>
      </c>
      <c r="S401" s="76">
        <v>1888.1858999999999</v>
      </c>
      <c r="T401" s="76">
        <v>2071.0055000000002</v>
      </c>
      <c r="U401" s="76">
        <v>5258.7313999999897</v>
      </c>
      <c r="V401" s="76">
        <v>4683</v>
      </c>
      <c r="W401" s="76">
        <v>4944.9739999999902</v>
      </c>
      <c r="X401" s="46"/>
      <c r="Y401" s="451" t="s">
        <v>814</v>
      </c>
    </row>
    <row r="402" spans="1:25" ht="30" x14ac:dyDescent="0.2">
      <c r="A402" s="62" t="s">
        <v>815</v>
      </c>
      <c r="B402" s="62" t="s">
        <v>816</v>
      </c>
      <c r="C402" s="63" t="s">
        <v>190</v>
      </c>
      <c r="D402" s="89">
        <f t="shared" ref="D402:U402" si="96">D401/D398</f>
        <v>0</v>
      </c>
      <c r="E402" s="89">
        <f t="shared" si="96"/>
        <v>0</v>
      </c>
      <c r="F402" s="89">
        <f t="shared" si="96"/>
        <v>0</v>
      </c>
      <c r="G402" s="89">
        <f t="shared" si="96"/>
        <v>0</v>
      </c>
      <c r="H402" s="89">
        <f t="shared" si="96"/>
        <v>0</v>
      </c>
      <c r="I402" s="89">
        <f t="shared" si="96"/>
        <v>0</v>
      </c>
      <c r="J402" s="89">
        <f t="shared" si="96"/>
        <v>1.4877316981793339E-5</v>
      </c>
      <c r="K402" s="89">
        <f t="shared" si="96"/>
        <v>5.0368116619082918E-4</v>
      </c>
      <c r="L402" s="89">
        <f t="shared" si="96"/>
        <v>5.7527389515679521E-4</v>
      </c>
      <c r="M402" s="89">
        <f t="shared" si="96"/>
        <v>7.2187778928890398E-4</v>
      </c>
      <c r="N402" s="89">
        <f t="shared" si="96"/>
        <v>7.5546357431970372E-4</v>
      </c>
      <c r="O402" s="89">
        <f t="shared" si="96"/>
        <v>9.8210835248134444E-4</v>
      </c>
      <c r="P402" s="89">
        <f t="shared" si="96"/>
        <v>9.792765038802876E-4</v>
      </c>
      <c r="Q402" s="89">
        <f t="shared" si="96"/>
        <v>9.6545403073876833E-4</v>
      </c>
      <c r="R402" s="89">
        <f t="shared" si="96"/>
        <v>9.8453334006816644E-4</v>
      </c>
      <c r="S402" s="89">
        <f t="shared" si="96"/>
        <v>1.3537973624188177E-3</v>
      </c>
      <c r="T402" s="89">
        <f t="shared" si="96"/>
        <v>1.492323003998805E-3</v>
      </c>
      <c r="U402" s="89">
        <f t="shared" si="96"/>
        <v>3.6325701943770361E-3</v>
      </c>
      <c r="V402" s="89">
        <v>2.0896007949209698E-3</v>
      </c>
      <c r="W402" s="89">
        <v>3.2056985256261302E-3</v>
      </c>
      <c r="X402" s="46"/>
      <c r="Y402" s="451" t="s">
        <v>817</v>
      </c>
    </row>
    <row r="403" spans="1:25" ht="30" x14ac:dyDescent="0.2">
      <c r="A403" s="62" t="s">
        <v>818</v>
      </c>
      <c r="B403" s="62" t="s">
        <v>819</v>
      </c>
      <c r="C403" s="75" t="s">
        <v>223</v>
      </c>
      <c r="D403" s="76">
        <v>0</v>
      </c>
      <c r="E403" s="76">
        <v>0</v>
      </c>
      <c r="F403" s="76">
        <v>0</v>
      </c>
      <c r="G403" s="76">
        <v>0</v>
      </c>
      <c r="H403" s="76">
        <v>0</v>
      </c>
      <c r="I403" s="76">
        <v>0</v>
      </c>
      <c r="J403" s="76">
        <v>0</v>
      </c>
      <c r="K403" s="76">
        <v>36379.631200000003</v>
      </c>
      <c r="L403" s="76">
        <f>+P2a!D457-L405</f>
        <v>37217.696199999904</v>
      </c>
      <c r="M403" s="76">
        <f>+P2a!E457-M405</f>
        <v>35950.734900000098</v>
      </c>
      <c r="N403" s="76">
        <f>+P2a!F457-N405</f>
        <v>35297.369399999996</v>
      </c>
      <c r="O403" s="76">
        <v>38477.571300000003</v>
      </c>
      <c r="P403" s="76">
        <v>42985</v>
      </c>
      <c r="Q403" s="76">
        <v>47392</v>
      </c>
      <c r="R403" s="76">
        <v>52706.424299999999</v>
      </c>
      <c r="S403" s="76">
        <v>56207.902999999998</v>
      </c>
      <c r="T403" s="76">
        <v>55185.175399999898</v>
      </c>
      <c r="U403" s="76">
        <v>62518.5513999998</v>
      </c>
      <c r="V403" s="76">
        <v>64375.867899999801</v>
      </c>
      <c r="W403" s="76">
        <v>72510.718499999493</v>
      </c>
      <c r="X403" s="46"/>
      <c r="Y403" s="451" t="s">
        <v>820</v>
      </c>
    </row>
    <row r="404" spans="1:25" ht="30" x14ac:dyDescent="0.2">
      <c r="A404" s="62" t="s">
        <v>821</v>
      </c>
      <c r="B404" s="62" t="s">
        <v>822</v>
      </c>
      <c r="C404" s="63" t="s">
        <v>190</v>
      </c>
      <c r="D404" s="89">
        <f t="shared" ref="D404:U404" si="97">D403/D398</f>
        <v>0</v>
      </c>
      <c r="E404" s="89">
        <f t="shared" si="97"/>
        <v>0</v>
      </c>
      <c r="F404" s="89">
        <f t="shared" si="97"/>
        <v>0</v>
      </c>
      <c r="G404" s="89">
        <f t="shared" si="97"/>
        <v>0</v>
      </c>
      <c r="H404" s="89">
        <f t="shared" si="97"/>
        <v>0</v>
      </c>
      <c r="I404" s="89">
        <f t="shared" si="97"/>
        <v>0</v>
      </c>
      <c r="J404" s="89">
        <f t="shared" si="97"/>
        <v>0</v>
      </c>
      <c r="K404" s="89">
        <f t="shared" si="97"/>
        <v>2.8657545772596296E-2</v>
      </c>
      <c r="L404" s="89">
        <f t="shared" si="97"/>
        <v>2.9036670555880866E-2</v>
      </c>
      <c r="M404" s="89">
        <f t="shared" si="97"/>
        <v>2.7693264910824033E-2</v>
      </c>
      <c r="N404" s="89">
        <f t="shared" si="97"/>
        <v>2.720192894353991E-2</v>
      </c>
      <c r="O404" s="89">
        <f t="shared" si="97"/>
        <v>2.9309828389687036E-2</v>
      </c>
      <c r="P404" s="89">
        <f t="shared" si="97"/>
        <v>3.2656478292702996E-2</v>
      </c>
      <c r="Q404" s="89">
        <f t="shared" si="97"/>
        <v>3.5223092705751892E-2</v>
      </c>
      <c r="R404" s="89">
        <f t="shared" si="97"/>
        <v>3.9266917865402165E-2</v>
      </c>
      <c r="S404" s="89">
        <f t="shared" si="97"/>
        <v>4.0300116015320707E-2</v>
      </c>
      <c r="T404" s="89">
        <f t="shared" si="97"/>
        <v>3.9765276687642209E-2</v>
      </c>
      <c r="U404" s="89">
        <f t="shared" si="97"/>
        <v>4.3185895824850162E-2</v>
      </c>
      <c r="V404" s="89">
        <v>4.5076626736091703E-2</v>
      </c>
      <c r="W404" s="89">
        <v>4.7006820134451698E-2</v>
      </c>
      <c r="X404" s="46"/>
      <c r="Y404" s="451" t="s">
        <v>823</v>
      </c>
    </row>
    <row r="405" spans="1:25" ht="15" x14ac:dyDescent="0.2">
      <c r="A405" s="62" t="s">
        <v>824</v>
      </c>
      <c r="B405" s="62" t="s">
        <v>347</v>
      </c>
      <c r="C405" s="75" t="s">
        <v>223</v>
      </c>
      <c r="D405" s="76">
        <v>0</v>
      </c>
      <c r="E405" s="76">
        <v>0</v>
      </c>
      <c r="F405" s="76">
        <v>0</v>
      </c>
      <c r="G405" s="76">
        <v>0</v>
      </c>
      <c r="H405" s="76">
        <v>0</v>
      </c>
      <c r="I405" s="76">
        <v>0</v>
      </c>
      <c r="J405" s="76">
        <v>0</v>
      </c>
      <c r="K405" s="76">
        <v>190.38980000000001</v>
      </c>
      <c r="L405" s="76">
        <f>+P2a!D459</f>
        <v>247.84</v>
      </c>
      <c r="M405" s="76">
        <f>+P2a!E459</f>
        <v>295.27850000000001</v>
      </c>
      <c r="N405" s="76">
        <f>+P2a!F459</f>
        <v>252.8</v>
      </c>
      <c r="O405" s="76">
        <v>0</v>
      </c>
      <c r="P405" s="76">
        <v>0</v>
      </c>
      <c r="Q405" s="76">
        <v>0</v>
      </c>
      <c r="R405" s="76">
        <v>0</v>
      </c>
      <c r="S405" s="76">
        <v>0</v>
      </c>
      <c r="T405" s="76">
        <v>0</v>
      </c>
      <c r="U405" s="76">
        <v>0</v>
      </c>
      <c r="V405" s="76">
        <v>1698.4935</v>
      </c>
      <c r="W405" s="76">
        <v>2589.5210999999899</v>
      </c>
      <c r="X405" s="46"/>
      <c r="Y405" s="451" t="s">
        <v>348</v>
      </c>
    </row>
    <row r="406" spans="1:25" ht="30" x14ac:dyDescent="0.2">
      <c r="A406" s="62" t="s">
        <v>825</v>
      </c>
      <c r="B406" s="62" t="s">
        <v>350</v>
      </c>
      <c r="C406" s="63" t="s">
        <v>190</v>
      </c>
      <c r="D406" s="89">
        <f t="shared" ref="D406:W406" si="98">D405/D398</f>
        <v>0</v>
      </c>
      <c r="E406" s="89">
        <f t="shared" si="98"/>
        <v>0</v>
      </c>
      <c r="F406" s="89">
        <f t="shared" si="98"/>
        <v>0</v>
      </c>
      <c r="G406" s="89">
        <f t="shared" si="98"/>
        <v>0</v>
      </c>
      <c r="H406" s="89">
        <f t="shared" si="98"/>
        <v>0</v>
      </c>
      <c r="I406" s="89">
        <f t="shared" si="98"/>
        <v>0</v>
      </c>
      <c r="J406" s="89">
        <f t="shared" si="98"/>
        <v>0</v>
      </c>
      <c r="K406" s="89">
        <f t="shared" si="98"/>
        <v>1.4997690268326452E-4</v>
      </c>
      <c r="L406" s="89">
        <f t="shared" si="98"/>
        <v>1.9336093217316156E-4</v>
      </c>
      <c r="M406" s="89">
        <f t="shared" si="98"/>
        <v>2.2745642740590354E-4</v>
      </c>
      <c r="N406" s="89">
        <f t="shared" si="98"/>
        <v>1.9482040032498541E-4</v>
      </c>
      <c r="O406" s="89">
        <f t="shared" si="98"/>
        <v>0</v>
      </c>
      <c r="P406" s="89">
        <f t="shared" si="98"/>
        <v>0</v>
      </c>
      <c r="Q406" s="89">
        <f t="shared" si="98"/>
        <v>0</v>
      </c>
      <c r="R406" s="89">
        <f t="shared" si="98"/>
        <v>0</v>
      </c>
      <c r="S406" s="89">
        <f t="shared" si="98"/>
        <v>0</v>
      </c>
      <c r="T406" s="89">
        <f t="shared" si="98"/>
        <v>0</v>
      </c>
      <c r="U406" s="89">
        <f t="shared" si="98"/>
        <v>0</v>
      </c>
      <c r="V406" s="89">
        <f t="shared" si="98"/>
        <v>1.1893021408598083E-3</v>
      </c>
      <c r="W406" s="89">
        <f t="shared" si="98"/>
        <v>1.6787194376244937E-3</v>
      </c>
      <c r="X406" s="46"/>
    </row>
    <row r="407" spans="1:25" ht="15.75" thickBot="1" x14ac:dyDescent="0.25">
      <c r="A407" s="108"/>
      <c r="B407" s="109"/>
      <c r="C407" s="109"/>
      <c r="D407" s="125"/>
      <c r="E407" s="125"/>
      <c r="F407" s="125"/>
      <c r="G407" s="125"/>
      <c r="H407" s="125"/>
      <c r="I407" s="125"/>
      <c r="J407" s="125"/>
      <c r="K407" s="125"/>
      <c r="L407" s="125"/>
      <c r="M407" s="125"/>
      <c r="N407" s="125"/>
      <c r="O407" s="125"/>
      <c r="P407" s="125"/>
      <c r="Q407" s="125"/>
      <c r="R407" s="72"/>
      <c r="S407" s="72"/>
      <c r="T407" s="72"/>
      <c r="U407" s="72"/>
      <c r="V407" s="72"/>
      <c r="W407" s="72"/>
    </row>
    <row r="408" spans="1:25" ht="15" x14ac:dyDescent="0.2">
      <c r="B408" s="457"/>
      <c r="C408" s="458"/>
      <c r="D408" s="459"/>
      <c r="E408" s="459"/>
      <c r="F408" s="459"/>
      <c r="G408" s="460"/>
      <c r="H408" s="455"/>
      <c r="W408" s="59"/>
    </row>
    <row r="409" spans="1:25" ht="15" x14ac:dyDescent="0.2">
      <c r="B409" s="461" t="s">
        <v>148</v>
      </c>
      <c r="E409" s="59"/>
      <c r="G409" s="377"/>
      <c r="H409" s="455"/>
      <c r="W409" s="59"/>
    </row>
    <row r="410" spans="1:25" ht="15" x14ac:dyDescent="0.2">
      <c r="B410" s="462"/>
      <c r="E410" s="456" t="s">
        <v>151</v>
      </c>
      <c r="G410" s="377"/>
      <c r="H410" s="455"/>
      <c r="W410" s="59"/>
    </row>
    <row r="411" spans="1:25" ht="15" x14ac:dyDescent="0.2">
      <c r="B411" s="461" t="s">
        <v>150</v>
      </c>
      <c r="G411" s="377"/>
      <c r="H411" s="455"/>
      <c r="W411" s="59"/>
    </row>
    <row r="412" spans="1:25" ht="15" x14ac:dyDescent="0.2">
      <c r="B412" s="462"/>
      <c r="E412" s="456" t="s">
        <v>151</v>
      </c>
      <c r="G412" s="377"/>
      <c r="H412" s="455"/>
      <c r="W412" s="59"/>
    </row>
    <row r="413" spans="1:25" ht="15" x14ac:dyDescent="0.2">
      <c r="B413" s="461" t="s">
        <v>1466</v>
      </c>
      <c r="G413" s="377"/>
      <c r="H413" s="455"/>
      <c r="W413" s="59"/>
    </row>
    <row r="414" spans="1:25" ht="15.75" thickBot="1" x14ac:dyDescent="0.25">
      <c r="B414" s="463"/>
      <c r="C414" s="378"/>
      <c r="D414" s="378"/>
      <c r="E414" s="464" t="s">
        <v>826</v>
      </c>
      <c r="F414" s="378"/>
      <c r="G414" s="409"/>
      <c r="H414" s="455"/>
      <c r="W414" s="59"/>
    </row>
    <row r="415" spans="1:25" ht="15" x14ac:dyDescent="0.2">
      <c r="B415" s="65"/>
      <c r="C415" s="65"/>
      <c r="D415" s="455"/>
      <c r="F415" s="455"/>
      <c r="G415" s="455"/>
      <c r="W415" s="59"/>
    </row>
    <row r="416" spans="1:25" ht="15" x14ac:dyDescent="0.2">
      <c r="W416" s="59"/>
    </row>
    <row r="417" spans="23:23" ht="15" x14ac:dyDescent="0.2">
      <c r="W417" s="59"/>
    </row>
    <row r="418" spans="23:23" ht="15" x14ac:dyDescent="0.2">
      <c r="W418" s="59"/>
    </row>
    <row r="419" spans="23:23" ht="15" x14ac:dyDescent="0.2">
      <c r="W419" s="59"/>
    </row>
    <row r="420" spans="23:23" ht="15" x14ac:dyDescent="0.2">
      <c r="W420" s="59"/>
    </row>
    <row r="421" spans="23:23" ht="15" x14ac:dyDescent="0.2">
      <c r="W421" s="59"/>
    </row>
    <row r="422" spans="23:23" ht="15" x14ac:dyDescent="0.2">
      <c r="W422" s="59"/>
    </row>
    <row r="423" spans="23:23" ht="15" x14ac:dyDescent="0.2">
      <c r="W423" s="59"/>
    </row>
    <row r="424" spans="23:23" ht="15" x14ac:dyDescent="0.2">
      <c r="W424" s="59"/>
    </row>
    <row r="425" spans="23:23" ht="15" x14ac:dyDescent="0.2">
      <c r="W425" s="59"/>
    </row>
    <row r="426" spans="23:23" ht="15" x14ac:dyDescent="0.2">
      <c r="W426" s="59"/>
    </row>
    <row r="427" spans="23:23" ht="15" x14ac:dyDescent="0.2">
      <c r="W427" s="59"/>
    </row>
    <row r="428" spans="23:23" ht="15" x14ac:dyDescent="0.2">
      <c r="W428" s="59"/>
    </row>
    <row r="429" spans="23:23" ht="15" x14ac:dyDescent="0.2">
      <c r="W429" s="59"/>
    </row>
    <row r="430" spans="23:23" ht="15" x14ac:dyDescent="0.2">
      <c r="W430" s="59"/>
    </row>
    <row r="431" spans="23:23" ht="15" x14ac:dyDescent="0.2">
      <c r="W431" s="59"/>
    </row>
    <row r="432" spans="23:23" ht="15" x14ac:dyDescent="0.2">
      <c r="W432" s="59"/>
    </row>
    <row r="433" spans="23:23" ht="15" x14ac:dyDescent="0.2">
      <c r="W433" s="59"/>
    </row>
    <row r="434" spans="23:23" ht="15" x14ac:dyDescent="0.2">
      <c r="W434" s="59"/>
    </row>
    <row r="435" spans="23:23" ht="15" x14ac:dyDescent="0.2">
      <c r="W435" s="59"/>
    </row>
    <row r="436" spans="23:23" ht="15" x14ac:dyDescent="0.2">
      <c r="W436" s="59"/>
    </row>
    <row r="437" spans="23:23" ht="15" x14ac:dyDescent="0.2">
      <c r="W437" s="59"/>
    </row>
    <row r="438" spans="23:23" ht="15" x14ac:dyDescent="0.2">
      <c r="W438" s="59"/>
    </row>
    <row r="439" spans="23:23" ht="15" x14ac:dyDescent="0.2">
      <c r="W439" s="59"/>
    </row>
    <row r="440" spans="23:23" ht="15" x14ac:dyDescent="0.2">
      <c r="W440" s="59"/>
    </row>
    <row r="441" spans="23:23" ht="15" x14ac:dyDescent="0.2">
      <c r="W441" s="59"/>
    </row>
    <row r="442" spans="23:23" ht="15" x14ac:dyDescent="0.2">
      <c r="W442" s="59"/>
    </row>
    <row r="443" spans="23:23" ht="15" x14ac:dyDescent="0.2">
      <c r="W443" s="59"/>
    </row>
    <row r="444" spans="23:23" ht="15" x14ac:dyDescent="0.2">
      <c r="W444" s="59"/>
    </row>
    <row r="445" spans="23:23" ht="15" x14ac:dyDescent="0.2">
      <c r="W445" s="59"/>
    </row>
    <row r="446" spans="23:23" ht="15" x14ac:dyDescent="0.2">
      <c r="W446" s="59"/>
    </row>
    <row r="447" spans="23:23" ht="15" x14ac:dyDescent="0.2">
      <c r="W447" s="59"/>
    </row>
    <row r="448" spans="23:23" ht="15" x14ac:dyDescent="0.2">
      <c r="W448" s="59"/>
    </row>
    <row r="449" spans="23:23" ht="15" x14ac:dyDescent="0.2">
      <c r="W449" s="59"/>
    </row>
    <row r="450" spans="23:23" ht="15" x14ac:dyDescent="0.2">
      <c r="W450" s="59"/>
    </row>
    <row r="451" spans="23:23" ht="15" x14ac:dyDescent="0.2">
      <c r="W451" s="59"/>
    </row>
    <row r="452" spans="23:23" ht="15" x14ac:dyDescent="0.2">
      <c r="W452" s="59"/>
    </row>
    <row r="453" spans="23:23" ht="15" x14ac:dyDescent="0.2">
      <c r="W453" s="59"/>
    </row>
    <row r="454" spans="23:23" ht="15" x14ac:dyDescent="0.2">
      <c r="W454" s="59"/>
    </row>
    <row r="455" spans="23:23" ht="15" x14ac:dyDescent="0.2">
      <c r="W455" s="59"/>
    </row>
    <row r="456" spans="23:23" ht="15" x14ac:dyDescent="0.2">
      <c r="W456" s="59"/>
    </row>
    <row r="457" spans="23:23" ht="15" x14ac:dyDescent="0.2">
      <c r="W457" s="59"/>
    </row>
    <row r="458" spans="23:23" ht="15" x14ac:dyDescent="0.2">
      <c r="W458" s="59"/>
    </row>
    <row r="459" spans="23:23" ht="15" x14ac:dyDescent="0.2">
      <c r="W459" s="59"/>
    </row>
    <row r="460" spans="23:23" ht="15" x14ac:dyDescent="0.2">
      <c r="W460" s="59"/>
    </row>
    <row r="461" spans="23:23" ht="15" x14ac:dyDescent="0.2">
      <c r="W461" s="59"/>
    </row>
    <row r="462" spans="23:23" ht="15" x14ac:dyDescent="0.2">
      <c r="W462" s="59"/>
    </row>
    <row r="463" spans="23:23" ht="15" x14ac:dyDescent="0.2">
      <c r="W463" s="59"/>
    </row>
    <row r="464" spans="23:23" ht="15" x14ac:dyDescent="0.2">
      <c r="W464" s="59"/>
    </row>
    <row r="465" spans="23:23" ht="15" x14ac:dyDescent="0.2">
      <c r="W465" s="59"/>
    </row>
    <row r="466" spans="23:23" ht="15" x14ac:dyDescent="0.2">
      <c r="W466" s="59"/>
    </row>
    <row r="467" spans="23:23" ht="15" x14ac:dyDescent="0.2">
      <c r="W467" s="59"/>
    </row>
    <row r="468" spans="23:23" ht="15" x14ac:dyDescent="0.2">
      <c r="W468" s="59"/>
    </row>
    <row r="469" spans="23:23" ht="15" x14ac:dyDescent="0.2">
      <c r="W469" s="59"/>
    </row>
    <row r="470" spans="23:23" ht="15" x14ac:dyDescent="0.2">
      <c r="W470" s="59"/>
    </row>
    <row r="471" spans="23:23" ht="15" x14ac:dyDescent="0.2">
      <c r="W471" s="59"/>
    </row>
    <row r="472" spans="23:23" ht="15" x14ac:dyDescent="0.2">
      <c r="W472" s="59"/>
    </row>
    <row r="473" spans="23:23" ht="15" x14ac:dyDescent="0.2">
      <c r="W473" s="59"/>
    </row>
    <row r="474" spans="23:23" ht="15" x14ac:dyDescent="0.2">
      <c r="W474" s="59"/>
    </row>
    <row r="475" spans="23:23" ht="15" x14ac:dyDescent="0.2">
      <c r="W475" s="59"/>
    </row>
    <row r="476" spans="23:23" ht="15" x14ac:dyDescent="0.2">
      <c r="W476" s="59"/>
    </row>
    <row r="477" spans="23:23" ht="15" x14ac:dyDescent="0.2">
      <c r="W477" s="59"/>
    </row>
    <row r="478" spans="23:23" ht="15" x14ac:dyDescent="0.2">
      <c r="W478" s="59"/>
    </row>
    <row r="479" spans="23:23" ht="15" x14ac:dyDescent="0.2">
      <c r="W479" s="59"/>
    </row>
    <row r="480" spans="23:23" ht="15" x14ac:dyDescent="0.2">
      <c r="W480" s="59"/>
    </row>
    <row r="481" spans="23:23" ht="15" x14ac:dyDescent="0.2">
      <c r="W481" s="59"/>
    </row>
    <row r="482" spans="23:23" ht="15" x14ac:dyDescent="0.2">
      <c r="W482" s="59"/>
    </row>
    <row r="483" spans="23:23" ht="15" x14ac:dyDescent="0.2">
      <c r="W483" s="59"/>
    </row>
    <row r="484" spans="23:23" ht="15" x14ac:dyDescent="0.2">
      <c r="W484" s="59"/>
    </row>
    <row r="485" spans="23:23" ht="15" x14ac:dyDescent="0.2">
      <c r="W485" s="59"/>
    </row>
    <row r="486" spans="23:23" ht="15" x14ac:dyDescent="0.2">
      <c r="W486" s="59"/>
    </row>
    <row r="487" spans="23:23" ht="15" x14ac:dyDescent="0.2">
      <c r="W487" s="59"/>
    </row>
    <row r="488" spans="23:23" ht="15" x14ac:dyDescent="0.2">
      <c r="W488" s="59"/>
    </row>
    <row r="489" spans="23:23" ht="15" x14ac:dyDescent="0.2">
      <c r="W489" s="59"/>
    </row>
    <row r="490" spans="23:23" ht="15" x14ac:dyDescent="0.2">
      <c r="W490" s="59"/>
    </row>
    <row r="491" spans="23:23" ht="15" x14ac:dyDescent="0.2">
      <c r="W491" s="59"/>
    </row>
    <row r="492" spans="23:23" ht="15" x14ac:dyDescent="0.2">
      <c r="W492" s="59"/>
    </row>
    <row r="493" spans="23:23" ht="15" x14ac:dyDescent="0.2">
      <c r="W493" s="59"/>
    </row>
    <row r="494" spans="23:23" ht="15" x14ac:dyDescent="0.2">
      <c r="W494" s="59"/>
    </row>
    <row r="495" spans="23:23" ht="15" x14ac:dyDescent="0.2">
      <c r="W495" s="59"/>
    </row>
    <row r="496" spans="23:23" ht="15" x14ac:dyDescent="0.2">
      <c r="W496" s="59"/>
    </row>
    <row r="497" spans="23:23" ht="15" x14ac:dyDescent="0.2">
      <c r="W497" s="59"/>
    </row>
    <row r="498" spans="23:23" ht="15" x14ac:dyDescent="0.2">
      <c r="W498" s="59"/>
    </row>
    <row r="499" spans="23:23" ht="15" x14ac:dyDescent="0.2">
      <c r="W499" s="59"/>
    </row>
    <row r="500" spans="23:23" ht="15" x14ac:dyDescent="0.2">
      <c r="W500" s="59"/>
    </row>
    <row r="501" spans="23:23" ht="15" x14ac:dyDescent="0.2">
      <c r="W501" s="59"/>
    </row>
    <row r="502" spans="23:23" ht="15" x14ac:dyDescent="0.2">
      <c r="W502" s="59"/>
    </row>
    <row r="503" spans="23:23" ht="15" x14ac:dyDescent="0.2">
      <c r="W503" s="59"/>
    </row>
    <row r="504" spans="23:23" ht="15" x14ac:dyDescent="0.2">
      <c r="W504" s="59"/>
    </row>
    <row r="505" spans="23:23" ht="15" x14ac:dyDescent="0.2">
      <c r="W505" s="59"/>
    </row>
    <row r="506" spans="23:23" ht="15" x14ac:dyDescent="0.2">
      <c r="W506" s="59"/>
    </row>
    <row r="507" spans="23:23" ht="15" x14ac:dyDescent="0.2">
      <c r="W507" s="59"/>
    </row>
    <row r="508" spans="23:23" ht="15" x14ac:dyDescent="0.2">
      <c r="W508" s="59"/>
    </row>
    <row r="509" spans="23:23" ht="15" x14ac:dyDescent="0.2">
      <c r="W509" s="59"/>
    </row>
    <row r="510" spans="23:23" ht="15" x14ac:dyDescent="0.2">
      <c r="W510" s="59"/>
    </row>
    <row r="511" spans="23:23" ht="15" x14ac:dyDescent="0.2">
      <c r="W511" s="59"/>
    </row>
    <row r="512" spans="23:23" ht="15" x14ac:dyDescent="0.2">
      <c r="W512" s="59"/>
    </row>
    <row r="513" spans="23:23" ht="15" x14ac:dyDescent="0.2">
      <c r="W513" s="59"/>
    </row>
  </sheetData>
  <mergeCells count="8">
    <mergeCell ref="A10:B10"/>
    <mergeCell ref="A11:B11"/>
    <mergeCell ref="A12:B12"/>
    <mergeCell ref="A1:B1"/>
    <mergeCell ref="A3:C3"/>
    <mergeCell ref="A6:B6"/>
    <mergeCell ref="A7:B7"/>
    <mergeCell ref="A9:B9"/>
  </mergeCells>
  <pageMargins left="0.75" right="0.75" top="1" bottom="1" header="0.5" footer="0.5"/>
  <pageSetup paperSize="9" orientation="portrait" r:id="rId1"/>
  <headerFooter>
    <oddFooter>&amp;L_x000D_&amp;1#&amp;"Calibri"&amp;11&amp;K000000 SW Internal
Commercial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67"/>
  <sheetViews>
    <sheetView showRuler="0" zoomScaleNormal="100" workbookViewId="0">
      <selection sqref="A1:XFD1048576"/>
    </sheetView>
  </sheetViews>
  <sheetFormatPr defaultColWidth="13.7109375" defaultRowHeight="12.75" x14ac:dyDescent="0.2"/>
  <cols>
    <col min="1" max="1" width="18.5703125" customWidth="1"/>
    <col min="2" max="2" width="105.5703125" customWidth="1"/>
    <col min="3" max="3" width="15.28515625" customWidth="1"/>
    <col min="4" max="4" width="16" bestFit="1" customWidth="1"/>
    <col min="5" max="5" width="31.7109375" customWidth="1"/>
    <col min="6" max="6" width="22.5703125" customWidth="1"/>
    <col min="7" max="7" width="24.42578125" customWidth="1"/>
    <col min="8" max="8" width="22.7109375" customWidth="1"/>
    <col min="9" max="9" width="22.28515625" customWidth="1"/>
    <col min="10" max="10" width="22.7109375" customWidth="1"/>
    <col min="11" max="14" width="22.5703125" customWidth="1"/>
  </cols>
  <sheetData>
    <row r="1" spans="1:15" ht="22.5" customHeight="1" x14ac:dyDescent="0.3">
      <c r="A1" s="375" t="s">
        <v>0</v>
      </c>
    </row>
    <row r="2" spans="1:15" ht="22.5" customHeight="1" x14ac:dyDescent="0.2"/>
    <row r="3" spans="1:15" ht="22.5" customHeight="1" x14ac:dyDescent="0.3">
      <c r="A3" s="374" t="s">
        <v>1</v>
      </c>
    </row>
    <row r="4" spans="1:15" ht="16.899999999999999" customHeight="1" x14ac:dyDescent="0.3">
      <c r="A4" s="100"/>
      <c r="B4" s="109"/>
    </row>
    <row r="5" spans="1:15" ht="16.899999999999999" customHeight="1" x14ac:dyDescent="0.2"/>
    <row r="6" spans="1:15" ht="21.6" customHeight="1" x14ac:dyDescent="0.3">
      <c r="A6" s="447" t="s">
        <v>2</v>
      </c>
      <c r="B6" s="143"/>
      <c r="C6" s="143"/>
      <c r="D6" s="144"/>
      <c r="E6" s="145"/>
      <c r="F6" s="146"/>
    </row>
    <row r="7" spans="1:15" ht="23.25" customHeight="1" x14ac:dyDescent="0.3">
      <c r="A7" s="448" t="s">
        <v>827</v>
      </c>
      <c r="B7" s="147"/>
      <c r="C7" s="147"/>
      <c r="D7" s="148"/>
      <c r="E7" s="149"/>
      <c r="F7" s="146"/>
    </row>
    <row r="8" spans="1:15" ht="23.25" customHeight="1" x14ac:dyDescent="0.8">
      <c r="A8" s="150"/>
      <c r="B8" s="151"/>
      <c r="C8" s="150"/>
      <c r="D8" s="152"/>
      <c r="E8" s="152"/>
    </row>
    <row r="9" spans="1:15" ht="16.899999999999999" customHeight="1" x14ac:dyDescent="0.2"/>
    <row r="10" spans="1:15" ht="17.649999999999999" customHeight="1" x14ac:dyDescent="0.2">
      <c r="A10" s="9" t="s">
        <v>4</v>
      </c>
      <c r="B10" s="9" t="s">
        <v>158</v>
      </c>
      <c r="C10" s="31" t="s">
        <v>159</v>
      </c>
      <c r="D10" s="31" t="s">
        <v>14</v>
      </c>
      <c r="E10" s="31" t="s">
        <v>828</v>
      </c>
      <c r="F10" s="31" t="s">
        <v>16</v>
      </c>
      <c r="G10" s="31" t="s">
        <v>829</v>
      </c>
      <c r="H10" s="31" t="s">
        <v>18</v>
      </c>
      <c r="I10" s="31" t="s">
        <v>830</v>
      </c>
      <c r="J10" s="31" t="s">
        <v>20</v>
      </c>
      <c r="K10" s="31" t="s">
        <v>831</v>
      </c>
      <c r="L10" s="31" t="s">
        <v>22</v>
      </c>
      <c r="M10" s="31" t="s">
        <v>832</v>
      </c>
      <c r="N10" s="31" t="s">
        <v>24</v>
      </c>
      <c r="O10" s="3"/>
    </row>
    <row r="11" spans="1:15" ht="16.899999999999999" customHeight="1" x14ac:dyDescent="0.2">
      <c r="A11" s="71" t="s">
        <v>833</v>
      </c>
      <c r="B11" s="71" t="s">
        <v>168</v>
      </c>
      <c r="C11" s="63" t="s">
        <v>190</v>
      </c>
      <c r="D11" s="26">
        <f t="shared" ref="D11:N11" si="0">+D135</f>
        <v>4999335.147236323</v>
      </c>
      <c r="E11" s="26">
        <f t="shared" si="0"/>
        <v>4965248.6358652674</v>
      </c>
      <c r="F11" s="26">
        <f t="shared" si="0"/>
        <v>4998397.8904249333</v>
      </c>
      <c r="G11" s="26">
        <f t="shared" si="0"/>
        <v>0</v>
      </c>
      <c r="H11" s="26">
        <f t="shared" si="0"/>
        <v>0</v>
      </c>
      <c r="I11" s="26">
        <f t="shared" si="0"/>
        <v>0</v>
      </c>
      <c r="J11" s="26">
        <f t="shared" si="0"/>
        <v>0</v>
      </c>
      <c r="K11" s="26">
        <f t="shared" si="0"/>
        <v>0</v>
      </c>
      <c r="L11" s="26">
        <f t="shared" si="0"/>
        <v>0</v>
      </c>
      <c r="M11" s="26">
        <f t="shared" si="0"/>
        <v>0</v>
      </c>
      <c r="N11" s="26">
        <f t="shared" si="0"/>
        <v>0</v>
      </c>
      <c r="O11" s="3"/>
    </row>
    <row r="12" spans="1:15" ht="16.899999999999999" customHeight="1" x14ac:dyDescent="0.2">
      <c r="A12" s="71" t="s">
        <v>834</v>
      </c>
      <c r="B12" s="71" t="s">
        <v>171</v>
      </c>
      <c r="C12" s="63" t="s">
        <v>190</v>
      </c>
      <c r="D12" s="26">
        <f t="shared" ref="D12:N12" si="1">+D216</f>
        <v>101300730.88855399</v>
      </c>
      <c r="E12" s="26">
        <f t="shared" si="1"/>
        <v>102558613.93567857</v>
      </c>
      <c r="F12" s="26">
        <f t="shared" si="1"/>
        <v>100379409.24302647</v>
      </c>
      <c r="G12" s="26">
        <f t="shared" si="1"/>
        <v>0</v>
      </c>
      <c r="H12" s="26">
        <f t="shared" si="1"/>
        <v>0</v>
      </c>
      <c r="I12" s="26">
        <f t="shared" si="1"/>
        <v>0</v>
      </c>
      <c r="J12" s="26">
        <f t="shared" si="1"/>
        <v>0</v>
      </c>
      <c r="K12" s="26">
        <f t="shared" si="1"/>
        <v>0</v>
      </c>
      <c r="L12" s="26">
        <f t="shared" si="1"/>
        <v>0</v>
      </c>
      <c r="M12" s="26">
        <f t="shared" si="1"/>
        <v>0</v>
      </c>
      <c r="N12" s="26">
        <f t="shared" si="1"/>
        <v>0</v>
      </c>
      <c r="O12" s="3"/>
    </row>
    <row r="13" spans="1:15" ht="16.899999999999999" customHeight="1" x14ac:dyDescent="0.2">
      <c r="A13" s="71" t="s">
        <v>835</v>
      </c>
      <c r="B13" s="71" t="s">
        <v>174</v>
      </c>
      <c r="C13" s="63" t="s">
        <v>190</v>
      </c>
      <c r="D13" s="26">
        <f t="shared" ref="D13:N13" si="2">+D308</f>
        <v>4314500.8437454551</v>
      </c>
      <c r="E13" s="26">
        <f t="shared" si="2"/>
        <v>4290860.4650046937</v>
      </c>
      <c r="F13" s="26">
        <f t="shared" si="2"/>
        <v>4265163.414389722</v>
      </c>
      <c r="G13" s="26">
        <f t="shared" si="2"/>
        <v>0</v>
      </c>
      <c r="H13" s="26">
        <f t="shared" si="2"/>
        <v>0</v>
      </c>
      <c r="I13" s="26">
        <f t="shared" si="2"/>
        <v>0</v>
      </c>
      <c r="J13" s="26">
        <f t="shared" si="2"/>
        <v>0</v>
      </c>
      <c r="K13" s="26">
        <f t="shared" si="2"/>
        <v>0</v>
      </c>
      <c r="L13" s="26">
        <f t="shared" si="2"/>
        <v>0</v>
      </c>
      <c r="M13" s="26">
        <f t="shared" si="2"/>
        <v>0</v>
      </c>
      <c r="N13" s="26">
        <f t="shared" si="2"/>
        <v>0</v>
      </c>
      <c r="O13" s="3"/>
    </row>
    <row r="14" spans="1:15" ht="16.899999999999999" customHeight="1" x14ac:dyDescent="0.2">
      <c r="A14" s="71" t="s">
        <v>836</v>
      </c>
      <c r="B14" s="71" t="s">
        <v>177</v>
      </c>
      <c r="C14" s="63" t="s">
        <v>190</v>
      </c>
      <c r="D14" s="26">
        <f t="shared" ref="D14:N14" si="3">+D355</f>
        <v>50060654.308128662</v>
      </c>
      <c r="E14" s="26">
        <f t="shared" si="3"/>
        <v>52164468.817184344</v>
      </c>
      <c r="F14" s="26">
        <f t="shared" si="3"/>
        <v>50391049.034726813</v>
      </c>
      <c r="G14" s="26">
        <f t="shared" si="3"/>
        <v>0</v>
      </c>
      <c r="H14" s="26">
        <f t="shared" si="3"/>
        <v>0</v>
      </c>
      <c r="I14" s="26">
        <f t="shared" si="3"/>
        <v>0</v>
      </c>
      <c r="J14" s="26">
        <f t="shared" si="3"/>
        <v>0</v>
      </c>
      <c r="K14" s="26">
        <f t="shared" si="3"/>
        <v>0</v>
      </c>
      <c r="L14" s="26">
        <f t="shared" si="3"/>
        <v>0</v>
      </c>
      <c r="M14" s="26">
        <f t="shared" si="3"/>
        <v>0</v>
      </c>
      <c r="N14" s="26">
        <f t="shared" si="3"/>
        <v>0</v>
      </c>
      <c r="O14" s="3"/>
    </row>
    <row r="15" spans="1:15" ht="16.899999999999999" customHeight="1" x14ac:dyDescent="0.2">
      <c r="A15" s="71" t="s">
        <v>837</v>
      </c>
      <c r="B15" s="71" t="s">
        <v>180</v>
      </c>
      <c r="C15" s="63" t="s">
        <v>190</v>
      </c>
      <c r="D15" s="26">
        <f t="shared" ref="D15:N15" si="4">+D392</f>
        <v>143724387.81606624</v>
      </c>
      <c r="E15" s="26">
        <f t="shared" si="4"/>
        <v>150637749.25141984</v>
      </c>
      <c r="F15" s="26">
        <f t="shared" si="4"/>
        <v>150240635.34126601</v>
      </c>
      <c r="G15" s="26">
        <f t="shared" si="4"/>
        <v>0</v>
      </c>
      <c r="H15" s="26">
        <f t="shared" si="4"/>
        <v>0</v>
      </c>
      <c r="I15" s="26">
        <f t="shared" si="4"/>
        <v>0</v>
      </c>
      <c r="J15" s="26">
        <f t="shared" si="4"/>
        <v>0</v>
      </c>
      <c r="K15" s="26">
        <f t="shared" si="4"/>
        <v>0</v>
      </c>
      <c r="L15" s="26">
        <f t="shared" si="4"/>
        <v>0</v>
      </c>
      <c r="M15" s="26">
        <f t="shared" si="4"/>
        <v>0</v>
      </c>
      <c r="N15" s="26">
        <f t="shared" si="4"/>
        <v>0</v>
      </c>
      <c r="O15" s="3"/>
    </row>
    <row r="16" spans="1:15" ht="16.899999999999999" customHeight="1" x14ac:dyDescent="0.2">
      <c r="A16" s="71" t="s">
        <v>838</v>
      </c>
      <c r="B16" s="71" t="s">
        <v>183</v>
      </c>
      <c r="C16" s="63" t="s">
        <v>190</v>
      </c>
      <c r="D16" s="132"/>
      <c r="E16" s="132"/>
      <c r="F16" s="132"/>
      <c r="G16" s="132"/>
      <c r="H16" s="132"/>
      <c r="I16" s="132"/>
      <c r="J16" s="132"/>
      <c r="K16" s="132"/>
      <c r="L16" s="132"/>
      <c r="M16" s="132"/>
      <c r="N16" s="132"/>
      <c r="O16" s="3"/>
    </row>
    <row r="17" spans="1:15" ht="16.899999999999999" customHeight="1" x14ac:dyDescent="0.2">
      <c r="A17" s="71" t="s">
        <v>839</v>
      </c>
      <c r="B17" s="71" t="s">
        <v>186</v>
      </c>
      <c r="C17" s="63" t="s">
        <v>190</v>
      </c>
      <c r="D17" s="26">
        <f t="shared" ref="D17:N17" si="5">+D452</f>
        <v>1281748.0615890417</v>
      </c>
      <c r="E17" s="26">
        <f t="shared" si="5"/>
        <v>1298176.1094535515</v>
      </c>
      <c r="F17" s="26">
        <f t="shared" si="5"/>
        <v>1297605.3820765032</v>
      </c>
      <c r="G17" s="26">
        <f t="shared" si="5"/>
        <v>0</v>
      </c>
      <c r="H17" s="26">
        <f t="shared" si="5"/>
        <v>0</v>
      </c>
      <c r="I17" s="26">
        <f t="shared" si="5"/>
        <v>0</v>
      </c>
      <c r="J17" s="26">
        <f t="shared" si="5"/>
        <v>0</v>
      </c>
      <c r="K17" s="26">
        <f t="shared" si="5"/>
        <v>0</v>
      </c>
      <c r="L17" s="26">
        <f t="shared" si="5"/>
        <v>0</v>
      </c>
      <c r="M17" s="26">
        <f t="shared" si="5"/>
        <v>0</v>
      </c>
      <c r="N17" s="26">
        <f t="shared" si="5"/>
        <v>0</v>
      </c>
      <c r="O17" s="3"/>
    </row>
    <row r="18" spans="1:15" ht="16.899999999999999" customHeight="1" x14ac:dyDescent="0.2">
      <c r="A18" s="71" t="s">
        <v>840</v>
      </c>
      <c r="B18" s="71" t="s">
        <v>189</v>
      </c>
      <c r="C18" s="63" t="s">
        <v>190</v>
      </c>
      <c r="D18" s="26">
        <f t="shared" ref="D18:N18" si="6">SUM(D11:D17)</f>
        <v>305681357.06531972</v>
      </c>
      <c r="E18" s="26">
        <f t="shared" si="6"/>
        <v>315915117.21460629</v>
      </c>
      <c r="F18" s="26">
        <f t="shared" si="6"/>
        <v>311572260.30591047</v>
      </c>
      <c r="G18" s="26">
        <f t="shared" si="6"/>
        <v>0</v>
      </c>
      <c r="H18" s="26">
        <f t="shared" si="6"/>
        <v>0</v>
      </c>
      <c r="I18" s="26">
        <f t="shared" si="6"/>
        <v>0</v>
      </c>
      <c r="J18" s="26">
        <f t="shared" si="6"/>
        <v>0</v>
      </c>
      <c r="K18" s="26">
        <f t="shared" si="6"/>
        <v>0</v>
      </c>
      <c r="L18" s="26">
        <f t="shared" si="6"/>
        <v>0</v>
      </c>
      <c r="M18" s="26">
        <f t="shared" si="6"/>
        <v>0</v>
      </c>
      <c r="N18" s="26">
        <f t="shared" si="6"/>
        <v>0</v>
      </c>
      <c r="O18" s="3"/>
    </row>
    <row r="19" spans="1:15" ht="16.899999999999999" customHeight="1" x14ac:dyDescent="0.25">
      <c r="A19" s="150"/>
      <c r="B19" s="109"/>
      <c r="C19" s="115"/>
      <c r="D19" s="153"/>
      <c r="E19" s="153"/>
      <c r="F19" s="153"/>
      <c r="G19" s="150"/>
      <c r="H19" s="150"/>
      <c r="I19" s="150"/>
      <c r="J19" s="150"/>
      <c r="K19" s="150"/>
      <c r="L19" s="150"/>
      <c r="M19" s="150"/>
      <c r="N19" s="150"/>
    </row>
    <row r="20" spans="1:15" ht="16.899999999999999" customHeight="1" x14ac:dyDescent="0.2"/>
    <row r="21" spans="1:15" ht="20.100000000000001" customHeight="1" x14ac:dyDescent="0.25">
      <c r="B21" s="127" t="s">
        <v>219</v>
      </c>
    </row>
    <row r="22" spans="1:15" ht="17.649999999999999" customHeight="1" x14ac:dyDescent="0.2">
      <c r="A22" s="49"/>
      <c r="B22" s="24" t="s">
        <v>220</v>
      </c>
      <c r="C22" s="31" t="s">
        <v>159</v>
      </c>
      <c r="D22" s="31" t="str">
        <f>+$D$10</f>
        <v>2018-19 RF</v>
      </c>
      <c r="E22" s="31" t="str">
        <f>+$E$10</f>
        <v>2019-20 monthly</v>
      </c>
      <c r="F22" s="31" t="str">
        <f>+$F$10</f>
        <v>2019-20 RF</v>
      </c>
      <c r="G22" s="31" t="s">
        <v>829</v>
      </c>
      <c r="H22" s="31" t="s">
        <v>18</v>
      </c>
      <c r="I22" s="31" t="s">
        <v>830</v>
      </c>
      <c r="J22" s="31" t="s">
        <v>20</v>
      </c>
      <c r="K22" s="31" t="s">
        <v>831</v>
      </c>
      <c r="L22" s="31" t="s">
        <v>22</v>
      </c>
      <c r="M22" s="31" t="s">
        <v>832</v>
      </c>
      <c r="N22" s="31" t="s">
        <v>24</v>
      </c>
      <c r="O22" s="3"/>
    </row>
    <row r="23" spans="1:15" ht="16.899999999999999" customHeight="1" x14ac:dyDescent="0.2">
      <c r="A23" s="74" t="s">
        <v>841</v>
      </c>
      <c r="B23" s="74" t="s">
        <v>842</v>
      </c>
      <c r="C23" s="75" t="s">
        <v>223</v>
      </c>
      <c r="D23" s="34">
        <v>978.671232876712</v>
      </c>
      <c r="E23" s="34">
        <v>1784.00000000001</v>
      </c>
      <c r="F23" s="34">
        <v>1780.8251366120301</v>
      </c>
      <c r="G23" s="15"/>
      <c r="H23" s="15"/>
      <c r="I23" s="15"/>
      <c r="J23" s="15"/>
      <c r="K23" s="15"/>
      <c r="L23" s="15"/>
      <c r="M23" s="15"/>
      <c r="N23" s="15"/>
      <c r="O23" s="3"/>
    </row>
    <row r="24" spans="1:15" ht="16.899999999999999" customHeight="1" x14ac:dyDescent="0.2">
      <c r="A24" s="74" t="s">
        <v>843</v>
      </c>
      <c r="B24" s="74" t="s">
        <v>844</v>
      </c>
      <c r="C24" s="75" t="s">
        <v>223</v>
      </c>
      <c r="D24" s="34">
        <v>13036.8894977169</v>
      </c>
      <c r="E24" s="34">
        <v>6186.0018214936399</v>
      </c>
      <c r="F24" s="34">
        <v>6083.7167577413502</v>
      </c>
      <c r="G24" s="15"/>
      <c r="H24" s="15"/>
      <c r="I24" s="15"/>
      <c r="J24" s="15"/>
      <c r="K24" s="15"/>
      <c r="L24" s="15"/>
      <c r="M24" s="15"/>
      <c r="N24" s="15"/>
      <c r="O24" s="3"/>
    </row>
    <row r="25" spans="1:15" ht="16.899999999999999" customHeight="1" x14ac:dyDescent="0.2">
      <c r="A25" s="74" t="s">
        <v>845</v>
      </c>
      <c r="B25" s="74" t="s">
        <v>846</v>
      </c>
      <c r="C25" s="75" t="s">
        <v>223</v>
      </c>
      <c r="D25" s="34">
        <v>6515.9360730593698</v>
      </c>
      <c r="E25" s="34">
        <v>12372.761384335199</v>
      </c>
      <c r="F25" s="34">
        <v>12168.0255009107</v>
      </c>
      <c r="G25" s="15"/>
      <c r="H25" s="15"/>
      <c r="I25" s="15"/>
      <c r="J25" s="15"/>
      <c r="K25" s="15"/>
      <c r="L25" s="15"/>
      <c r="M25" s="15"/>
      <c r="N25" s="15"/>
      <c r="O25" s="3"/>
    </row>
    <row r="26" spans="1:15" ht="16.899999999999999" customHeight="1" x14ac:dyDescent="0.2">
      <c r="A26" s="74" t="s">
        <v>847</v>
      </c>
      <c r="B26" s="77" t="s">
        <v>848</v>
      </c>
      <c r="C26" s="75" t="s">
        <v>223</v>
      </c>
      <c r="D26" s="34">
        <v>15.2328767123288</v>
      </c>
      <c r="E26" s="34">
        <v>20.114754098360699</v>
      </c>
      <c r="F26" s="34">
        <v>18.336065573770501</v>
      </c>
      <c r="G26" s="15"/>
      <c r="H26" s="15"/>
      <c r="I26" s="15"/>
      <c r="J26" s="15"/>
      <c r="K26" s="15"/>
      <c r="L26" s="15"/>
      <c r="M26" s="15"/>
      <c r="N26" s="15"/>
      <c r="O26" s="3"/>
    </row>
    <row r="27" spans="1:15" ht="16.899999999999999" customHeight="1" x14ac:dyDescent="0.2">
      <c r="A27" s="74" t="s">
        <v>849</v>
      </c>
      <c r="B27" s="77" t="s">
        <v>850</v>
      </c>
      <c r="C27" s="75" t="s">
        <v>223</v>
      </c>
      <c r="D27" s="34">
        <v>116.516894977169</v>
      </c>
      <c r="E27" s="34">
        <v>55.0382513661202</v>
      </c>
      <c r="F27" s="34">
        <v>54.380692167577401</v>
      </c>
      <c r="G27" s="15"/>
      <c r="H27" s="15"/>
      <c r="I27" s="15"/>
      <c r="J27" s="15"/>
      <c r="K27" s="15"/>
      <c r="L27" s="15"/>
      <c r="M27" s="15"/>
      <c r="N27" s="15"/>
      <c r="O27" s="3"/>
    </row>
    <row r="28" spans="1:15" ht="16.899999999999999" customHeight="1" x14ac:dyDescent="0.2">
      <c r="A28" s="74" t="s">
        <v>851</v>
      </c>
      <c r="B28" s="77" t="s">
        <v>852</v>
      </c>
      <c r="C28" s="75" t="s">
        <v>223</v>
      </c>
      <c r="D28" s="34">
        <v>54.4547945205479</v>
      </c>
      <c r="E28" s="34">
        <v>99.151183970856096</v>
      </c>
      <c r="F28" s="34">
        <v>98.357012750455397</v>
      </c>
      <c r="G28" s="15"/>
      <c r="H28" s="15"/>
      <c r="I28" s="15"/>
      <c r="J28" s="15"/>
      <c r="K28" s="15"/>
      <c r="L28" s="15"/>
      <c r="M28" s="15"/>
      <c r="N28" s="15"/>
      <c r="O28" s="3"/>
    </row>
    <row r="29" spans="1:15" ht="16.899999999999999" customHeight="1" x14ac:dyDescent="0.2">
      <c r="A29" s="74" t="s">
        <v>853</v>
      </c>
      <c r="B29" s="77" t="s">
        <v>854</v>
      </c>
      <c r="C29" s="75" t="s">
        <v>223</v>
      </c>
      <c r="D29" s="34">
        <v>2.2219178082191799</v>
      </c>
      <c r="E29" s="34">
        <v>1.2595628415300499</v>
      </c>
      <c r="F29" s="34">
        <v>1.6721311475409799</v>
      </c>
      <c r="G29" s="15"/>
      <c r="H29" s="15"/>
      <c r="I29" s="15"/>
      <c r="J29" s="15"/>
      <c r="K29" s="15"/>
      <c r="L29" s="15"/>
      <c r="M29" s="15"/>
      <c r="N29" s="15"/>
      <c r="O29" s="3"/>
    </row>
    <row r="30" spans="1:15" ht="16.899999999999999" customHeight="1" x14ac:dyDescent="0.2">
      <c r="A30" s="74" t="s">
        <v>855</v>
      </c>
      <c r="B30" s="77" t="s">
        <v>856</v>
      </c>
      <c r="C30" s="75" t="s">
        <v>223</v>
      </c>
      <c r="D30" s="34">
        <v>8.3543378995433795</v>
      </c>
      <c r="E30" s="34">
        <v>3.77686703096539</v>
      </c>
      <c r="F30" s="34">
        <v>3.8479052823315101</v>
      </c>
      <c r="G30" s="15"/>
      <c r="H30" s="15"/>
      <c r="I30" s="15"/>
      <c r="J30" s="15"/>
      <c r="K30" s="15"/>
      <c r="L30" s="15"/>
      <c r="M30" s="15"/>
      <c r="N30" s="15"/>
      <c r="O30" s="3"/>
    </row>
    <row r="31" spans="1:15" ht="16.899999999999999" customHeight="1" x14ac:dyDescent="0.2">
      <c r="A31" s="74" t="s">
        <v>857</v>
      </c>
      <c r="B31" s="77" t="s">
        <v>858</v>
      </c>
      <c r="C31" s="75" t="s">
        <v>223</v>
      </c>
      <c r="D31" s="34">
        <v>9.0264840182648403</v>
      </c>
      <c r="E31" s="34">
        <v>16.030965391621098</v>
      </c>
      <c r="F31" s="34">
        <v>15.6539162112933</v>
      </c>
      <c r="G31" s="15"/>
      <c r="H31" s="15"/>
      <c r="I31" s="15"/>
      <c r="J31" s="15"/>
      <c r="K31" s="15"/>
      <c r="L31" s="15"/>
      <c r="M31" s="15"/>
      <c r="N31" s="15"/>
      <c r="O31" s="3"/>
    </row>
    <row r="32" spans="1:15" ht="16.899999999999999" customHeight="1" x14ac:dyDescent="0.2">
      <c r="A32" s="74" t="s">
        <v>859</v>
      </c>
      <c r="B32" s="77" t="s">
        <v>860</v>
      </c>
      <c r="C32" s="75" t="s">
        <v>223</v>
      </c>
      <c r="D32" s="34">
        <v>0.94794520547945205</v>
      </c>
      <c r="E32" s="34">
        <v>0.98087431693989102</v>
      </c>
      <c r="F32" s="34">
        <v>2.1010928961748601</v>
      </c>
      <c r="G32" s="15"/>
      <c r="H32" s="15"/>
      <c r="I32" s="15"/>
      <c r="J32" s="15"/>
      <c r="K32" s="15"/>
      <c r="L32" s="15"/>
      <c r="M32" s="15"/>
      <c r="N32" s="15"/>
      <c r="O32" s="3"/>
    </row>
    <row r="33" spans="1:15" ht="16.899999999999999" customHeight="1" x14ac:dyDescent="0.2">
      <c r="A33" s="74" t="s">
        <v>861</v>
      </c>
      <c r="B33" s="77" t="s">
        <v>862</v>
      </c>
      <c r="C33" s="75" t="s">
        <v>223</v>
      </c>
      <c r="D33" s="34">
        <v>5.6876712328767098</v>
      </c>
      <c r="E33" s="34">
        <v>2.19307832422587</v>
      </c>
      <c r="F33" s="34">
        <v>2.3852459016393399</v>
      </c>
      <c r="G33" s="15"/>
      <c r="H33" s="15"/>
      <c r="I33" s="15"/>
      <c r="J33" s="15"/>
      <c r="K33" s="15"/>
      <c r="L33" s="15"/>
      <c r="M33" s="15"/>
      <c r="N33" s="15"/>
      <c r="O33" s="3"/>
    </row>
    <row r="34" spans="1:15" ht="16.899999999999999" customHeight="1" x14ac:dyDescent="0.2">
      <c r="A34" s="74" t="s">
        <v>863</v>
      </c>
      <c r="B34" s="77" t="s">
        <v>864</v>
      </c>
      <c r="C34" s="75" t="s">
        <v>223</v>
      </c>
      <c r="D34" s="34">
        <v>4.3068493150684901</v>
      </c>
      <c r="E34" s="34">
        <v>6.1857923497267802</v>
      </c>
      <c r="F34" s="34">
        <v>6.6247723132968996</v>
      </c>
      <c r="G34" s="15"/>
      <c r="H34" s="15"/>
      <c r="I34" s="15"/>
      <c r="J34" s="15"/>
      <c r="K34" s="15"/>
      <c r="L34" s="15"/>
      <c r="M34" s="15"/>
      <c r="N34" s="15"/>
      <c r="O34" s="3"/>
    </row>
    <row r="35" spans="1:15" ht="16.899999999999999" customHeight="1" x14ac:dyDescent="0.2">
      <c r="A35" s="74" t="s">
        <v>865</v>
      </c>
      <c r="B35" s="77" t="s">
        <v>866</v>
      </c>
      <c r="C35" s="75" t="s">
        <v>223</v>
      </c>
      <c r="D35" s="34">
        <v>0</v>
      </c>
      <c r="E35" s="34">
        <v>0</v>
      </c>
      <c r="F35" s="34">
        <v>0</v>
      </c>
      <c r="G35" s="15"/>
      <c r="H35" s="15"/>
      <c r="I35" s="15"/>
      <c r="J35" s="15"/>
      <c r="K35" s="15"/>
      <c r="L35" s="15"/>
      <c r="M35" s="15"/>
      <c r="N35" s="15"/>
      <c r="O35" s="3"/>
    </row>
    <row r="36" spans="1:15" ht="16.899999999999999" customHeight="1" x14ac:dyDescent="0.2">
      <c r="A36" s="74" t="s">
        <v>867</v>
      </c>
      <c r="B36" s="77" t="s">
        <v>868</v>
      </c>
      <c r="C36" s="75" t="s">
        <v>223</v>
      </c>
      <c r="D36" s="34">
        <v>0</v>
      </c>
      <c r="E36" s="34">
        <v>0</v>
      </c>
      <c r="F36" s="34">
        <v>0</v>
      </c>
      <c r="G36" s="15"/>
      <c r="H36" s="15"/>
      <c r="I36" s="15"/>
      <c r="J36" s="15"/>
      <c r="K36" s="15"/>
      <c r="L36" s="15"/>
      <c r="M36" s="15"/>
      <c r="N36" s="15"/>
      <c r="O36" s="3"/>
    </row>
    <row r="37" spans="1:15" ht="16.899999999999999" customHeight="1" x14ac:dyDescent="0.2">
      <c r="A37" s="74" t="s">
        <v>869</v>
      </c>
      <c r="B37" s="77" t="s">
        <v>870</v>
      </c>
      <c r="C37" s="75" t="s">
        <v>223</v>
      </c>
      <c r="D37" s="34">
        <v>0</v>
      </c>
      <c r="E37" s="34">
        <v>0</v>
      </c>
      <c r="F37" s="34">
        <v>0</v>
      </c>
      <c r="G37" s="15"/>
      <c r="H37" s="15"/>
      <c r="I37" s="15"/>
      <c r="J37" s="15"/>
      <c r="K37" s="15"/>
      <c r="L37" s="15"/>
      <c r="M37" s="15"/>
      <c r="N37" s="15"/>
      <c r="O37" s="3"/>
    </row>
    <row r="38" spans="1:15" ht="16.899999999999999" customHeight="1" x14ac:dyDescent="0.2">
      <c r="A38" s="74" t="s">
        <v>871</v>
      </c>
      <c r="B38" s="77" t="s">
        <v>238</v>
      </c>
      <c r="C38" s="63" t="s">
        <v>190</v>
      </c>
      <c r="D38" s="26">
        <f t="shared" ref="D38:N38" si="7">SUM(D23:D37)</f>
        <v>20748.24657534248</v>
      </c>
      <c r="E38" s="26">
        <f t="shared" si="7"/>
        <v>20547.494535519199</v>
      </c>
      <c r="F38" s="26">
        <f t="shared" si="7"/>
        <v>20235.926229508161</v>
      </c>
      <c r="G38" s="26">
        <f t="shared" si="7"/>
        <v>0</v>
      </c>
      <c r="H38" s="26">
        <f t="shared" si="7"/>
        <v>0</v>
      </c>
      <c r="I38" s="26">
        <f t="shared" si="7"/>
        <v>0</v>
      </c>
      <c r="J38" s="26">
        <f t="shared" si="7"/>
        <v>0</v>
      </c>
      <c r="K38" s="26">
        <f t="shared" si="7"/>
        <v>0</v>
      </c>
      <c r="L38" s="26">
        <f t="shared" si="7"/>
        <v>0</v>
      </c>
      <c r="M38" s="26">
        <f t="shared" si="7"/>
        <v>0</v>
      </c>
      <c r="N38" s="26">
        <f t="shared" si="7"/>
        <v>0</v>
      </c>
      <c r="O38" s="3"/>
    </row>
    <row r="39" spans="1:15" ht="16.899999999999999" customHeight="1" x14ac:dyDescent="0.25">
      <c r="A39" s="154"/>
      <c r="B39" s="106"/>
      <c r="C39" s="110"/>
      <c r="D39" s="109"/>
      <c r="E39" s="109"/>
      <c r="F39" s="109"/>
      <c r="G39" s="150"/>
      <c r="H39" s="150"/>
      <c r="I39" s="150"/>
      <c r="J39" s="150"/>
      <c r="K39" s="150"/>
      <c r="L39" s="150"/>
      <c r="M39" s="150"/>
      <c r="N39" s="150"/>
    </row>
    <row r="40" spans="1:15" ht="17.649999999999999" customHeight="1" x14ac:dyDescent="0.25">
      <c r="A40" s="49"/>
      <c r="B40" s="128" t="s">
        <v>255</v>
      </c>
      <c r="C40" s="114"/>
    </row>
    <row r="41" spans="1:15" ht="16.899999999999999" customHeight="1" x14ac:dyDescent="0.2">
      <c r="A41" s="77" t="s">
        <v>872</v>
      </c>
      <c r="B41" s="77" t="s">
        <v>842</v>
      </c>
      <c r="C41" s="63" t="s">
        <v>223</v>
      </c>
      <c r="D41" s="34">
        <v>31471.7105479452</v>
      </c>
      <c r="E41" s="34">
        <v>53015.2810797813</v>
      </c>
      <c r="F41" s="34">
        <v>54150.416787431597</v>
      </c>
      <c r="G41" s="15"/>
      <c r="H41" s="15"/>
      <c r="I41" s="15"/>
      <c r="J41" s="15"/>
      <c r="K41" s="15"/>
      <c r="L41" s="15"/>
      <c r="M41" s="15"/>
      <c r="N41" s="15"/>
      <c r="O41" s="3"/>
    </row>
    <row r="42" spans="1:15" ht="16.899999999999999" customHeight="1" x14ac:dyDescent="0.2">
      <c r="A42" s="77" t="s">
        <v>873</v>
      </c>
      <c r="B42" s="77" t="s">
        <v>844</v>
      </c>
      <c r="C42" s="63" t="s">
        <v>223</v>
      </c>
      <c r="D42" s="34">
        <v>549824.174794522</v>
      </c>
      <c r="E42" s="34">
        <v>261386.90383223799</v>
      </c>
      <c r="F42" s="34">
        <v>258997.121406739</v>
      </c>
      <c r="G42" s="15"/>
      <c r="H42" s="15"/>
      <c r="I42" s="15"/>
      <c r="J42" s="15"/>
      <c r="K42" s="15"/>
      <c r="L42" s="15"/>
      <c r="M42" s="15"/>
      <c r="N42" s="15"/>
      <c r="O42" s="3"/>
    </row>
    <row r="43" spans="1:15" ht="16.899999999999999" customHeight="1" x14ac:dyDescent="0.2">
      <c r="A43" s="77" t="s">
        <v>874</v>
      </c>
      <c r="B43" s="77" t="s">
        <v>846</v>
      </c>
      <c r="C43" s="63" t="s">
        <v>223</v>
      </c>
      <c r="D43" s="34">
        <v>292128.89127853903</v>
      </c>
      <c r="E43" s="34">
        <v>555875.03121129295</v>
      </c>
      <c r="F43" s="34">
        <v>550725.31384772202</v>
      </c>
      <c r="G43" s="15"/>
      <c r="H43" s="15"/>
      <c r="I43" s="15"/>
      <c r="J43" s="15"/>
      <c r="K43" s="15"/>
      <c r="L43" s="15"/>
      <c r="M43" s="15"/>
      <c r="N43" s="15"/>
      <c r="O43" s="3"/>
    </row>
    <row r="44" spans="1:15" ht="16.899999999999999" customHeight="1" x14ac:dyDescent="0.2">
      <c r="A44" s="77" t="s">
        <v>875</v>
      </c>
      <c r="B44" s="77" t="s">
        <v>848</v>
      </c>
      <c r="C44" s="63" t="s">
        <v>223</v>
      </c>
      <c r="D44" s="34">
        <v>7311.7808219178096</v>
      </c>
      <c r="E44" s="34">
        <v>9655.0819672131092</v>
      </c>
      <c r="F44" s="34">
        <v>8801.3114754098297</v>
      </c>
      <c r="G44" s="15"/>
      <c r="H44" s="15"/>
      <c r="I44" s="15"/>
      <c r="J44" s="15"/>
      <c r="K44" s="15"/>
      <c r="L44" s="15"/>
      <c r="M44" s="15"/>
      <c r="N44" s="15"/>
      <c r="O44" s="3"/>
    </row>
    <row r="45" spans="1:15" ht="16.899999999999999" customHeight="1" x14ac:dyDescent="0.2">
      <c r="A45" s="77" t="s">
        <v>876</v>
      </c>
      <c r="B45" s="77" t="s">
        <v>850</v>
      </c>
      <c r="C45" s="63" t="s">
        <v>223</v>
      </c>
      <c r="D45" s="34">
        <v>55928.109589041102</v>
      </c>
      <c r="E45" s="34">
        <v>4403.0601092896204</v>
      </c>
      <c r="F45" s="34">
        <v>26102.732240437199</v>
      </c>
      <c r="G45" s="15"/>
      <c r="H45" s="15"/>
      <c r="I45" s="15"/>
      <c r="J45" s="15"/>
      <c r="K45" s="15"/>
      <c r="L45" s="15"/>
      <c r="M45" s="15"/>
      <c r="N45" s="15"/>
      <c r="O45" s="3"/>
    </row>
    <row r="46" spans="1:15" ht="16.899999999999999" customHeight="1" x14ac:dyDescent="0.2">
      <c r="A46" s="77" t="s">
        <v>877</v>
      </c>
      <c r="B46" s="77" t="s">
        <v>852</v>
      </c>
      <c r="C46" s="63" t="s">
        <v>223</v>
      </c>
      <c r="D46" s="34">
        <v>26138.301369862998</v>
      </c>
      <c r="E46" s="34">
        <v>7932.0947176684904</v>
      </c>
      <c r="F46" s="34">
        <v>47211.366120218598</v>
      </c>
      <c r="G46" s="15"/>
      <c r="H46" s="15"/>
      <c r="I46" s="15"/>
      <c r="J46" s="15"/>
      <c r="K46" s="15"/>
      <c r="L46" s="15"/>
      <c r="M46" s="15"/>
      <c r="N46" s="15"/>
      <c r="O46" s="3"/>
    </row>
    <row r="47" spans="1:15" ht="16.899999999999999" customHeight="1" x14ac:dyDescent="0.2">
      <c r="A47" s="77" t="s">
        <v>878</v>
      </c>
      <c r="B47" s="77" t="s">
        <v>854</v>
      </c>
      <c r="C47" s="63" t="s">
        <v>223</v>
      </c>
      <c r="D47" s="34">
        <v>2177.4794520547898</v>
      </c>
      <c r="E47" s="34">
        <v>1234.3715846994501</v>
      </c>
      <c r="F47" s="34">
        <v>1638.6885245901599</v>
      </c>
      <c r="G47" s="15"/>
      <c r="H47" s="15"/>
      <c r="I47" s="15"/>
      <c r="J47" s="15"/>
      <c r="K47" s="15"/>
      <c r="L47" s="15"/>
      <c r="M47" s="15"/>
      <c r="N47" s="15"/>
      <c r="O47" s="3"/>
    </row>
    <row r="48" spans="1:15" ht="16.899999999999999" customHeight="1" x14ac:dyDescent="0.2">
      <c r="A48" s="77" t="s">
        <v>879</v>
      </c>
      <c r="B48" s="77" t="s">
        <v>856</v>
      </c>
      <c r="C48" s="63" t="s">
        <v>223</v>
      </c>
      <c r="D48" s="34">
        <v>8187.2511415525096</v>
      </c>
      <c r="E48" s="34">
        <v>302.14936247723102</v>
      </c>
      <c r="F48" s="34">
        <v>3770.9471766848801</v>
      </c>
      <c r="G48" s="15"/>
      <c r="H48" s="15"/>
      <c r="I48" s="15"/>
      <c r="J48" s="15"/>
      <c r="K48" s="15"/>
      <c r="L48" s="15"/>
      <c r="M48" s="15"/>
      <c r="N48" s="15"/>
      <c r="O48" s="3"/>
    </row>
    <row r="49" spans="1:15" ht="16.899999999999999" customHeight="1" x14ac:dyDescent="0.2">
      <c r="A49" s="77" t="s">
        <v>880</v>
      </c>
      <c r="B49" s="77" t="s">
        <v>858</v>
      </c>
      <c r="C49" s="63" t="s">
        <v>223</v>
      </c>
      <c r="D49" s="34">
        <v>8845.9543378995404</v>
      </c>
      <c r="E49" s="34">
        <v>1282.4772313296901</v>
      </c>
      <c r="F49" s="34">
        <v>15340.837887067401</v>
      </c>
      <c r="G49" s="15"/>
      <c r="H49" s="15"/>
      <c r="I49" s="15"/>
      <c r="J49" s="15"/>
      <c r="K49" s="15"/>
      <c r="L49" s="15"/>
      <c r="M49" s="15"/>
      <c r="N49" s="15"/>
      <c r="O49" s="3"/>
    </row>
    <row r="50" spans="1:15" ht="16.899999999999999" customHeight="1" x14ac:dyDescent="0.2">
      <c r="A50" s="77" t="s">
        <v>881</v>
      </c>
      <c r="B50" s="77" t="s">
        <v>860</v>
      </c>
      <c r="C50" s="63" t="s">
        <v>223</v>
      </c>
      <c r="D50" s="34">
        <v>2350.9041095890402</v>
      </c>
      <c r="E50" s="34">
        <v>2432.56830601093</v>
      </c>
      <c r="F50" s="34">
        <v>5210.7103825136601</v>
      </c>
      <c r="G50" s="15"/>
      <c r="H50" s="15"/>
      <c r="I50" s="15"/>
      <c r="J50" s="15"/>
      <c r="K50" s="15"/>
      <c r="L50" s="15"/>
      <c r="M50" s="15"/>
      <c r="N50" s="15"/>
      <c r="O50" s="3"/>
    </row>
    <row r="51" spans="1:15" ht="16.899999999999999" customHeight="1" x14ac:dyDescent="0.2">
      <c r="A51" s="77" t="s">
        <v>882</v>
      </c>
      <c r="B51" s="77" t="s">
        <v>862</v>
      </c>
      <c r="C51" s="63" t="s">
        <v>223</v>
      </c>
      <c r="D51" s="34">
        <v>14105.4246575342</v>
      </c>
      <c r="E51" s="34">
        <v>175.44626593806899</v>
      </c>
      <c r="F51" s="34">
        <v>5915.4098360655698</v>
      </c>
      <c r="G51" s="15"/>
      <c r="H51" s="15"/>
      <c r="I51" s="15"/>
      <c r="J51" s="15"/>
      <c r="K51" s="15"/>
      <c r="L51" s="15"/>
      <c r="M51" s="15"/>
      <c r="N51" s="15"/>
      <c r="O51" s="3"/>
    </row>
    <row r="52" spans="1:15" ht="16.899999999999999" customHeight="1" x14ac:dyDescent="0.2">
      <c r="A52" s="77" t="s">
        <v>883</v>
      </c>
      <c r="B52" s="77" t="s">
        <v>864</v>
      </c>
      <c r="C52" s="63" t="s">
        <v>223</v>
      </c>
      <c r="D52" s="34">
        <v>10680.9863013699</v>
      </c>
      <c r="E52" s="34">
        <v>494.86338797814199</v>
      </c>
      <c r="F52" s="34">
        <v>16429.435336976301</v>
      </c>
      <c r="G52" s="15"/>
      <c r="H52" s="15"/>
      <c r="I52" s="15"/>
      <c r="J52" s="15"/>
      <c r="K52" s="15"/>
      <c r="L52" s="15"/>
      <c r="M52" s="15"/>
      <c r="N52" s="15"/>
      <c r="O52" s="3"/>
    </row>
    <row r="53" spans="1:15" ht="16.899999999999999" customHeight="1" x14ac:dyDescent="0.2">
      <c r="A53" s="77" t="s">
        <v>884</v>
      </c>
      <c r="B53" s="77" t="s">
        <v>866</v>
      </c>
      <c r="C53" s="63" t="s">
        <v>223</v>
      </c>
      <c r="D53" s="34">
        <v>0</v>
      </c>
      <c r="E53" s="34">
        <v>0</v>
      </c>
      <c r="F53" s="34">
        <v>0</v>
      </c>
      <c r="G53" s="15"/>
      <c r="H53" s="15"/>
      <c r="I53" s="15"/>
      <c r="J53" s="15"/>
      <c r="K53" s="15"/>
      <c r="L53" s="15"/>
      <c r="M53" s="15"/>
      <c r="N53" s="15"/>
      <c r="O53" s="3"/>
    </row>
    <row r="54" spans="1:15" ht="16.899999999999999" customHeight="1" x14ac:dyDescent="0.2">
      <c r="A54" s="77" t="s">
        <v>885</v>
      </c>
      <c r="B54" s="77" t="s">
        <v>868</v>
      </c>
      <c r="C54" s="63" t="s">
        <v>223</v>
      </c>
      <c r="D54" s="34">
        <v>0</v>
      </c>
      <c r="E54" s="34">
        <v>0</v>
      </c>
      <c r="F54" s="34">
        <v>0</v>
      </c>
      <c r="G54" s="15"/>
      <c r="H54" s="15"/>
      <c r="I54" s="15"/>
      <c r="J54" s="15"/>
      <c r="K54" s="15"/>
      <c r="L54" s="15"/>
      <c r="M54" s="15"/>
      <c r="N54" s="15"/>
      <c r="O54" s="3"/>
    </row>
    <row r="55" spans="1:15" ht="16.899999999999999" customHeight="1" x14ac:dyDescent="0.2">
      <c r="A55" s="77" t="s">
        <v>886</v>
      </c>
      <c r="B55" s="77" t="s">
        <v>870</v>
      </c>
      <c r="C55" s="63" t="s">
        <v>223</v>
      </c>
      <c r="D55" s="34">
        <v>0</v>
      </c>
      <c r="E55" s="34">
        <v>0</v>
      </c>
      <c r="F55" s="34">
        <v>0</v>
      </c>
      <c r="G55" s="15"/>
      <c r="H55" s="15"/>
      <c r="I55" s="15"/>
      <c r="J55" s="15"/>
      <c r="K55" s="15"/>
      <c r="L55" s="15"/>
      <c r="M55" s="15"/>
      <c r="N55" s="15"/>
      <c r="O55" s="3"/>
    </row>
    <row r="56" spans="1:15" ht="16.899999999999999" customHeight="1" x14ac:dyDescent="0.2">
      <c r="A56" s="77" t="s">
        <v>887</v>
      </c>
      <c r="B56" s="77" t="s">
        <v>238</v>
      </c>
      <c r="C56" s="63" t="s">
        <v>190</v>
      </c>
      <c r="D56" s="26">
        <f t="shared" ref="D56:N56" si="8">SUM(D41:D55)</f>
        <v>1009150.9684018281</v>
      </c>
      <c r="E56" s="26">
        <f t="shared" si="8"/>
        <v>898189.32905591698</v>
      </c>
      <c r="F56" s="26">
        <f t="shared" si="8"/>
        <v>994294.29102185613</v>
      </c>
      <c r="G56" s="26">
        <f t="shared" si="8"/>
        <v>0</v>
      </c>
      <c r="H56" s="26">
        <f t="shared" si="8"/>
        <v>0</v>
      </c>
      <c r="I56" s="26">
        <f t="shared" si="8"/>
        <v>0</v>
      </c>
      <c r="J56" s="26">
        <f t="shared" si="8"/>
        <v>0</v>
      </c>
      <c r="K56" s="26">
        <f t="shared" si="8"/>
        <v>0</v>
      </c>
      <c r="L56" s="26">
        <f t="shared" si="8"/>
        <v>0</v>
      </c>
      <c r="M56" s="26">
        <f t="shared" si="8"/>
        <v>0</v>
      </c>
      <c r="N56" s="26">
        <f t="shared" si="8"/>
        <v>0</v>
      </c>
      <c r="O56" s="3"/>
    </row>
    <row r="57" spans="1:15" ht="16.899999999999999" customHeight="1" x14ac:dyDescent="0.25">
      <c r="A57" s="155"/>
      <c r="B57" s="77"/>
      <c r="C57" s="156"/>
      <c r="D57" s="109"/>
      <c r="E57" s="109"/>
      <c r="F57" s="109"/>
      <c r="G57" s="150"/>
      <c r="H57" s="150"/>
      <c r="I57" s="150"/>
      <c r="J57" s="150"/>
      <c r="K57" s="150"/>
      <c r="L57" s="150"/>
      <c r="M57" s="150"/>
      <c r="N57" s="150"/>
    </row>
    <row r="58" spans="1:15" ht="17.649999999999999" customHeight="1" x14ac:dyDescent="0.25">
      <c r="A58" s="49"/>
      <c r="B58" s="128" t="s">
        <v>888</v>
      </c>
      <c r="C58" s="116"/>
    </row>
    <row r="59" spans="1:15" ht="16.899999999999999" customHeight="1" x14ac:dyDescent="0.2">
      <c r="A59" s="77" t="s">
        <v>889</v>
      </c>
      <c r="B59" s="77" t="s">
        <v>265</v>
      </c>
      <c r="C59" s="63" t="s">
        <v>223</v>
      </c>
      <c r="D59" s="34">
        <v>31471.7105479452</v>
      </c>
      <c r="E59" s="34">
        <v>53015.2810797813</v>
      </c>
      <c r="F59" s="34">
        <v>54150.416787431597</v>
      </c>
      <c r="G59" s="15"/>
      <c r="H59" s="15"/>
      <c r="I59" s="15"/>
      <c r="J59" s="15"/>
      <c r="K59" s="15"/>
      <c r="L59" s="15"/>
      <c r="M59" s="15"/>
      <c r="N59" s="15"/>
      <c r="O59" s="3"/>
    </row>
    <row r="60" spans="1:15" ht="16.899999999999999" customHeight="1" x14ac:dyDescent="0.2">
      <c r="A60" s="77" t="s">
        <v>890</v>
      </c>
      <c r="B60" s="77" t="s">
        <v>268</v>
      </c>
      <c r="C60" s="63" t="s">
        <v>223</v>
      </c>
      <c r="D60" s="34">
        <v>89974.342328767103</v>
      </c>
      <c r="E60" s="34">
        <v>147274.25839617499</v>
      </c>
      <c r="F60" s="34">
        <v>150392.98659672099</v>
      </c>
      <c r="G60" s="15"/>
      <c r="H60" s="15"/>
      <c r="I60" s="15"/>
      <c r="J60" s="15"/>
      <c r="K60" s="15"/>
      <c r="L60" s="15"/>
      <c r="M60" s="15"/>
      <c r="N60" s="15"/>
      <c r="O60" s="3"/>
    </row>
    <row r="61" spans="1:15" ht="16.899999999999999" customHeight="1" x14ac:dyDescent="0.2">
      <c r="A61" s="77" t="s">
        <v>891</v>
      </c>
      <c r="B61" s="77" t="s">
        <v>271</v>
      </c>
      <c r="C61" s="63" t="s">
        <v>223</v>
      </c>
      <c r="D61" s="34">
        <v>94656.135205479397</v>
      </c>
      <c r="E61" s="34">
        <v>121330.233874863</v>
      </c>
      <c r="F61" s="34">
        <v>134136.78420764999</v>
      </c>
      <c r="G61" s="15"/>
      <c r="H61" s="15"/>
      <c r="I61" s="15"/>
      <c r="J61" s="15"/>
      <c r="K61" s="15"/>
      <c r="L61" s="15"/>
      <c r="M61" s="15"/>
      <c r="N61" s="15"/>
      <c r="O61" s="3"/>
    </row>
    <row r="62" spans="1:15" ht="16.899999999999999" customHeight="1" x14ac:dyDescent="0.2">
      <c r="A62" s="77" t="s">
        <v>892</v>
      </c>
      <c r="B62" s="77" t="s">
        <v>274</v>
      </c>
      <c r="C62" s="63" t="s">
        <v>223</v>
      </c>
      <c r="D62" s="15"/>
      <c r="E62" s="15"/>
      <c r="F62" s="15"/>
      <c r="G62" s="15"/>
      <c r="H62" s="15"/>
      <c r="I62" s="15"/>
      <c r="J62" s="15"/>
      <c r="K62" s="15"/>
      <c r="L62" s="15"/>
      <c r="M62" s="15"/>
      <c r="N62" s="15"/>
      <c r="O62" s="3"/>
    </row>
    <row r="63" spans="1:15" ht="16.899999999999999" customHeight="1" x14ac:dyDescent="0.2">
      <c r="A63" s="77" t="s">
        <v>893</v>
      </c>
      <c r="B63" s="77" t="s">
        <v>277</v>
      </c>
      <c r="C63" s="63" t="s">
        <v>223</v>
      </c>
      <c r="D63" s="15"/>
      <c r="E63" s="15"/>
      <c r="F63" s="15"/>
      <c r="G63" s="15"/>
      <c r="H63" s="15"/>
      <c r="I63" s="15"/>
      <c r="J63" s="15"/>
      <c r="K63" s="15"/>
      <c r="L63" s="15"/>
      <c r="M63" s="15"/>
      <c r="N63" s="15"/>
      <c r="O63" s="3"/>
    </row>
    <row r="64" spans="1:15" ht="16.899999999999999" customHeight="1" x14ac:dyDescent="0.2">
      <c r="A64" s="77" t="s">
        <v>894</v>
      </c>
      <c r="B64" s="71" t="s">
        <v>280</v>
      </c>
      <c r="C64" s="129" t="s">
        <v>190</v>
      </c>
      <c r="D64" s="26">
        <f t="shared" ref="D64:N64" si="9">SUM(D59:D63)</f>
        <v>216102.18808219169</v>
      </c>
      <c r="E64" s="26">
        <f t="shared" si="9"/>
        <v>321619.77335081931</v>
      </c>
      <c r="F64" s="26">
        <f t="shared" si="9"/>
        <v>338680.18759180256</v>
      </c>
      <c r="G64" s="26">
        <f t="shared" si="9"/>
        <v>0</v>
      </c>
      <c r="H64" s="26">
        <f t="shared" si="9"/>
        <v>0</v>
      </c>
      <c r="I64" s="26">
        <f t="shared" si="9"/>
        <v>0</v>
      </c>
      <c r="J64" s="26">
        <f t="shared" si="9"/>
        <v>0</v>
      </c>
      <c r="K64" s="26">
        <f t="shared" si="9"/>
        <v>0</v>
      </c>
      <c r="L64" s="26">
        <f t="shared" si="9"/>
        <v>0</v>
      </c>
      <c r="M64" s="26">
        <f t="shared" si="9"/>
        <v>0</v>
      </c>
      <c r="N64" s="26">
        <f t="shared" si="9"/>
        <v>0</v>
      </c>
      <c r="O64" s="3"/>
    </row>
    <row r="65" spans="1:15" ht="16.899999999999999" customHeight="1" x14ac:dyDescent="0.25">
      <c r="A65" s="154"/>
      <c r="B65" s="106"/>
      <c r="C65" s="110"/>
      <c r="D65" s="109"/>
      <c r="E65" s="109"/>
      <c r="F65" s="109"/>
      <c r="G65" s="150"/>
      <c r="H65" s="150"/>
      <c r="I65" s="150"/>
      <c r="J65" s="150"/>
      <c r="K65" s="150"/>
      <c r="L65" s="150"/>
      <c r="M65" s="150"/>
      <c r="N65" s="150"/>
    </row>
    <row r="66" spans="1:15" ht="17.649999999999999" customHeight="1" x14ac:dyDescent="0.25">
      <c r="A66" s="49"/>
      <c r="B66" s="128" t="s">
        <v>895</v>
      </c>
      <c r="C66" s="116"/>
    </row>
    <row r="67" spans="1:15" ht="16.899999999999999" customHeight="1" x14ac:dyDescent="0.2">
      <c r="A67" s="77" t="s">
        <v>896</v>
      </c>
      <c r="B67" s="77" t="s">
        <v>265</v>
      </c>
      <c r="C67" s="63" t="s">
        <v>223</v>
      </c>
      <c r="D67" s="34">
        <v>549824.174794522</v>
      </c>
      <c r="E67" s="34">
        <v>1031639.6966846799</v>
      </c>
      <c r="F67" s="34">
        <v>258997.121406739</v>
      </c>
      <c r="G67" s="15"/>
      <c r="H67" s="15"/>
      <c r="I67" s="15"/>
      <c r="J67" s="15"/>
      <c r="K67" s="15"/>
      <c r="L67" s="15"/>
      <c r="M67" s="15"/>
      <c r="N67" s="15"/>
      <c r="O67" s="3"/>
    </row>
    <row r="68" spans="1:15" ht="16.899999999999999" customHeight="1" x14ac:dyDescent="0.2">
      <c r="A68" s="77" t="s">
        <v>897</v>
      </c>
      <c r="B68" s="77" t="s">
        <v>268</v>
      </c>
      <c r="C68" s="63" t="s">
        <v>223</v>
      </c>
      <c r="D68" s="34">
        <v>1621829.0292237401</v>
      </c>
      <c r="E68" s="34">
        <v>0</v>
      </c>
      <c r="F68" s="34">
        <v>764715.93598706601</v>
      </c>
      <c r="G68" s="15"/>
      <c r="H68" s="15"/>
      <c r="I68" s="15"/>
      <c r="J68" s="15"/>
      <c r="K68" s="15"/>
      <c r="L68" s="15"/>
      <c r="M68" s="15"/>
      <c r="N68" s="15"/>
      <c r="O68" s="3"/>
    </row>
    <row r="69" spans="1:15" ht="16.899999999999999" customHeight="1" x14ac:dyDescent="0.2">
      <c r="A69" s="77" t="s">
        <v>898</v>
      </c>
      <c r="B69" s="77" t="s">
        <v>271</v>
      </c>
      <c r="C69" s="63" t="s">
        <v>223</v>
      </c>
      <c r="D69" s="34">
        <v>593062.76191780798</v>
      </c>
      <c r="E69" s="34">
        <v>277627.16226557398</v>
      </c>
      <c r="F69" s="34">
        <v>286765.27946630202</v>
      </c>
      <c r="G69" s="15"/>
      <c r="H69" s="15"/>
      <c r="I69" s="15"/>
      <c r="J69" s="15"/>
      <c r="K69" s="15"/>
      <c r="L69" s="15"/>
      <c r="M69" s="15"/>
      <c r="N69" s="15"/>
      <c r="O69" s="3"/>
    </row>
    <row r="70" spans="1:15" ht="16.899999999999999" customHeight="1" x14ac:dyDescent="0.2">
      <c r="A70" s="77" t="s">
        <v>899</v>
      </c>
      <c r="B70" s="77" t="s">
        <v>274</v>
      </c>
      <c r="C70" s="63" t="s">
        <v>223</v>
      </c>
      <c r="D70" s="15"/>
      <c r="E70" s="34">
        <v>0</v>
      </c>
      <c r="F70" s="15"/>
      <c r="G70" s="15"/>
      <c r="H70" s="15"/>
      <c r="I70" s="15"/>
      <c r="J70" s="15"/>
      <c r="K70" s="15"/>
      <c r="L70" s="15"/>
      <c r="M70" s="15"/>
      <c r="N70" s="15"/>
      <c r="O70" s="3"/>
    </row>
    <row r="71" spans="1:15" ht="16.899999999999999" customHeight="1" x14ac:dyDescent="0.2">
      <c r="A71" s="77" t="s">
        <v>900</v>
      </c>
      <c r="B71" s="77" t="s">
        <v>277</v>
      </c>
      <c r="C71" s="63" t="s">
        <v>223</v>
      </c>
      <c r="D71" s="15"/>
      <c r="E71" s="34">
        <v>0</v>
      </c>
      <c r="F71" s="34">
        <v>0</v>
      </c>
      <c r="G71" s="15"/>
      <c r="H71" s="15"/>
      <c r="I71" s="15"/>
      <c r="J71" s="15"/>
      <c r="K71" s="15"/>
      <c r="L71" s="15"/>
      <c r="M71" s="15"/>
      <c r="N71" s="15"/>
      <c r="O71" s="3"/>
    </row>
    <row r="72" spans="1:15" ht="16.899999999999999" customHeight="1" x14ac:dyDescent="0.2">
      <c r="A72" s="77" t="s">
        <v>901</v>
      </c>
      <c r="B72" s="71" t="s">
        <v>280</v>
      </c>
      <c r="C72" s="129" t="s">
        <v>190</v>
      </c>
      <c r="D72" s="26">
        <f t="shared" ref="D72:N72" si="10">SUM(D67:D71)</f>
        <v>2764715.9659360703</v>
      </c>
      <c r="E72" s="26">
        <f t="shared" si="10"/>
        <v>1309266.858950254</v>
      </c>
      <c r="F72" s="26">
        <f t="shared" si="10"/>
        <v>1310478.336860107</v>
      </c>
      <c r="G72" s="26">
        <f t="shared" si="10"/>
        <v>0</v>
      </c>
      <c r="H72" s="26">
        <f t="shared" si="10"/>
        <v>0</v>
      </c>
      <c r="I72" s="26">
        <f t="shared" si="10"/>
        <v>0</v>
      </c>
      <c r="J72" s="26">
        <f t="shared" si="10"/>
        <v>0</v>
      </c>
      <c r="K72" s="26">
        <f t="shared" si="10"/>
        <v>0</v>
      </c>
      <c r="L72" s="26">
        <f t="shared" si="10"/>
        <v>0</v>
      </c>
      <c r="M72" s="26">
        <f t="shared" si="10"/>
        <v>0</v>
      </c>
      <c r="N72" s="26">
        <f t="shared" si="10"/>
        <v>0</v>
      </c>
      <c r="O72" s="3"/>
    </row>
    <row r="73" spans="1:15" ht="16.899999999999999" customHeight="1" x14ac:dyDescent="0.25">
      <c r="A73" s="154"/>
      <c r="B73" s="106"/>
      <c r="C73" s="110"/>
      <c r="D73" s="109"/>
      <c r="E73" s="109"/>
      <c r="F73" s="109"/>
      <c r="G73" s="150"/>
      <c r="H73" s="150"/>
      <c r="I73" s="150"/>
      <c r="J73" s="150"/>
      <c r="K73" s="150"/>
      <c r="L73" s="150"/>
      <c r="M73" s="150"/>
      <c r="N73" s="150"/>
    </row>
    <row r="74" spans="1:15" ht="17.649999999999999" customHeight="1" x14ac:dyDescent="0.25">
      <c r="A74" s="49"/>
      <c r="B74" s="128" t="s">
        <v>902</v>
      </c>
      <c r="C74" s="116"/>
    </row>
    <row r="75" spans="1:15" ht="16.899999999999999" customHeight="1" x14ac:dyDescent="0.2">
      <c r="A75" s="77" t="s">
        <v>903</v>
      </c>
      <c r="B75" s="77" t="s">
        <v>265</v>
      </c>
      <c r="C75" s="63" t="s">
        <v>223</v>
      </c>
      <c r="D75" s="34">
        <v>292128.89127853903</v>
      </c>
      <c r="E75" s="34">
        <v>2172049.1894775899</v>
      </c>
      <c r="F75" s="34">
        <v>550725.31384772202</v>
      </c>
      <c r="G75" s="15"/>
      <c r="H75" s="15"/>
      <c r="I75" s="15"/>
      <c r="J75" s="15"/>
      <c r="K75" s="15"/>
      <c r="L75" s="15"/>
      <c r="M75" s="15"/>
      <c r="N75" s="15"/>
      <c r="O75" s="3"/>
    </row>
    <row r="76" spans="1:15" ht="16.899999999999999" customHeight="1" x14ac:dyDescent="0.2">
      <c r="A76" s="77" t="s">
        <v>904</v>
      </c>
      <c r="B76" s="77" t="s">
        <v>268</v>
      </c>
      <c r="C76" s="63" t="s">
        <v>223</v>
      </c>
      <c r="D76" s="34">
        <v>851563.34739725804</v>
      </c>
      <c r="E76" s="34">
        <v>0</v>
      </c>
      <c r="F76" s="34">
        <v>1599496.6652939999</v>
      </c>
      <c r="G76" s="15"/>
      <c r="H76" s="15"/>
      <c r="I76" s="15"/>
      <c r="J76" s="15"/>
      <c r="K76" s="15"/>
      <c r="L76" s="15"/>
      <c r="M76" s="15"/>
      <c r="N76" s="15"/>
      <c r="O76" s="3"/>
    </row>
    <row r="77" spans="1:15" ht="16.899999999999999" customHeight="1" x14ac:dyDescent="0.2">
      <c r="A77" s="77" t="s">
        <v>905</v>
      </c>
      <c r="B77" s="77" t="s">
        <v>271</v>
      </c>
      <c r="C77" s="63" t="s">
        <v>223</v>
      </c>
      <c r="D77" s="34">
        <v>341644.48410958902</v>
      </c>
      <c r="E77" s="34">
        <v>586591.40923242294</v>
      </c>
      <c r="F77" s="34">
        <v>597378.563974499</v>
      </c>
      <c r="G77" s="15"/>
      <c r="H77" s="15"/>
      <c r="I77" s="15"/>
      <c r="J77" s="15"/>
      <c r="K77" s="15"/>
      <c r="L77" s="15"/>
      <c r="M77" s="15"/>
      <c r="N77" s="15"/>
      <c r="O77" s="3"/>
    </row>
    <row r="78" spans="1:15" ht="16.899999999999999" customHeight="1" x14ac:dyDescent="0.2">
      <c r="A78" s="77" t="s">
        <v>906</v>
      </c>
      <c r="B78" s="77" t="s">
        <v>274</v>
      </c>
      <c r="C78" s="63" t="s">
        <v>223</v>
      </c>
      <c r="D78" s="15"/>
      <c r="E78" s="34">
        <v>0</v>
      </c>
      <c r="F78" s="15"/>
      <c r="G78" s="15"/>
      <c r="H78" s="15"/>
      <c r="I78" s="15"/>
      <c r="J78" s="15"/>
      <c r="K78" s="15"/>
      <c r="L78" s="15"/>
      <c r="M78" s="15"/>
      <c r="N78" s="15"/>
      <c r="O78" s="3"/>
    </row>
    <row r="79" spans="1:15" ht="16.899999999999999" customHeight="1" x14ac:dyDescent="0.2">
      <c r="A79" s="77" t="s">
        <v>907</v>
      </c>
      <c r="B79" s="77" t="s">
        <v>277</v>
      </c>
      <c r="C79" s="63" t="s">
        <v>223</v>
      </c>
      <c r="D79" s="15"/>
      <c r="E79" s="34">
        <v>0</v>
      </c>
      <c r="F79" s="34">
        <v>0</v>
      </c>
      <c r="G79" s="15"/>
      <c r="H79" s="15"/>
      <c r="I79" s="15"/>
      <c r="J79" s="15"/>
      <c r="K79" s="15"/>
      <c r="L79" s="15"/>
      <c r="M79" s="15"/>
      <c r="N79" s="15"/>
      <c r="O79" s="3"/>
    </row>
    <row r="80" spans="1:15" ht="16.899999999999999" customHeight="1" x14ac:dyDescent="0.2">
      <c r="A80" s="77" t="s">
        <v>908</v>
      </c>
      <c r="B80" s="71" t="s">
        <v>280</v>
      </c>
      <c r="C80" s="129" t="s">
        <v>190</v>
      </c>
      <c r="D80" s="26">
        <f t="shared" ref="D80:N80" si="11">SUM(D75:D79)</f>
        <v>1485336.7227853863</v>
      </c>
      <c r="E80" s="26">
        <f t="shared" si="11"/>
        <v>2758640.5987100126</v>
      </c>
      <c r="F80" s="26">
        <f t="shared" si="11"/>
        <v>2747600.5431162212</v>
      </c>
      <c r="G80" s="26">
        <f t="shared" si="11"/>
        <v>0</v>
      </c>
      <c r="H80" s="26">
        <f t="shared" si="11"/>
        <v>0</v>
      </c>
      <c r="I80" s="26">
        <f t="shared" si="11"/>
        <v>0</v>
      </c>
      <c r="J80" s="26">
        <f t="shared" si="11"/>
        <v>0</v>
      </c>
      <c r="K80" s="26">
        <f t="shared" si="11"/>
        <v>0</v>
      </c>
      <c r="L80" s="26">
        <f t="shared" si="11"/>
        <v>0</v>
      </c>
      <c r="M80" s="26">
        <f t="shared" si="11"/>
        <v>0</v>
      </c>
      <c r="N80" s="26">
        <f t="shared" si="11"/>
        <v>0</v>
      </c>
      <c r="O80" s="3"/>
    </row>
    <row r="81" spans="1:15" ht="16.899999999999999" customHeight="1" x14ac:dyDescent="0.25">
      <c r="A81" s="154"/>
      <c r="B81" s="106"/>
      <c r="C81" s="110"/>
      <c r="D81" s="109"/>
      <c r="E81" s="109"/>
      <c r="F81" s="109"/>
      <c r="G81" s="150"/>
      <c r="H81" s="150"/>
      <c r="I81" s="150"/>
      <c r="J81" s="150"/>
      <c r="K81" s="150"/>
      <c r="L81" s="150"/>
      <c r="M81" s="150"/>
      <c r="N81" s="150"/>
    </row>
    <row r="82" spans="1:15" ht="17.649999999999999" customHeight="1" x14ac:dyDescent="0.25">
      <c r="A82" s="49"/>
      <c r="B82" s="128" t="s">
        <v>282</v>
      </c>
      <c r="C82" s="116"/>
    </row>
    <row r="83" spans="1:15" ht="16.899999999999999" customHeight="1" x14ac:dyDescent="0.2">
      <c r="A83" s="77" t="s">
        <v>909</v>
      </c>
      <c r="B83" s="77" t="s">
        <v>910</v>
      </c>
      <c r="C83" s="63" t="s">
        <v>223</v>
      </c>
      <c r="D83" s="34">
        <v>67</v>
      </c>
      <c r="E83" s="34">
        <v>68</v>
      </c>
      <c r="F83" s="34">
        <v>68</v>
      </c>
      <c r="G83" s="15"/>
      <c r="H83" s="15"/>
      <c r="I83" s="15"/>
      <c r="J83" s="15"/>
      <c r="K83" s="15"/>
      <c r="L83" s="15"/>
      <c r="M83" s="15"/>
      <c r="N83" s="15"/>
      <c r="O83" s="3"/>
    </row>
    <row r="84" spans="1:15" ht="16.899999999999999" customHeight="1" x14ac:dyDescent="0.2">
      <c r="A84" s="77" t="s">
        <v>911</v>
      </c>
      <c r="B84" s="77" t="s">
        <v>912</v>
      </c>
      <c r="C84" s="63" t="s">
        <v>223</v>
      </c>
      <c r="D84" s="34">
        <v>66</v>
      </c>
      <c r="E84" s="34">
        <v>66</v>
      </c>
      <c r="F84" s="34">
        <v>66</v>
      </c>
      <c r="G84" s="15"/>
      <c r="H84" s="15"/>
      <c r="I84" s="15"/>
      <c r="J84" s="15"/>
      <c r="K84" s="15"/>
      <c r="L84" s="15"/>
      <c r="M84" s="15"/>
      <c r="N84" s="15"/>
      <c r="O84" s="3"/>
    </row>
    <row r="85" spans="1:15" ht="16.899999999999999" customHeight="1" x14ac:dyDescent="0.2">
      <c r="A85" s="77" t="s">
        <v>913</v>
      </c>
      <c r="B85" s="77" t="s">
        <v>914</v>
      </c>
      <c r="C85" s="63" t="s">
        <v>223</v>
      </c>
      <c r="D85" s="34">
        <v>69</v>
      </c>
      <c r="E85" s="34">
        <v>69</v>
      </c>
      <c r="F85" s="34">
        <v>69</v>
      </c>
      <c r="G85" s="15"/>
      <c r="H85" s="15"/>
      <c r="I85" s="15"/>
      <c r="J85" s="15"/>
      <c r="K85" s="15"/>
      <c r="L85" s="15"/>
      <c r="M85" s="15"/>
      <c r="N85" s="15"/>
      <c r="O85" s="3"/>
    </row>
    <row r="86" spans="1:15" ht="16.899999999999999" customHeight="1" x14ac:dyDescent="0.2">
      <c r="A86" s="77" t="s">
        <v>915</v>
      </c>
      <c r="B86" s="77" t="s">
        <v>916</v>
      </c>
      <c r="C86" s="63" t="s">
        <v>223</v>
      </c>
      <c r="D86" s="34">
        <v>133</v>
      </c>
      <c r="E86" s="34">
        <v>136</v>
      </c>
      <c r="F86" s="34">
        <v>136</v>
      </c>
      <c r="G86" s="15"/>
      <c r="H86" s="15"/>
      <c r="I86" s="15"/>
      <c r="J86" s="15"/>
      <c r="K86" s="15"/>
      <c r="L86" s="15"/>
      <c r="M86" s="15"/>
      <c r="N86" s="15"/>
      <c r="O86" s="3"/>
    </row>
    <row r="87" spans="1:15" ht="16.899999999999999" customHeight="1" x14ac:dyDescent="0.2">
      <c r="A87" s="77" t="s">
        <v>917</v>
      </c>
      <c r="B87" s="77" t="s">
        <v>918</v>
      </c>
      <c r="C87" s="63" t="s">
        <v>223</v>
      </c>
      <c r="D87" s="34">
        <v>130</v>
      </c>
      <c r="E87" s="34">
        <v>130</v>
      </c>
      <c r="F87" s="34">
        <v>130</v>
      </c>
      <c r="G87" s="15"/>
      <c r="H87" s="15"/>
      <c r="I87" s="15"/>
      <c r="J87" s="15"/>
      <c r="K87" s="15"/>
      <c r="L87" s="15"/>
      <c r="M87" s="15"/>
      <c r="N87" s="15"/>
      <c r="O87" s="3"/>
    </row>
    <row r="88" spans="1:15" ht="16.899999999999999" customHeight="1" x14ac:dyDescent="0.2">
      <c r="A88" s="77" t="s">
        <v>919</v>
      </c>
      <c r="B88" s="77" t="s">
        <v>920</v>
      </c>
      <c r="C88" s="63" t="s">
        <v>223</v>
      </c>
      <c r="D88" s="34">
        <v>139</v>
      </c>
      <c r="E88" s="34">
        <v>139</v>
      </c>
      <c r="F88" s="34">
        <v>139</v>
      </c>
      <c r="G88" s="15"/>
      <c r="H88" s="15"/>
      <c r="I88" s="15"/>
      <c r="J88" s="15"/>
      <c r="K88" s="15"/>
      <c r="L88" s="15"/>
      <c r="M88" s="15"/>
      <c r="N88" s="15"/>
      <c r="O88" s="3"/>
    </row>
    <row r="89" spans="1:15" ht="16.899999999999999" customHeight="1" x14ac:dyDescent="0.2">
      <c r="A89" s="77" t="s">
        <v>921</v>
      </c>
      <c r="B89" s="77" t="s">
        <v>922</v>
      </c>
      <c r="C89" s="63" t="s">
        <v>223</v>
      </c>
      <c r="D89" s="34">
        <v>526</v>
      </c>
      <c r="E89" s="34">
        <v>537</v>
      </c>
      <c r="F89" s="34">
        <v>537</v>
      </c>
      <c r="G89" s="15"/>
      <c r="H89" s="15"/>
      <c r="I89" s="15"/>
      <c r="J89" s="15"/>
      <c r="K89" s="15"/>
      <c r="L89" s="15"/>
      <c r="M89" s="15"/>
      <c r="N89" s="15"/>
      <c r="O89" s="3"/>
    </row>
    <row r="90" spans="1:15" ht="16.899999999999999" customHeight="1" x14ac:dyDescent="0.2">
      <c r="A90" s="77" t="s">
        <v>923</v>
      </c>
      <c r="B90" s="77" t="s">
        <v>924</v>
      </c>
      <c r="C90" s="63" t="s">
        <v>223</v>
      </c>
      <c r="D90" s="34">
        <v>516</v>
      </c>
      <c r="E90" s="34">
        <v>516</v>
      </c>
      <c r="F90" s="34">
        <v>516</v>
      </c>
      <c r="G90" s="15"/>
      <c r="H90" s="15"/>
      <c r="I90" s="15"/>
      <c r="J90" s="15"/>
      <c r="K90" s="15"/>
      <c r="L90" s="15"/>
      <c r="M90" s="15"/>
      <c r="N90" s="15"/>
      <c r="O90" s="3"/>
    </row>
    <row r="91" spans="1:15" ht="16.899999999999999" customHeight="1" x14ac:dyDescent="0.2">
      <c r="A91" s="77" t="s">
        <v>925</v>
      </c>
      <c r="B91" s="77" t="s">
        <v>926</v>
      </c>
      <c r="C91" s="63" t="s">
        <v>223</v>
      </c>
      <c r="D91" s="34">
        <v>548</v>
      </c>
      <c r="E91" s="34">
        <v>548</v>
      </c>
      <c r="F91" s="34">
        <v>548</v>
      </c>
      <c r="G91" s="15"/>
      <c r="H91" s="15"/>
      <c r="I91" s="15"/>
      <c r="J91" s="15"/>
      <c r="K91" s="15"/>
      <c r="L91" s="15"/>
      <c r="M91" s="15"/>
      <c r="N91" s="15"/>
      <c r="O91" s="3"/>
    </row>
    <row r="92" spans="1:15" ht="16.899999999999999" customHeight="1" x14ac:dyDescent="0.2">
      <c r="A92" s="77" t="s">
        <v>927</v>
      </c>
      <c r="B92" s="77" t="s">
        <v>928</v>
      </c>
      <c r="C92" s="63" t="s">
        <v>223</v>
      </c>
      <c r="D92" s="34">
        <v>950</v>
      </c>
      <c r="E92" s="34">
        <v>969</v>
      </c>
      <c r="F92" s="34">
        <v>969</v>
      </c>
      <c r="G92" s="15"/>
      <c r="H92" s="15"/>
      <c r="I92" s="15"/>
      <c r="J92" s="15"/>
      <c r="K92" s="15"/>
      <c r="L92" s="15"/>
      <c r="M92" s="15"/>
      <c r="N92" s="15"/>
      <c r="O92" s="3"/>
    </row>
    <row r="93" spans="1:15" ht="16.899999999999999" customHeight="1" x14ac:dyDescent="0.2">
      <c r="A93" s="77" t="s">
        <v>929</v>
      </c>
      <c r="B93" s="77" t="s">
        <v>930</v>
      </c>
      <c r="C93" s="63" t="s">
        <v>223</v>
      </c>
      <c r="D93" s="34">
        <v>931</v>
      </c>
      <c r="E93" s="34">
        <v>931</v>
      </c>
      <c r="F93" s="34">
        <v>931</v>
      </c>
      <c r="G93" s="15"/>
      <c r="H93" s="15"/>
      <c r="I93" s="15"/>
      <c r="J93" s="15"/>
      <c r="K93" s="15"/>
      <c r="L93" s="15"/>
      <c r="M93" s="15"/>
      <c r="N93" s="15"/>
      <c r="O93" s="3"/>
    </row>
    <row r="94" spans="1:15" ht="16.899999999999999" customHeight="1" x14ac:dyDescent="0.2">
      <c r="A94" s="77" t="s">
        <v>931</v>
      </c>
      <c r="B94" s="77" t="s">
        <v>932</v>
      </c>
      <c r="C94" s="63" t="s">
        <v>223</v>
      </c>
      <c r="D94" s="34">
        <v>988</v>
      </c>
      <c r="E94" s="34">
        <v>988</v>
      </c>
      <c r="F94" s="34">
        <v>988</v>
      </c>
      <c r="G94" s="15"/>
      <c r="H94" s="15"/>
      <c r="I94" s="15"/>
      <c r="J94" s="15"/>
      <c r="K94" s="15"/>
      <c r="L94" s="15"/>
      <c r="M94" s="15"/>
      <c r="N94" s="15"/>
      <c r="O94" s="3"/>
    </row>
    <row r="95" spans="1:15" ht="16.899999999999999" customHeight="1" x14ac:dyDescent="0.2">
      <c r="A95" s="77" t="s">
        <v>933</v>
      </c>
      <c r="B95" s="77" t="s">
        <v>934</v>
      </c>
      <c r="C95" s="63" t="s">
        <v>223</v>
      </c>
      <c r="D95" s="34">
        <v>1848</v>
      </c>
      <c r="E95" s="34">
        <v>1855</v>
      </c>
      <c r="F95" s="34">
        <v>1855</v>
      </c>
      <c r="G95" s="15"/>
      <c r="H95" s="15"/>
      <c r="I95" s="15"/>
      <c r="J95" s="15"/>
      <c r="K95" s="15"/>
      <c r="L95" s="15"/>
      <c r="M95" s="15"/>
      <c r="N95" s="15"/>
      <c r="O95" s="3"/>
    </row>
    <row r="96" spans="1:15" ht="16.899999999999999" customHeight="1" x14ac:dyDescent="0.2">
      <c r="A96" s="77" t="s">
        <v>935</v>
      </c>
      <c r="B96" s="77" t="s">
        <v>936</v>
      </c>
      <c r="C96" s="63" t="s">
        <v>223</v>
      </c>
      <c r="D96" s="34">
        <v>1812</v>
      </c>
      <c r="E96" s="34">
        <v>1812</v>
      </c>
      <c r="F96" s="34">
        <v>1812</v>
      </c>
      <c r="G96" s="15"/>
      <c r="H96" s="15"/>
      <c r="I96" s="15"/>
      <c r="J96" s="15"/>
      <c r="K96" s="15"/>
      <c r="L96" s="15"/>
      <c r="M96" s="15"/>
      <c r="N96" s="15"/>
      <c r="O96" s="3"/>
    </row>
    <row r="97" spans="1:15" ht="16.899999999999999" customHeight="1" x14ac:dyDescent="0.2">
      <c r="A97" s="77" t="s">
        <v>937</v>
      </c>
      <c r="B97" s="77" t="s">
        <v>938</v>
      </c>
      <c r="C97" s="63" t="s">
        <v>223</v>
      </c>
      <c r="D97" s="34">
        <v>1923</v>
      </c>
      <c r="E97" s="34">
        <v>1923</v>
      </c>
      <c r="F97" s="34">
        <v>1923</v>
      </c>
      <c r="G97" s="15"/>
      <c r="H97" s="15"/>
      <c r="I97" s="15"/>
      <c r="J97" s="15"/>
      <c r="K97" s="15"/>
      <c r="L97" s="15"/>
      <c r="M97" s="15"/>
      <c r="N97" s="15"/>
      <c r="O97" s="3"/>
    </row>
    <row r="98" spans="1:15" ht="17.649999999999999" customHeight="1" x14ac:dyDescent="0.25">
      <c r="A98" s="4"/>
      <c r="B98" s="117"/>
      <c r="C98" s="118"/>
      <c r="D98" s="109"/>
      <c r="E98" s="109"/>
      <c r="F98" s="109"/>
      <c r="G98" s="150"/>
      <c r="H98" s="5"/>
      <c r="I98" s="5"/>
      <c r="J98" s="5"/>
      <c r="K98" s="5"/>
      <c r="L98" s="5"/>
      <c r="M98" s="5"/>
      <c r="N98" s="5"/>
    </row>
    <row r="99" spans="1:15" ht="17.649999999999999" customHeight="1" x14ac:dyDescent="0.25">
      <c r="A99" s="49"/>
      <c r="B99" s="128" t="s">
        <v>293</v>
      </c>
      <c r="C99" s="116"/>
    </row>
    <row r="100" spans="1:15" ht="16.899999999999999" customHeight="1" x14ac:dyDescent="0.2">
      <c r="A100" s="77" t="s">
        <v>939</v>
      </c>
      <c r="B100" s="77" t="s">
        <v>295</v>
      </c>
      <c r="C100" s="63" t="s">
        <v>223</v>
      </c>
      <c r="D100" s="130">
        <v>0.51880000000000004</v>
      </c>
      <c r="E100" s="130">
        <v>0.5292</v>
      </c>
      <c r="F100" s="130">
        <v>0.5292</v>
      </c>
      <c r="G100" s="15"/>
      <c r="H100" s="15"/>
      <c r="I100" s="15"/>
      <c r="J100" s="15"/>
      <c r="K100" s="15"/>
      <c r="L100" s="15"/>
      <c r="M100" s="15"/>
      <c r="N100" s="15"/>
      <c r="O100" s="3"/>
    </row>
    <row r="101" spans="1:15" ht="16.899999999999999" customHeight="1" x14ac:dyDescent="0.2">
      <c r="A101" s="77" t="s">
        <v>940</v>
      </c>
      <c r="B101" s="77" t="s">
        <v>941</v>
      </c>
      <c r="C101" s="63" t="s">
        <v>223</v>
      </c>
      <c r="D101" s="130">
        <v>0.51880000000000004</v>
      </c>
      <c r="E101" s="130">
        <v>0.5292</v>
      </c>
      <c r="F101" s="130">
        <v>0.5292</v>
      </c>
      <c r="G101" s="15"/>
      <c r="H101" s="15"/>
      <c r="I101" s="15"/>
      <c r="J101" s="15"/>
      <c r="K101" s="15"/>
      <c r="L101" s="15"/>
      <c r="M101" s="15"/>
      <c r="N101" s="15"/>
      <c r="O101" s="3"/>
    </row>
    <row r="102" spans="1:15" ht="16.899999999999999" customHeight="1" x14ac:dyDescent="0.2">
      <c r="A102" s="77" t="s">
        <v>942</v>
      </c>
      <c r="B102" s="77" t="s">
        <v>943</v>
      </c>
      <c r="C102" s="63" t="s">
        <v>223</v>
      </c>
      <c r="D102" s="130">
        <v>0.50860000000000005</v>
      </c>
      <c r="E102" s="130">
        <v>0.50860000000000005</v>
      </c>
      <c r="F102" s="130">
        <v>0.50860000000000005</v>
      </c>
      <c r="G102" s="15"/>
      <c r="H102" s="15"/>
      <c r="I102" s="15"/>
      <c r="J102" s="15"/>
      <c r="K102" s="15"/>
      <c r="L102" s="15"/>
      <c r="M102" s="15"/>
      <c r="N102" s="15"/>
      <c r="O102" s="3"/>
    </row>
    <row r="103" spans="1:15" ht="16.899999999999999" customHeight="1" x14ac:dyDescent="0.2">
      <c r="A103" s="77" t="s">
        <v>944</v>
      </c>
      <c r="B103" s="77" t="s">
        <v>945</v>
      </c>
      <c r="C103" s="63" t="s">
        <v>223</v>
      </c>
      <c r="D103" s="130">
        <v>0.53979999999999995</v>
      </c>
      <c r="E103" s="130">
        <v>0.53979999999999995</v>
      </c>
      <c r="F103" s="130">
        <v>0.53979999999999995</v>
      </c>
      <c r="G103" s="15"/>
      <c r="H103" s="15"/>
      <c r="I103" s="15"/>
      <c r="J103" s="15"/>
      <c r="K103" s="15"/>
      <c r="L103" s="15"/>
      <c r="M103" s="15"/>
      <c r="N103" s="15"/>
      <c r="O103" s="3"/>
    </row>
    <row r="104" spans="1:15" ht="16.899999999999999" customHeight="1" x14ac:dyDescent="0.25">
      <c r="A104" s="154"/>
      <c r="B104" s="113"/>
      <c r="C104" s="115"/>
      <c r="D104" s="109"/>
      <c r="E104" s="109"/>
      <c r="F104" s="109"/>
      <c r="G104" s="150"/>
      <c r="H104" s="150"/>
      <c r="I104" s="150"/>
      <c r="J104" s="150"/>
      <c r="K104" s="150"/>
      <c r="L104" s="150"/>
      <c r="M104" s="150"/>
      <c r="N104" s="150"/>
    </row>
    <row r="105" spans="1:15" ht="17.649999999999999" customHeight="1" x14ac:dyDescent="0.25">
      <c r="A105" s="49"/>
      <c r="B105" s="128" t="s">
        <v>946</v>
      </c>
      <c r="C105" s="116"/>
    </row>
    <row r="106" spans="1:15" ht="16.899999999999999" customHeight="1" x14ac:dyDescent="0.2">
      <c r="A106" s="77" t="s">
        <v>947</v>
      </c>
      <c r="B106" s="77" t="s">
        <v>265</v>
      </c>
      <c r="C106" s="63" t="s">
        <v>223</v>
      </c>
      <c r="D106" s="130">
        <v>0.70520000000000005</v>
      </c>
      <c r="E106" s="130">
        <v>0.71930000000000005</v>
      </c>
      <c r="F106" s="130">
        <v>0.71930000000000005</v>
      </c>
      <c r="G106" s="15"/>
      <c r="H106" s="15"/>
      <c r="I106" s="15"/>
      <c r="J106" s="15"/>
      <c r="K106" s="15"/>
      <c r="L106" s="15"/>
      <c r="M106" s="15"/>
      <c r="N106" s="15"/>
      <c r="O106" s="3"/>
    </row>
    <row r="107" spans="1:15" ht="16.899999999999999" customHeight="1" x14ac:dyDescent="0.2">
      <c r="A107" s="77" t="s">
        <v>948</v>
      </c>
      <c r="B107" s="77" t="s">
        <v>268</v>
      </c>
      <c r="C107" s="63" t="s">
        <v>223</v>
      </c>
      <c r="D107" s="130">
        <v>0.70520000000000005</v>
      </c>
      <c r="E107" s="130">
        <v>0.71930000000000005</v>
      </c>
      <c r="F107" s="130">
        <v>0.71930000000000005</v>
      </c>
      <c r="G107" s="15"/>
      <c r="H107" s="15"/>
      <c r="I107" s="15"/>
      <c r="J107" s="15"/>
      <c r="K107" s="15"/>
      <c r="L107" s="15"/>
      <c r="M107" s="15"/>
      <c r="N107" s="15"/>
      <c r="O107" s="3"/>
    </row>
    <row r="108" spans="1:15" ht="16.899999999999999" customHeight="1" x14ac:dyDescent="0.2">
      <c r="A108" s="77" t="s">
        <v>949</v>
      </c>
      <c r="B108" s="77" t="s">
        <v>271</v>
      </c>
      <c r="C108" s="63" t="s">
        <v>223</v>
      </c>
      <c r="D108" s="130">
        <v>0.70520000000000005</v>
      </c>
      <c r="E108" s="130">
        <v>0.71930000000000005</v>
      </c>
      <c r="F108" s="130">
        <v>0.71930000000000005</v>
      </c>
      <c r="G108" s="15"/>
      <c r="H108" s="15"/>
      <c r="I108" s="15"/>
      <c r="J108" s="15"/>
      <c r="K108" s="15"/>
      <c r="L108" s="15"/>
      <c r="M108" s="15"/>
      <c r="N108" s="15"/>
      <c r="O108" s="3"/>
    </row>
    <row r="109" spans="1:15" ht="16.899999999999999" customHeight="1" x14ac:dyDescent="0.2">
      <c r="A109" s="77" t="s">
        <v>950</v>
      </c>
      <c r="B109" s="77" t="s">
        <v>274</v>
      </c>
      <c r="C109" s="63" t="s">
        <v>223</v>
      </c>
      <c r="D109" s="130">
        <v>0.59589999999999999</v>
      </c>
      <c r="E109" s="130">
        <v>0.60780000000000001</v>
      </c>
      <c r="F109" s="130">
        <v>0.60780000000000001</v>
      </c>
      <c r="G109" s="15"/>
      <c r="H109" s="15"/>
      <c r="I109" s="15"/>
      <c r="J109" s="15"/>
      <c r="K109" s="15"/>
      <c r="L109" s="15"/>
      <c r="M109" s="15"/>
      <c r="N109" s="15"/>
      <c r="O109" s="3"/>
    </row>
    <row r="110" spans="1:15" ht="16.899999999999999" customHeight="1" x14ac:dyDescent="0.2">
      <c r="A110" s="77" t="s">
        <v>951</v>
      </c>
      <c r="B110" s="77" t="s">
        <v>277</v>
      </c>
      <c r="C110" s="63" t="s">
        <v>223</v>
      </c>
      <c r="D110" s="130">
        <v>0.36570000000000003</v>
      </c>
      <c r="E110" s="130">
        <v>0.373</v>
      </c>
      <c r="F110" s="130">
        <v>0.373</v>
      </c>
      <c r="G110" s="15"/>
      <c r="H110" s="15"/>
      <c r="I110" s="15"/>
      <c r="J110" s="15"/>
      <c r="K110" s="15"/>
      <c r="L110" s="15"/>
      <c r="M110" s="15"/>
      <c r="N110" s="15"/>
      <c r="O110" s="3"/>
    </row>
    <row r="111" spans="1:15" ht="16.899999999999999" customHeight="1" x14ac:dyDescent="0.25">
      <c r="A111" s="154"/>
      <c r="B111" s="106"/>
      <c r="C111" s="110"/>
      <c r="D111" s="109"/>
      <c r="E111" s="109"/>
      <c r="F111" s="109"/>
      <c r="G111" s="150"/>
      <c r="H111" s="150"/>
      <c r="I111" s="150"/>
      <c r="J111" s="150"/>
      <c r="K111" s="150"/>
      <c r="L111" s="150"/>
      <c r="M111" s="150"/>
      <c r="N111" s="150"/>
    </row>
    <row r="112" spans="1:15" ht="17.649999999999999" customHeight="1" x14ac:dyDescent="0.25">
      <c r="A112" s="49"/>
      <c r="B112" s="128" t="s">
        <v>952</v>
      </c>
      <c r="C112" s="116"/>
    </row>
    <row r="113" spans="1:15" ht="16.899999999999999" customHeight="1" x14ac:dyDescent="0.2">
      <c r="A113" s="77" t="s">
        <v>953</v>
      </c>
      <c r="B113" s="77" t="s">
        <v>265</v>
      </c>
      <c r="C113" s="63" t="s">
        <v>223</v>
      </c>
      <c r="D113" s="130">
        <v>0.69140000000000001</v>
      </c>
      <c r="E113" s="130">
        <v>0.69140000000000001</v>
      </c>
      <c r="F113" s="130">
        <v>0.69140000000000001</v>
      </c>
      <c r="G113" s="15"/>
      <c r="H113" s="15"/>
      <c r="I113" s="15"/>
      <c r="J113" s="15"/>
      <c r="K113" s="15"/>
      <c r="L113" s="15"/>
      <c r="M113" s="15"/>
      <c r="N113" s="15"/>
      <c r="O113" s="3"/>
    </row>
    <row r="114" spans="1:15" ht="16.899999999999999" customHeight="1" x14ac:dyDescent="0.2">
      <c r="A114" s="77" t="s">
        <v>954</v>
      </c>
      <c r="B114" s="77" t="s">
        <v>268</v>
      </c>
      <c r="C114" s="63" t="s">
        <v>223</v>
      </c>
      <c r="D114" s="130">
        <v>0.69140000000000001</v>
      </c>
      <c r="E114" s="130">
        <v>0.69140000000000001</v>
      </c>
      <c r="F114" s="130">
        <v>0.69140000000000001</v>
      </c>
      <c r="G114" s="15"/>
      <c r="H114" s="15"/>
      <c r="I114" s="15"/>
      <c r="J114" s="15"/>
      <c r="K114" s="15"/>
      <c r="L114" s="15"/>
      <c r="M114" s="15"/>
      <c r="N114" s="15"/>
      <c r="O114" s="3"/>
    </row>
    <row r="115" spans="1:15" ht="16.899999999999999" customHeight="1" x14ac:dyDescent="0.2">
      <c r="A115" s="77" t="s">
        <v>955</v>
      </c>
      <c r="B115" s="77" t="s">
        <v>271</v>
      </c>
      <c r="C115" s="63" t="s">
        <v>223</v>
      </c>
      <c r="D115" s="130">
        <v>0.69140000000000001</v>
      </c>
      <c r="E115" s="130">
        <v>0.69140000000000001</v>
      </c>
      <c r="F115" s="130">
        <v>0.69140000000000001</v>
      </c>
      <c r="G115" s="15"/>
      <c r="H115" s="15"/>
      <c r="I115" s="15"/>
      <c r="J115" s="15"/>
      <c r="K115" s="15"/>
      <c r="L115" s="15"/>
      <c r="M115" s="15"/>
      <c r="N115" s="15"/>
      <c r="O115" s="3"/>
    </row>
    <row r="116" spans="1:15" ht="16.899999999999999" customHeight="1" x14ac:dyDescent="0.2">
      <c r="A116" s="77" t="s">
        <v>956</v>
      </c>
      <c r="B116" s="77" t="s">
        <v>274</v>
      </c>
      <c r="C116" s="63" t="s">
        <v>223</v>
      </c>
      <c r="D116" s="130">
        <v>0.58420000000000005</v>
      </c>
      <c r="E116" s="130">
        <v>0.58420000000000005</v>
      </c>
      <c r="F116" s="130">
        <v>0.58420000000000005</v>
      </c>
      <c r="G116" s="15"/>
      <c r="H116" s="15"/>
      <c r="I116" s="15"/>
      <c r="J116" s="15"/>
      <c r="K116" s="15"/>
      <c r="L116" s="15"/>
      <c r="M116" s="15"/>
      <c r="N116" s="15"/>
      <c r="O116" s="3"/>
    </row>
    <row r="117" spans="1:15" ht="16.899999999999999" customHeight="1" x14ac:dyDescent="0.2">
      <c r="A117" s="77" t="s">
        <v>957</v>
      </c>
      <c r="B117" s="77" t="s">
        <v>277</v>
      </c>
      <c r="C117" s="63" t="s">
        <v>223</v>
      </c>
      <c r="D117" s="130">
        <v>0.35849999999999999</v>
      </c>
      <c r="E117" s="130">
        <v>0.35849999999999999</v>
      </c>
      <c r="F117" s="130">
        <v>0.35849999999999999</v>
      </c>
      <c r="G117" s="15"/>
      <c r="H117" s="15"/>
      <c r="I117" s="15"/>
      <c r="J117" s="15"/>
      <c r="K117" s="15"/>
      <c r="L117" s="15"/>
      <c r="M117" s="15"/>
      <c r="N117" s="15"/>
      <c r="O117" s="3"/>
    </row>
    <row r="118" spans="1:15" ht="16.899999999999999" customHeight="1" x14ac:dyDescent="0.25">
      <c r="A118" s="154"/>
      <c r="B118" s="106"/>
      <c r="C118" s="110"/>
      <c r="D118" s="109"/>
      <c r="E118" s="109"/>
      <c r="F118" s="109"/>
      <c r="G118" s="150"/>
      <c r="H118" s="150"/>
      <c r="I118" s="150"/>
      <c r="J118" s="150"/>
      <c r="K118" s="150"/>
      <c r="L118" s="150"/>
      <c r="M118" s="150"/>
      <c r="N118" s="150"/>
    </row>
    <row r="119" spans="1:15" ht="17.649999999999999" customHeight="1" x14ac:dyDescent="0.25">
      <c r="A119" s="49"/>
      <c r="B119" s="128" t="s">
        <v>958</v>
      </c>
      <c r="C119" s="116"/>
    </row>
    <row r="120" spans="1:15" ht="16.899999999999999" customHeight="1" x14ac:dyDescent="0.2">
      <c r="A120" s="77" t="s">
        <v>959</v>
      </c>
      <c r="B120" s="77" t="s">
        <v>265</v>
      </c>
      <c r="C120" s="63" t="s">
        <v>223</v>
      </c>
      <c r="D120" s="130">
        <v>0.73370000000000002</v>
      </c>
      <c r="E120" s="130">
        <v>0.73370000000000002</v>
      </c>
      <c r="F120" s="130">
        <v>0.73370000000000002</v>
      </c>
      <c r="G120" s="15"/>
      <c r="H120" s="15"/>
      <c r="I120" s="15"/>
      <c r="J120" s="15"/>
      <c r="K120" s="15"/>
      <c r="L120" s="15"/>
      <c r="M120" s="15"/>
      <c r="N120" s="15"/>
      <c r="O120" s="3"/>
    </row>
    <row r="121" spans="1:15" ht="16.899999999999999" customHeight="1" x14ac:dyDescent="0.2">
      <c r="A121" s="77" t="s">
        <v>960</v>
      </c>
      <c r="B121" s="77" t="s">
        <v>268</v>
      </c>
      <c r="C121" s="63" t="s">
        <v>223</v>
      </c>
      <c r="D121" s="130">
        <v>0.73370000000000002</v>
      </c>
      <c r="E121" s="130">
        <v>0.73370000000000002</v>
      </c>
      <c r="F121" s="130">
        <v>0.73370000000000002</v>
      </c>
      <c r="G121" s="15"/>
      <c r="H121" s="15"/>
      <c r="I121" s="15"/>
      <c r="J121" s="15"/>
      <c r="K121" s="15"/>
      <c r="L121" s="15"/>
      <c r="M121" s="15"/>
      <c r="N121" s="15"/>
      <c r="O121" s="3"/>
    </row>
    <row r="122" spans="1:15" ht="16.899999999999999" customHeight="1" x14ac:dyDescent="0.2">
      <c r="A122" s="77" t="s">
        <v>961</v>
      </c>
      <c r="B122" s="77" t="s">
        <v>271</v>
      </c>
      <c r="C122" s="63" t="s">
        <v>223</v>
      </c>
      <c r="D122" s="130">
        <v>0.73370000000000002</v>
      </c>
      <c r="E122" s="130">
        <v>0.73370000000000002</v>
      </c>
      <c r="F122" s="130">
        <v>0.73370000000000002</v>
      </c>
      <c r="G122" s="15"/>
      <c r="H122" s="15"/>
      <c r="I122" s="15"/>
      <c r="J122" s="15"/>
      <c r="K122" s="15"/>
      <c r="L122" s="15"/>
      <c r="M122" s="15"/>
      <c r="N122" s="15"/>
      <c r="O122" s="3"/>
    </row>
    <row r="123" spans="1:15" ht="16.899999999999999" customHeight="1" x14ac:dyDescent="0.2">
      <c r="A123" s="77" t="s">
        <v>962</v>
      </c>
      <c r="B123" s="77" t="s">
        <v>274</v>
      </c>
      <c r="C123" s="63" t="s">
        <v>223</v>
      </c>
      <c r="D123" s="130">
        <v>0.62</v>
      </c>
      <c r="E123" s="130">
        <v>0.62</v>
      </c>
      <c r="F123" s="130">
        <v>0.62</v>
      </c>
      <c r="G123" s="15"/>
      <c r="H123" s="15"/>
      <c r="I123" s="15"/>
      <c r="J123" s="15"/>
      <c r="K123" s="15"/>
      <c r="L123" s="15"/>
      <c r="M123" s="15"/>
      <c r="N123" s="15"/>
      <c r="O123" s="3"/>
    </row>
    <row r="124" spans="1:15" ht="16.899999999999999" customHeight="1" x14ac:dyDescent="0.2">
      <c r="A124" s="77" t="s">
        <v>963</v>
      </c>
      <c r="B124" s="77" t="s">
        <v>277</v>
      </c>
      <c r="C124" s="63" t="s">
        <v>223</v>
      </c>
      <c r="D124" s="130">
        <v>0.3805</v>
      </c>
      <c r="E124" s="130">
        <v>0.3805</v>
      </c>
      <c r="F124" s="130">
        <v>0.3805</v>
      </c>
      <c r="G124" s="15"/>
      <c r="H124" s="15"/>
      <c r="I124" s="15"/>
      <c r="J124" s="15"/>
      <c r="K124" s="15"/>
      <c r="L124" s="15"/>
      <c r="M124" s="15"/>
      <c r="N124" s="15"/>
      <c r="O124" s="3"/>
    </row>
    <row r="125" spans="1:15" ht="16.899999999999999" customHeight="1" x14ac:dyDescent="0.25">
      <c r="A125" s="154"/>
      <c r="B125" s="106"/>
      <c r="C125" s="110"/>
      <c r="D125" s="109"/>
      <c r="E125" s="109"/>
      <c r="F125" s="109"/>
      <c r="G125" s="150"/>
      <c r="H125" s="150"/>
      <c r="I125" s="150"/>
      <c r="J125" s="150"/>
      <c r="K125" s="150"/>
      <c r="L125" s="150"/>
      <c r="M125" s="150"/>
      <c r="N125" s="150"/>
    </row>
    <row r="126" spans="1:15" ht="17.649999999999999" customHeight="1" x14ac:dyDescent="0.25">
      <c r="A126" s="49"/>
      <c r="B126" s="128" t="s">
        <v>311</v>
      </c>
      <c r="C126" s="116"/>
    </row>
    <row r="127" spans="1:15" ht="16.899999999999999" customHeight="1" x14ac:dyDescent="0.2">
      <c r="A127" s="77" t="s">
        <v>964</v>
      </c>
      <c r="B127" s="71" t="s">
        <v>313</v>
      </c>
      <c r="C127" s="129" t="s">
        <v>223</v>
      </c>
      <c r="D127" s="34">
        <v>6279</v>
      </c>
      <c r="E127" s="34">
        <v>6077</v>
      </c>
      <c r="F127" s="34">
        <v>6263.5839312038997</v>
      </c>
      <c r="G127" s="15"/>
      <c r="H127" s="15"/>
      <c r="I127" s="15"/>
      <c r="J127" s="15"/>
      <c r="K127" s="15"/>
      <c r="L127" s="15"/>
      <c r="M127" s="15"/>
      <c r="N127" s="15"/>
      <c r="O127" s="3"/>
    </row>
    <row r="128" spans="1:15" ht="16.899999999999999" customHeight="1" x14ac:dyDescent="0.2">
      <c r="A128" s="77" t="s">
        <v>965</v>
      </c>
      <c r="B128" s="71" t="s">
        <v>316</v>
      </c>
      <c r="C128" s="129" t="s">
        <v>223</v>
      </c>
      <c r="D128" s="34">
        <v>-15.9</v>
      </c>
      <c r="E128" s="34">
        <v>-16.235199999999999</v>
      </c>
      <c r="F128" s="34">
        <v>-16.235199999999999</v>
      </c>
      <c r="G128" s="15"/>
      <c r="H128" s="15"/>
      <c r="I128" s="15"/>
      <c r="J128" s="15"/>
      <c r="K128" s="15"/>
      <c r="L128" s="15"/>
      <c r="M128" s="15"/>
      <c r="N128" s="15"/>
      <c r="O128" s="3"/>
    </row>
    <row r="129" spans="1:15" ht="16.899999999999999" customHeight="1" x14ac:dyDescent="0.25">
      <c r="A129" s="154"/>
      <c r="B129" s="106"/>
      <c r="C129" s="110"/>
      <c r="D129" s="109"/>
      <c r="E129" s="109"/>
      <c r="F129" s="109"/>
      <c r="G129" s="150"/>
      <c r="H129" s="150"/>
      <c r="I129" s="150"/>
      <c r="J129" s="150"/>
      <c r="K129" s="150"/>
      <c r="L129" s="150"/>
      <c r="M129" s="150"/>
      <c r="N129" s="150"/>
    </row>
    <row r="130" spans="1:15" ht="17.649999999999999" customHeight="1" x14ac:dyDescent="0.25">
      <c r="A130" s="49"/>
      <c r="B130" s="128" t="s">
        <v>318</v>
      </c>
      <c r="C130" s="116"/>
    </row>
    <row r="131" spans="1:15" ht="16.899999999999999" customHeight="1" x14ac:dyDescent="0.2">
      <c r="A131" s="77" t="s">
        <v>966</v>
      </c>
      <c r="B131" s="71" t="s">
        <v>320</v>
      </c>
      <c r="C131" s="63" t="s">
        <v>190</v>
      </c>
      <c r="D131" s="26">
        <f t="shared" ref="D131:N131" si="12">SUMPRODUCT(D23:D37,D83:D97)</f>
        <v>1421224.6712328778</v>
      </c>
      <c r="E131" s="26">
        <f t="shared" si="12"/>
        <v>1427495.2531876187</v>
      </c>
      <c r="F131" s="26">
        <f t="shared" si="12"/>
        <v>1407713.6921675745</v>
      </c>
      <c r="G131" s="26">
        <f t="shared" si="12"/>
        <v>0</v>
      </c>
      <c r="H131" s="26">
        <f t="shared" si="12"/>
        <v>0</v>
      </c>
      <c r="I131" s="26">
        <f t="shared" si="12"/>
        <v>0</v>
      </c>
      <c r="J131" s="26">
        <f t="shared" si="12"/>
        <v>0</v>
      </c>
      <c r="K131" s="26">
        <f t="shared" si="12"/>
        <v>0</v>
      </c>
      <c r="L131" s="26">
        <f t="shared" si="12"/>
        <v>0</v>
      </c>
      <c r="M131" s="26">
        <f t="shared" si="12"/>
        <v>0</v>
      </c>
      <c r="N131" s="26">
        <f t="shared" si="12"/>
        <v>0</v>
      </c>
      <c r="O131" s="3"/>
    </row>
    <row r="132" spans="1:15" ht="16.899999999999999" customHeight="1" x14ac:dyDescent="0.2">
      <c r="A132" s="77" t="s">
        <v>967</v>
      </c>
      <c r="B132" s="96" t="s">
        <v>323</v>
      </c>
      <c r="C132" s="97" t="s">
        <v>190</v>
      </c>
      <c r="D132" s="26">
        <f t="shared" ref="D132:N132" si="13">((D41+D44+D47+D50+D53)*D101)+((D42+D45+D48+D51+D54)*D102)+((D43+D46+D49+D52+D55)*D103)</f>
        <v>524235.14061204647</v>
      </c>
      <c r="E132" s="26">
        <f t="shared" si="13"/>
        <v>475831.87655466207</v>
      </c>
      <c r="F132" s="26">
        <f t="shared" si="13"/>
        <v>526782.83657300682</v>
      </c>
      <c r="G132" s="26">
        <f t="shared" si="13"/>
        <v>0</v>
      </c>
      <c r="H132" s="26">
        <f t="shared" si="13"/>
        <v>0</v>
      </c>
      <c r="I132" s="26">
        <f t="shared" si="13"/>
        <v>0</v>
      </c>
      <c r="J132" s="26">
        <f t="shared" si="13"/>
        <v>0</v>
      </c>
      <c r="K132" s="26">
        <f t="shared" si="13"/>
        <v>0</v>
      </c>
      <c r="L132" s="26">
        <f t="shared" si="13"/>
        <v>0</v>
      </c>
      <c r="M132" s="26">
        <f t="shared" si="13"/>
        <v>0</v>
      </c>
      <c r="N132" s="26">
        <f t="shared" si="13"/>
        <v>0</v>
      </c>
      <c r="O132" s="3"/>
    </row>
    <row r="133" spans="1:15" ht="16.899999999999999" customHeight="1" x14ac:dyDescent="0.2">
      <c r="A133" s="77" t="s">
        <v>968</v>
      </c>
      <c r="B133" s="71" t="s">
        <v>326</v>
      </c>
      <c r="C133" s="63" t="s">
        <v>190</v>
      </c>
      <c r="D133" s="26">
        <f t="shared" ref="D133:N133" si="14">SUMPRODUCT(D59:D61,D106:D108)+SUMPRODUCT(D67:D69,D113:D115)+SUMPRODUCT(D75:D79,D120:D124)</f>
        <v>3153711.4353913981</v>
      </c>
      <c r="E133" s="26">
        <f t="shared" si="14"/>
        <v>3160582.8165229862</v>
      </c>
      <c r="F133" s="26">
        <f t="shared" si="14"/>
        <v>3165591.8995242328</v>
      </c>
      <c r="G133" s="26">
        <f t="shared" si="14"/>
        <v>0</v>
      </c>
      <c r="H133" s="26">
        <f t="shared" si="14"/>
        <v>0</v>
      </c>
      <c r="I133" s="26">
        <f t="shared" si="14"/>
        <v>0</v>
      </c>
      <c r="J133" s="26">
        <f t="shared" si="14"/>
        <v>0</v>
      </c>
      <c r="K133" s="26">
        <f t="shared" si="14"/>
        <v>0</v>
      </c>
      <c r="L133" s="26">
        <f t="shared" si="14"/>
        <v>0</v>
      </c>
      <c r="M133" s="26">
        <f t="shared" si="14"/>
        <v>0</v>
      </c>
      <c r="N133" s="26">
        <f t="shared" si="14"/>
        <v>0</v>
      </c>
      <c r="O133" s="3"/>
    </row>
    <row r="134" spans="1:15" ht="16.899999999999999" customHeight="1" x14ac:dyDescent="0.2">
      <c r="A134" s="77" t="s">
        <v>969</v>
      </c>
      <c r="B134" s="71" t="s">
        <v>329</v>
      </c>
      <c r="C134" s="63" t="s">
        <v>190</v>
      </c>
      <c r="D134" s="26">
        <f t="shared" ref="D134:N134" si="15">+D128*D127</f>
        <v>-99836.1</v>
      </c>
      <c r="E134" s="26">
        <f t="shared" si="15"/>
        <v>-98661.310399999988</v>
      </c>
      <c r="F134" s="26">
        <f t="shared" si="15"/>
        <v>-101690.53783988155</v>
      </c>
      <c r="G134" s="26">
        <f t="shared" si="15"/>
        <v>0</v>
      </c>
      <c r="H134" s="26">
        <f t="shared" si="15"/>
        <v>0</v>
      </c>
      <c r="I134" s="26">
        <f t="shared" si="15"/>
        <v>0</v>
      </c>
      <c r="J134" s="26">
        <f t="shared" si="15"/>
        <v>0</v>
      </c>
      <c r="K134" s="26">
        <f t="shared" si="15"/>
        <v>0</v>
      </c>
      <c r="L134" s="26">
        <f t="shared" si="15"/>
        <v>0</v>
      </c>
      <c r="M134" s="26">
        <f t="shared" si="15"/>
        <v>0</v>
      </c>
      <c r="N134" s="26">
        <f t="shared" si="15"/>
        <v>0</v>
      </c>
      <c r="O134" s="3"/>
    </row>
    <row r="135" spans="1:15" ht="16.899999999999999" customHeight="1" x14ac:dyDescent="0.2">
      <c r="A135" s="77" t="s">
        <v>970</v>
      </c>
      <c r="B135" s="71" t="s">
        <v>189</v>
      </c>
      <c r="C135" s="63" t="s">
        <v>190</v>
      </c>
      <c r="D135" s="26">
        <f t="shared" ref="D135:N135" si="16">SUM(D131:D134)</f>
        <v>4999335.147236323</v>
      </c>
      <c r="E135" s="26">
        <f t="shared" si="16"/>
        <v>4965248.6358652674</v>
      </c>
      <c r="F135" s="26">
        <f t="shared" si="16"/>
        <v>4998397.8904249333</v>
      </c>
      <c r="G135" s="26">
        <f t="shared" si="16"/>
        <v>0</v>
      </c>
      <c r="H135" s="26">
        <f t="shared" si="16"/>
        <v>0</v>
      </c>
      <c r="I135" s="26">
        <f t="shared" si="16"/>
        <v>0</v>
      </c>
      <c r="J135" s="26">
        <f t="shared" si="16"/>
        <v>0</v>
      </c>
      <c r="K135" s="26">
        <f t="shared" si="16"/>
        <v>0</v>
      </c>
      <c r="L135" s="26">
        <f t="shared" si="16"/>
        <v>0</v>
      </c>
      <c r="M135" s="26">
        <f t="shared" si="16"/>
        <v>0</v>
      </c>
      <c r="N135" s="26">
        <f t="shared" si="16"/>
        <v>0</v>
      </c>
      <c r="O135" s="3"/>
    </row>
    <row r="136" spans="1:15" ht="16.899999999999999" customHeight="1" x14ac:dyDescent="0.25">
      <c r="A136" s="154"/>
      <c r="B136" s="106"/>
      <c r="C136" s="115"/>
      <c r="D136" s="153"/>
      <c r="E136" s="153"/>
      <c r="F136" s="153"/>
      <c r="G136" s="150"/>
      <c r="H136" s="150"/>
      <c r="I136" s="150"/>
      <c r="J136" s="150"/>
      <c r="K136" s="150"/>
      <c r="L136" s="150"/>
      <c r="M136" s="150"/>
      <c r="N136" s="150"/>
    </row>
    <row r="137" spans="1:15" ht="17.649999999999999" customHeight="1" x14ac:dyDescent="0.25">
      <c r="A137" s="49"/>
      <c r="B137" s="128" t="s">
        <v>333</v>
      </c>
      <c r="C137" s="119"/>
    </row>
    <row r="138" spans="1:15" ht="16.899999999999999" customHeight="1" x14ac:dyDescent="0.2">
      <c r="A138" s="77" t="s">
        <v>971</v>
      </c>
      <c r="B138" s="62" t="s">
        <v>335</v>
      </c>
      <c r="C138" s="63" t="s">
        <v>223</v>
      </c>
      <c r="D138" s="34">
        <v>536618.45940000005</v>
      </c>
      <c r="E138" s="34">
        <v>504763.907899999</v>
      </c>
      <c r="F138" s="34">
        <v>517226.336100001</v>
      </c>
      <c r="G138" s="15"/>
      <c r="H138" s="15"/>
      <c r="I138" s="15"/>
      <c r="J138" s="15"/>
      <c r="K138" s="15"/>
      <c r="L138" s="15"/>
      <c r="M138" s="15"/>
      <c r="N138" s="15"/>
      <c r="O138" s="3"/>
    </row>
    <row r="139" spans="1:15" ht="16.899999999999999" customHeight="1" x14ac:dyDescent="0.2">
      <c r="A139" s="77" t="s">
        <v>972</v>
      </c>
      <c r="B139" s="62" t="s">
        <v>338</v>
      </c>
      <c r="C139" s="63" t="s">
        <v>190</v>
      </c>
      <c r="D139" s="131">
        <f t="shared" ref="D139:N139" si="17">D138/D135</f>
        <v>0.10733796466849148</v>
      </c>
      <c r="E139" s="131">
        <f t="shared" si="17"/>
        <v>0.1016593417405041</v>
      </c>
      <c r="F139" s="131">
        <f t="shared" si="17"/>
        <v>0.10347842397477276</v>
      </c>
      <c r="G139" s="132" t="e">
        <f t="shared" si="17"/>
        <v>#DIV/0!</v>
      </c>
      <c r="H139" s="132" t="e">
        <f t="shared" si="17"/>
        <v>#DIV/0!</v>
      </c>
      <c r="I139" s="132" t="e">
        <f t="shared" si="17"/>
        <v>#DIV/0!</v>
      </c>
      <c r="J139" s="132" t="e">
        <f t="shared" si="17"/>
        <v>#DIV/0!</v>
      </c>
      <c r="K139" s="132" t="e">
        <f t="shared" si="17"/>
        <v>#DIV/0!</v>
      </c>
      <c r="L139" s="132" t="e">
        <f t="shared" si="17"/>
        <v>#DIV/0!</v>
      </c>
      <c r="M139" s="132" t="e">
        <f t="shared" si="17"/>
        <v>#DIV/0!</v>
      </c>
      <c r="N139" s="132" t="e">
        <f t="shared" si="17"/>
        <v>#DIV/0!</v>
      </c>
      <c r="O139" s="3"/>
    </row>
    <row r="140" spans="1:15" ht="16.899999999999999" customHeight="1" x14ac:dyDescent="0.2">
      <c r="A140" s="77" t="s">
        <v>973</v>
      </c>
      <c r="B140" s="62" t="s">
        <v>341</v>
      </c>
      <c r="C140" s="63" t="s">
        <v>223</v>
      </c>
      <c r="D140" s="34">
        <v>263240.96930000099</v>
      </c>
      <c r="E140" s="34">
        <f>256325.61</f>
        <v>256325.61</v>
      </c>
      <c r="F140" s="34">
        <v>247105.75440000099</v>
      </c>
      <c r="G140" s="15"/>
      <c r="H140" s="15"/>
      <c r="I140" s="15"/>
      <c r="J140" s="15"/>
      <c r="K140" s="15"/>
      <c r="L140" s="15"/>
      <c r="M140" s="15"/>
      <c r="N140" s="15"/>
      <c r="O140" s="3"/>
    </row>
    <row r="141" spans="1:15" ht="16.899999999999999" customHeight="1" x14ac:dyDescent="0.2">
      <c r="A141" s="77" t="s">
        <v>974</v>
      </c>
      <c r="B141" s="62" t="s">
        <v>344</v>
      </c>
      <c r="C141" s="63" t="s">
        <v>190</v>
      </c>
      <c r="D141" s="131">
        <f t="shared" ref="D141:N141" si="18">D140/D135</f>
        <v>5.2655195450443636E-2</v>
      </c>
      <c r="E141" s="131">
        <f t="shared" si="18"/>
        <v>5.1623922344692715E-2</v>
      </c>
      <c r="F141" s="131">
        <f t="shared" si="18"/>
        <v>4.9436991575513324E-2</v>
      </c>
      <c r="G141" s="132" t="e">
        <f t="shared" si="18"/>
        <v>#DIV/0!</v>
      </c>
      <c r="H141" s="132" t="e">
        <f t="shared" si="18"/>
        <v>#DIV/0!</v>
      </c>
      <c r="I141" s="132" t="e">
        <f t="shared" si="18"/>
        <v>#DIV/0!</v>
      </c>
      <c r="J141" s="132" t="e">
        <f t="shared" si="18"/>
        <v>#DIV/0!</v>
      </c>
      <c r="K141" s="132" t="e">
        <f t="shared" si="18"/>
        <v>#DIV/0!</v>
      </c>
      <c r="L141" s="132" t="e">
        <f t="shared" si="18"/>
        <v>#DIV/0!</v>
      </c>
      <c r="M141" s="132" t="e">
        <f t="shared" si="18"/>
        <v>#DIV/0!</v>
      </c>
      <c r="N141" s="132" t="e">
        <f t="shared" si="18"/>
        <v>#DIV/0!</v>
      </c>
      <c r="O141" s="3"/>
    </row>
    <row r="142" spans="1:15" ht="16.899999999999999" customHeight="1" x14ac:dyDescent="0.2">
      <c r="A142" s="77" t="s">
        <v>975</v>
      </c>
      <c r="B142" s="62" t="s">
        <v>347</v>
      </c>
      <c r="C142" s="63" t="s">
        <v>223</v>
      </c>
      <c r="D142" s="34">
        <v>29177.4890000001</v>
      </c>
      <c r="E142" s="34">
        <v>24719.813699999999</v>
      </c>
      <c r="F142" s="34">
        <v>24312.415099999998</v>
      </c>
      <c r="G142" s="15"/>
      <c r="H142" s="15"/>
      <c r="I142" s="15"/>
      <c r="J142" s="15"/>
      <c r="K142" s="15"/>
      <c r="L142" s="15"/>
      <c r="M142" s="15"/>
      <c r="N142" s="15"/>
      <c r="O142" s="3"/>
    </row>
    <row r="143" spans="1:15" ht="16.899999999999999" customHeight="1" x14ac:dyDescent="0.2">
      <c r="A143" s="77" t="s">
        <v>976</v>
      </c>
      <c r="B143" s="62" t="s">
        <v>350</v>
      </c>
      <c r="C143" s="63" t="s">
        <v>190</v>
      </c>
      <c r="D143" s="131">
        <f t="shared" ref="D143:N143" si="19">+D142/D135</f>
        <v>5.8362738525601096E-3</v>
      </c>
      <c r="E143" s="131">
        <f t="shared" si="19"/>
        <v>4.9785651259118078E-3</v>
      </c>
      <c r="F143" s="131">
        <f t="shared" si="19"/>
        <v>4.8640415655131263E-3</v>
      </c>
      <c r="G143" s="132" t="e">
        <f t="shared" si="19"/>
        <v>#DIV/0!</v>
      </c>
      <c r="H143" s="132" t="e">
        <f t="shared" si="19"/>
        <v>#DIV/0!</v>
      </c>
      <c r="I143" s="132" t="e">
        <f t="shared" si="19"/>
        <v>#DIV/0!</v>
      </c>
      <c r="J143" s="132" t="e">
        <f t="shared" si="19"/>
        <v>#DIV/0!</v>
      </c>
      <c r="K143" s="132" t="e">
        <f t="shared" si="19"/>
        <v>#DIV/0!</v>
      </c>
      <c r="L143" s="132" t="e">
        <f t="shared" si="19"/>
        <v>#DIV/0!</v>
      </c>
      <c r="M143" s="132" t="e">
        <f t="shared" si="19"/>
        <v>#DIV/0!</v>
      </c>
      <c r="N143" s="132" t="e">
        <f t="shared" si="19"/>
        <v>#DIV/0!</v>
      </c>
      <c r="O143" s="3"/>
    </row>
    <row r="144" spans="1:15" ht="16.899999999999999" customHeight="1" x14ac:dyDescent="0.25">
      <c r="A144" s="150"/>
      <c r="B144" s="109"/>
      <c r="C144" s="110"/>
      <c r="D144" s="109"/>
      <c r="E144" s="109"/>
      <c r="F144" s="109"/>
      <c r="G144" s="150"/>
      <c r="H144" s="150"/>
      <c r="I144" s="150"/>
      <c r="J144" s="150"/>
      <c r="K144" s="150"/>
      <c r="L144" s="150"/>
      <c r="M144" s="150"/>
      <c r="N144" s="150"/>
    </row>
    <row r="145" spans="1:15" ht="20.100000000000001" customHeight="1" x14ac:dyDescent="0.25">
      <c r="B145" s="127" t="s">
        <v>351</v>
      </c>
    </row>
    <row r="146" spans="1:15" ht="17.649999999999999" customHeight="1" x14ac:dyDescent="0.2">
      <c r="A146" s="49"/>
      <c r="B146" s="24" t="s">
        <v>352</v>
      </c>
      <c r="C146" s="31" t="s">
        <v>159</v>
      </c>
      <c r="D146" s="31" t="str">
        <f>+$D$10</f>
        <v>2018-19 RF</v>
      </c>
      <c r="E146" s="31" t="str">
        <f>+$E$10</f>
        <v>2019-20 monthly</v>
      </c>
      <c r="F146" s="31" t="str">
        <f>+$F$10</f>
        <v>2019-20 RF</v>
      </c>
      <c r="G146" s="31" t="s">
        <v>829</v>
      </c>
      <c r="H146" s="31" t="s">
        <v>18</v>
      </c>
      <c r="I146" s="31" t="s">
        <v>830</v>
      </c>
      <c r="J146" s="31" t="s">
        <v>20</v>
      </c>
      <c r="K146" s="31" t="s">
        <v>831</v>
      </c>
      <c r="L146" s="31" t="s">
        <v>22</v>
      </c>
      <c r="M146" s="31" t="s">
        <v>832</v>
      </c>
      <c r="N146" s="31" t="s">
        <v>24</v>
      </c>
      <c r="O146" s="3"/>
    </row>
    <row r="147" spans="1:15" ht="16.899999999999999" customHeight="1" x14ac:dyDescent="0.2">
      <c r="A147" s="77" t="s">
        <v>977</v>
      </c>
      <c r="B147" s="74" t="s">
        <v>222</v>
      </c>
      <c r="C147" s="75" t="s">
        <v>223</v>
      </c>
      <c r="D147" s="34">
        <v>117504.79452054801</v>
      </c>
      <c r="E147" s="34">
        <v>119903.69398907101</v>
      </c>
      <c r="F147" s="34">
        <v>119176.057377039</v>
      </c>
      <c r="G147" s="15"/>
      <c r="H147" s="15"/>
      <c r="I147" s="15"/>
      <c r="J147" s="15"/>
      <c r="K147" s="15"/>
      <c r="L147" s="15"/>
      <c r="M147" s="15"/>
      <c r="N147" s="15"/>
      <c r="O147" s="3"/>
    </row>
    <row r="148" spans="1:15" ht="16.899999999999999" customHeight="1" x14ac:dyDescent="0.2">
      <c r="A148" s="77" t="s">
        <v>978</v>
      </c>
      <c r="B148" s="77" t="s">
        <v>226</v>
      </c>
      <c r="C148" s="75" t="s">
        <v>223</v>
      </c>
      <c r="D148" s="34">
        <v>8644.5095890411194</v>
      </c>
      <c r="E148" s="34">
        <v>8596.2295081967204</v>
      </c>
      <c r="F148" s="34">
        <v>8528.8360655738306</v>
      </c>
      <c r="G148" s="15"/>
      <c r="H148" s="15"/>
      <c r="I148" s="15"/>
      <c r="J148" s="15"/>
      <c r="K148" s="15"/>
      <c r="L148" s="15"/>
      <c r="M148" s="15"/>
      <c r="N148" s="15"/>
      <c r="O148" s="3"/>
    </row>
    <row r="149" spans="1:15" ht="16.899999999999999" customHeight="1" x14ac:dyDescent="0.2">
      <c r="A149" s="77" t="s">
        <v>979</v>
      </c>
      <c r="B149" s="77" t="s">
        <v>229</v>
      </c>
      <c r="C149" s="75" t="s">
        <v>223</v>
      </c>
      <c r="D149" s="34">
        <v>1743.1123287671201</v>
      </c>
      <c r="E149" s="34">
        <v>1775.47540983607</v>
      </c>
      <c r="F149" s="34">
        <v>1762.9972677595599</v>
      </c>
      <c r="G149" s="15"/>
      <c r="H149" s="15"/>
      <c r="I149" s="15"/>
      <c r="J149" s="15"/>
      <c r="K149" s="15"/>
      <c r="L149" s="15"/>
      <c r="M149" s="15"/>
      <c r="N149" s="15"/>
      <c r="O149" s="3"/>
    </row>
    <row r="150" spans="1:15" ht="16.899999999999999" customHeight="1" x14ac:dyDescent="0.2">
      <c r="A150" s="77" t="s">
        <v>980</v>
      </c>
      <c r="B150" s="77" t="s">
        <v>232</v>
      </c>
      <c r="C150" s="75" t="s">
        <v>223</v>
      </c>
      <c r="D150" s="34">
        <v>1262.38356164384</v>
      </c>
      <c r="E150" s="34">
        <v>1252.34699453552</v>
      </c>
      <c r="F150" s="34">
        <v>1238.62295081967</v>
      </c>
      <c r="G150" s="15"/>
      <c r="H150" s="15"/>
      <c r="I150" s="15"/>
      <c r="J150" s="15"/>
      <c r="K150" s="15"/>
      <c r="L150" s="15"/>
      <c r="M150" s="15"/>
      <c r="N150" s="15"/>
      <c r="O150" s="3"/>
    </row>
    <row r="151" spans="1:15" ht="16.899999999999999" customHeight="1" x14ac:dyDescent="0.2">
      <c r="A151" s="77" t="s">
        <v>981</v>
      </c>
      <c r="B151" s="77" t="s">
        <v>235</v>
      </c>
      <c r="C151" s="75" t="s">
        <v>223</v>
      </c>
      <c r="D151" s="34">
        <v>304.15068493150699</v>
      </c>
      <c r="E151" s="34">
        <v>302.72404371584702</v>
      </c>
      <c r="F151" s="34">
        <v>297.37158469945399</v>
      </c>
      <c r="G151" s="15"/>
      <c r="H151" s="15"/>
      <c r="I151" s="15"/>
      <c r="J151" s="15"/>
      <c r="K151" s="15"/>
      <c r="L151" s="15"/>
      <c r="M151" s="15"/>
      <c r="N151" s="15"/>
      <c r="O151" s="3"/>
    </row>
    <row r="152" spans="1:15" ht="16.899999999999999" customHeight="1" x14ac:dyDescent="0.2">
      <c r="A152" s="77" t="s">
        <v>982</v>
      </c>
      <c r="B152" s="77" t="s">
        <v>364</v>
      </c>
      <c r="C152" s="75" t="s">
        <v>223</v>
      </c>
      <c r="D152" s="34">
        <v>69.715068493150696</v>
      </c>
      <c r="E152" s="34">
        <v>69</v>
      </c>
      <c r="F152" s="34">
        <v>68</v>
      </c>
      <c r="G152" s="15"/>
      <c r="H152" s="15"/>
      <c r="I152" s="15"/>
      <c r="J152" s="15"/>
      <c r="K152" s="15"/>
      <c r="L152" s="15"/>
      <c r="M152" s="15"/>
      <c r="N152" s="15"/>
      <c r="O152" s="3"/>
    </row>
    <row r="153" spans="1:15" ht="16.899999999999999" customHeight="1" x14ac:dyDescent="0.2">
      <c r="A153" s="77" t="s">
        <v>983</v>
      </c>
      <c r="B153" s="77" t="s">
        <v>367</v>
      </c>
      <c r="C153" s="75" t="s">
        <v>223</v>
      </c>
      <c r="D153" s="34">
        <v>21.578082191780801</v>
      </c>
      <c r="E153" s="34">
        <v>21</v>
      </c>
      <c r="F153" s="34">
        <v>21</v>
      </c>
      <c r="G153" s="15"/>
      <c r="H153" s="15"/>
      <c r="I153" s="15"/>
      <c r="J153" s="15"/>
      <c r="K153" s="15"/>
      <c r="L153" s="15"/>
      <c r="M153" s="15"/>
      <c r="N153" s="15"/>
      <c r="O153" s="3"/>
    </row>
    <row r="154" spans="1:15" ht="16.899999999999999" customHeight="1" x14ac:dyDescent="0.2">
      <c r="A154" s="77" t="s">
        <v>984</v>
      </c>
      <c r="B154" s="77" t="s">
        <v>370</v>
      </c>
      <c r="C154" s="75" t="s">
        <v>223</v>
      </c>
      <c r="D154" s="34">
        <v>0</v>
      </c>
      <c r="E154" s="34">
        <v>0</v>
      </c>
      <c r="F154" s="34">
        <v>0</v>
      </c>
      <c r="G154" s="15"/>
      <c r="H154" s="15"/>
      <c r="I154" s="15"/>
      <c r="J154" s="15"/>
      <c r="K154" s="15"/>
      <c r="L154" s="15"/>
      <c r="M154" s="15"/>
      <c r="N154" s="15"/>
      <c r="O154" s="3"/>
    </row>
    <row r="155" spans="1:15" ht="16.899999999999999" customHeight="1" x14ac:dyDescent="0.2">
      <c r="A155" s="77" t="s">
        <v>985</v>
      </c>
      <c r="B155" s="77" t="s">
        <v>373</v>
      </c>
      <c r="C155" s="75" t="s">
        <v>223</v>
      </c>
      <c r="D155" s="34">
        <v>1</v>
      </c>
      <c r="E155" s="34">
        <v>1</v>
      </c>
      <c r="F155" s="34">
        <v>1</v>
      </c>
      <c r="G155" s="15"/>
      <c r="H155" s="15"/>
      <c r="I155" s="15"/>
      <c r="J155" s="15"/>
      <c r="K155" s="15"/>
      <c r="L155" s="15"/>
      <c r="M155" s="15"/>
      <c r="N155" s="15"/>
      <c r="O155" s="3"/>
    </row>
    <row r="156" spans="1:15" ht="16.899999999999999" customHeight="1" x14ac:dyDescent="0.2">
      <c r="A156" s="77" t="s">
        <v>986</v>
      </c>
      <c r="B156" s="77" t="s">
        <v>376</v>
      </c>
      <c r="C156" s="75" t="s">
        <v>223</v>
      </c>
      <c r="D156" s="34">
        <v>2</v>
      </c>
      <c r="E156" s="34">
        <v>2</v>
      </c>
      <c r="F156" s="34">
        <v>2</v>
      </c>
      <c r="G156" s="15"/>
      <c r="H156" s="15"/>
      <c r="I156" s="15"/>
      <c r="J156" s="15"/>
      <c r="K156" s="15"/>
      <c r="L156" s="15"/>
      <c r="M156" s="15"/>
      <c r="N156" s="15"/>
      <c r="O156" s="3"/>
    </row>
    <row r="157" spans="1:15" ht="16.899999999999999" customHeight="1" x14ac:dyDescent="0.2">
      <c r="A157" s="77" t="s">
        <v>987</v>
      </c>
      <c r="B157" s="71" t="s">
        <v>238</v>
      </c>
      <c r="C157" s="63" t="s">
        <v>190</v>
      </c>
      <c r="D157" s="26">
        <f t="shared" ref="D157:N157" si="20">SUM(D147:D156)</f>
        <v>129553.24383561654</v>
      </c>
      <c r="E157" s="26">
        <f t="shared" si="20"/>
        <v>131923.46994535514</v>
      </c>
      <c r="F157" s="26">
        <f t="shared" si="20"/>
        <v>131095.88524589152</v>
      </c>
      <c r="G157" s="26">
        <f t="shared" si="20"/>
        <v>0</v>
      </c>
      <c r="H157" s="26">
        <f t="shared" si="20"/>
        <v>0</v>
      </c>
      <c r="I157" s="26">
        <f t="shared" si="20"/>
        <v>0</v>
      </c>
      <c r="J157" s="26">
        <f t="shared" si="20"/>
        <v>0</v>
      </c>
      <c r="K157" s="26">
        <f t="shared" si="20"/>
        <v>0</v>
      </c>
      <c r="L157" s="26">
        <f t="shared" si="20"/>
        <v>0</v>
      </c>
      <c r="M157" s="26">
        <f t="shared" si="20"/>
        <v>0</v>
      </c>
      <c r="N157" s="26">
        <f t="shared" si="20"/>
        <v>0</v>
      </c>
      <c r="O157" s="3"/>
    </row>
    <row r="158" spans="1:15" ht="16.899999999999999" customHeight="1" x14ac:dyDescent="0.25">
      <c r="A158" s="154"/>
      <c r="B158" s="106"/>
      <c r="C158" s="110"/>
      <c r="D158" s="109"/>
      <c r="E158" s="109"/>
      <c r="F158" s="109"/>
      <c r="G158" s="150"/>
      <c r="H158" s="150"/>
      <c r="I158" s="150"/>
      <c r="J158" s="150"/>
      <c r="K158" s="150"/>
      <c r="L158" s="150"/>
      <c r="M158" s="150"/>
      <c r="N158" s="150"/>
    </row>
    <row r="159" spans="1:15" ht="17.649999999999999" customHeight="1" x14ac:dyDescent="0.25">
      <c r="A159" s="49"/>
      <c r="B159" s="128" t="s">
        <v>394</v>
      </c>
      <c r="C159" s="116"/>
    </row>
    <row r="160" spans="1:15" ht="16.899999999999999" customHeight="1" x14ac:dyDescent="0.2">
      <c r="A160" s="77" t="s">
        <v>988</v>
      </c>
      <c r="B160" s="74" t="s">
        <v>396</v>
      </c>
      <c r="C160" s="75" t="s">
        <v>223</v>
      </c>
      <c r="D160" s="34">
        <v>4933957.4689040696</v>
      </c>
      <c r="E160" s="34">
        <v>5210208.5575304898</v>
      </c>
      <c r="F160" s="34">
        <v>4887356.0982049303</v>
      </c>
      <c r="G160" s="15"/>
      <c r="H160" s="15"/>
      <c r="I160" s="15"/>
      <c r="J160" s="15"/>
      <c r="K160" s="15"/>
      <c r="L160" s="15"/>
      <c r="M160" s="15"/>
      <c r="N160" s="15"/>
      <c r="O160" s="3"/>
    </row>
    <row r="161" spans="1:15" ht="16.899999999999999" customHeight="1" x14ac:dyDescent="0.2">
      <c r="A161" s="77" t="s">
        <v>989</v>
      </c>
      <c r="B161" s="74" t="s">
        <v>259</v>
      </c>
      <c r="C161" s="75" t="s">
        <v>223</v>
      </c>
      <c r="D161" s="34">
        <v>11478990.1990411</v>
      </c>
      <c r="E161" s="34">
        <v>12133116.673703499</v>
      </c>
      <c r="F161" s="34">
        <v>10845204.764118901</v>
      </c>
      <c r="G161" s="15"/>
      <c r="H161" s="15"/>
      <c r="I161" s="15"/>
      <c r="J161" s="15"/>
      <c r="K161" s="15"/>
      <c r="L161" s="15"/>
      <c r="M161" s="15"/>
      <c r="N161" s="15"/>
      <c r="O161" s="3"/>
    </row>
    <row r="162" spans="1:15" ht="16.899999999999999" customHeight="1" x14ac:dyDescent="0.2">
      <c r="A162" s="77" t="s">
        <v>990</v>
      </c>
      <c r="B162" s="71" t="s">
        <v>238</v>
      </c>
      <c r="C162" s="63" t="s">
        <v>190</v>
      </c>
      <c r="D162" s="26">
        <f t="shared" ref="D162:N162" si="21">SUM(D160:D161)</f>
        <v>16412947.667945169</v>
      </c>
      <c r="E162" s="26">
        <f t="shared" si="21"/>
        <v>17343325.231233988</v>
      </c>
      <c r="F162" s="26">
        <f t="shared" si="21"/>
        <v>15732560.862323832</v>
      </c>
      <c r="G162" s="26">
        <f t="shared" si="21"/>
        <v>0</v>
      </c>
      <c r="H162" s="26">
        <f t="shared" si="21"/>
        <v>0</v>
      </c>
      <c r="I162" s="26">
        <f t="shared" si="21"/>
        <v>0</v>
      </c>
      <c r="J162" s="26">
        <f t="shared" si="21"/>
        <v>0</v>
      </c>
      <c r="K162" s="26">
        <f t="shared" si="21"/>
        <v>0</v>
      </c>
      <c r="L162" s="26">
        <f t="shared" si="21"/>
        <v>0</v>
      </c>
      <c r="M162" s="26">
        <f t="shared" si="21"/>
        <v>0</v>
      </c>
      <c r="N162" s="26">
        <f t="shared" si="21"/>
        <v>0</v>
      </c>
      <c r="O162" s="3"/>
    </row>
    <row r="163" spans="1:15" ht="16.899999999999999" customHeight="1" x14ac:dyDescent="0.25">
      <c r="A163" s="154"/>
      <c r="B163" s="106"/>
      <c r="C163" s="110"/>
      <c r="D163" s="109"/>
      <c r="E163" s="109"/>
      <c r="F163" s="109"/>
      <c r="G163" s="150"/>
      <c r="H163" s="150"/>
      <c r="I163" s="150"/>
      <c r="J163" s="150"/>
      <c r="K163" s="150"/>
      <c r="L163" s="150"/>
      <c r="M163" s="150"/>
      <c r="N163" s="150"/>
    </row>
    <row r="164" spans="1:15" ht="17.649999999999999" customHeight="1" x14ac:dyDescent="0.25">
      <c r="A164" s="49"/>
      <c r="B164" s="128" t="s">
        <v>402</v>
      </c>
      <c r="C164" s="116"/>
    </row>
    <row r="165" spans="1:15" ht="16.899999999999999" customHeight="1" x14ac:dyDescent="0.2">
      <c r="A165" s="77" t="s">
        <v>991</v>
      </c>
      <c r="B165" s="77" t="s">
        <v>404</v>
      </c>
      <c r="C165" s="63" t="s">
        <v>223</v>
      </c>
      <c r="D165" s="34">
        <v>4933957.4689040696</v>
      </c>
      <c r="E165" s="34">
        <v>5157504.5851894999</v>
      </c>
      <c r="F165" s="34">
        <v>4887356.0982049303</v>
      </c>
      <c r="G165" s="15"/>
      <c r="H165" s="15"/>
      <c r="I165" s="15"/>
      <c r="J165" s="15"/>
      <c r="K165" s="15"/>
      <c r="L165" s="15"/>
      <c r="M165" s="15"/>
      <c r="N165" s="15"/>
      <c r="O165" s="3"/>
    </row>
    <row r="166" spans="1:15" ht="16.899999999999999" customHeight="1" x14ac:dyDescent="0.2">
      <c r="A166" s="77" t="s">
        <v>992</v>
      </c>
      <c r="B166" s="77" t="s">
        <v>406</v>
      </c>
      <c r="C166" s="63" t="s">
        <v>223</v>
      </c>
      <c r="D166" s="34">
        <v>33245115.979040898</v>
      </c>
      <c r="E166" s="34">
        <v>34697277.345373496</v>
      </c>
      <c r="F166" s="34">
        <v>32257631.558177099</v>
      </c>
      <c r="G166" s="15"/>
      <c r="H166" s="15"/>
      <c r="I166" s="15"/>
      <c r="J166" s="15"/>
      <c r="K166" s="15"/>
      <c r="L166" s="15"/>
      <c r="M166" s="15"/>
      <c r="N166" s="15"/>
      <c r="O166" s="3"/>
    </row>
    <row r="167" spans="1:15" ht="16.899999999999999" customHeight="1" x14ac:dyDescent="0.2">
      <c r="A167" s="77" t="s">
        <v>993</v>
      </c>
      <c r="B167" s="77" t="s">
        <v>409</v>
      </c>
      <c r="C167" s="63" t="s">
        <v>223</v>
      </c>
      <c r="D167" s="34">
        <v>45948388.373425104</v>
      </c>
      <c r="E167" s="34">
        <v>45011073.074992597</v>
      </c>
      <c r="F167" s="34">
        <v>45283438.922063701</v>
      </c>
      <c r="G167" s="15"/>
      <c r="H167" s="15"/>
      <c r="I167" s="15"/>
      <c r="J167" s="15"/>
      <c r="K167" s="15"/>
      <c r="L167" s="15"/>
      <c r="M167" s="15"/>
      <c r="N167" s="15"/>
      <c r="O167" s="3"/>
    </row>
    <row r="168" spans="1:15" ht="16.899999999999999" customHeight="1" x14ac:dyDescent="0.2">
      <c r="A168" s="77" t="s">
        <v>994</v>
      </c>
      <c r="B168" s="77" t="s">
        <v>412</v>
      </c>
      <c r="C168" s="63" t="s">
        <v>223</v>
      </c>
      <c r="D168" s="34">
        <v>697387.46</v>
      </c>
      <c r="E168" s="34">
        <v>541358.95669999998</v>
      </c>
      <c r="F168" s="34">
        <v>492050.90969535499</v>
      </c>
      <c r="G168" s="15"/>
      <c r="H168" s="15"/>
      <c r="I168" s="15"/>
      <c r="J168" s="15"/>
      <c r="K168" s="15"/>
      <c r="L168" s="15"/>
      <c r="M168" s="15"/>
      <c r="N168" s="15"/>
      <c r="O168" s="3"/>
    </row>
    <row r="169" spans="1:15" ht="16.899999999999999" customHeight="1" x14ac:dyDescent="0.2">
      <c r="A169" s="77" t="s">
        <v>995</v>
      </c>
      <c r="B169" s="77" t="s">
        <v>415</v>
      </c>
      <c r="C169" s="63" t="s">
        <v>223</v>
      </c>
      <c r="D169" s="34">
        <v>0</v>
      </c>
      <c r="E169" s="34">
        <v>0</v>
      </c>
      <c r="F169" s="34">
        <v>0</v>
      </c>
      <c r="G169" s="15"/>
      <c r="H169" s="15"/>
      <c r="I169" s="15"/>
      <c r="J169" s="15"/>
      <c r="K169" s="15"/>
      <c r="L169" s="15"/>
      <c r="M169" s="15"/>
      <c r="N169" s="15"/>
      <c r="O169" s="3"/>
    </row>
    <row r="170" spans="1:15" ht="16.899999999999999" customHeight="1" x14ac:dyDescent="0.2">
      <c r="A170" s="77" t="s">
        <v>996</v>
      </c>
      <c r="B170" s="77" t="s">
        <v>418</v>
      </c>
      <c r="C170" s="63" t="s">
        <v>223</v>
      </c>
      <c r="D170" s="34">
        <v>2331.2382191780798</v>
      </c>
      <c r="E170" s="34">
        <v>4231.2423136611997</v>
      </c>
      <c r="F170" s="34">
        <v>2231.8075382513698</v>
      </c>
      <c r="G170" s="15"/>
      <c r="H170" s="15"/>
      <c r="I170" s="15"/>
      <c r="J170" s="15"/>
      <c r="K170" s="15"/>
      <c r="L170" s="15"/>
      <c r="M170" s="15"/>
      <c r="N170" s="15"/>
      <c r="O170" s="3"/>
    </row>
    <row r="171" spans="1:15" ht="16.899999999999999" customHeight="1" x14ac:dyDescent="0.2">
      <c r="A171" s="77" t="s">
        <v>997</v>
      </c>
      <c r="B171" s="77" t="s">
        <v>421</v>
      </c>
      <c r="C171" s="63" t="s">
        <v>223</v>
      </c>
      <c r="D171" s="34">
        <v>224546.69027397301</v>
      </c>
      <c r="E171" s="34">
        <v>264900.05681694002</v>
      </c>
      <c r="F171" s="34">
        <v>211409.19127595599</v>
      </c>
      <c r="G171" s="15"/>
      <c r="H171" s="15"/>
      <c r="I171" s="15"/>
      <c r="J171" s="15"/>
      <c r="K171" s="15"/>
      <c r="L171" s="15"/>
      <c r="M171" s="15"/>
      <c r="N171" s="15"/>
      <c r="O171" s="3"/>
    </row>
    <row r="172" spans="1:15" ht="16.899999999999999" customHeight="1" x14ac:dyDescent="0.2">
      <c r="A172" s="77" t="s">
        <v>998</v>
      </c>
      <c r="B172" s="77" t="s">
        <v>424</v>
      </c>
      <c r="C172" s="63" t="s">
        <v>223</v>
      </c>
      <c r="D172" s="34">
        <v>7744529.5313698603</v>
      </c>
      <c r="E172" s="34">
        <v>7223367.8908311501</v>
      </c>
      <c r="F172" s="34">
        <v>7280759.1530683003</v>
      </c>
      <c r="G172" s="15"/>
      <c r="H172" s="15"/>
      <c r="I172" s="15"/>
      <c r="J172" s="15"/>
      <c r="K172" s="15"/>
      <c r="L172" s="15"/>
      <c r="M172" s="15"/>
      <c r="N172" s="15"/>
      <c r="O172" s="3"/>
    </row>
    <row r="173" spans="1:15" ht="16.899999999999999" customHeight="1" x14ac:dyDescent="0.2">
      <c r="A173" s="77" t="s">
        <v>999</v>
      </c>
      <c r="B173" s="77" t="s">
        <v>427</v>
      </c>
      <c r="C173" s="63" t="s">
        <v>223</v>
      </c>
      <c r="D173" s="34">
        <v>5918097.2454794496</v>
      </c>
      <c r="E173" s="34">
        <v>4950762.2843021899</v>
      </c>
      <c r="F173" s="34">
        <v>5159258.9699057397</v>
      </c>
      <c r="G173" s="15"/>
      <c r="H173" s="15"/>
      <c r="I173" s="15"/>
      <c r="J173" s="15"/>
      <c r="K173" s="15"/>
      <c r="L173" s="15"/>
      <c r="M173" s="15"/>
      <c r="N173" s="15"/>
      <c r="O173" s="3"/>
    </row>
    <row r="174" spans="1:15" ht="16.899999999999999" customHeight="1" x14ac:dyDescent="0.2">
      <c r="A174" s="77" t="s">
        <v>1000</v>
      </c>
      <c r="B174" s="77" t="s">
        <v>430</v>
      </c>
      <c r="C174" s="63" t="s">
        <v>223</v>
      </c>
      <c r="D174" s="34">
        <v>6532639.9964383598</v>
      </c>
      <c r="E174" s="34">
        <v>6661784.9300721297</v>
      </c>
      <c r="F174" s="34">
        <v>6723210.22697814</v>
      </c>
      <c r="G174" s="15"/>
      <c r="H174" s="15"/>
      <c r="I174" s="15"/>
      <c r="J174" s="15"/>
      <c r="K174" s="15"/>
      <c r="L174" s="15"/>
      <c r="M174" s="15"/>
      <c r="N174" s="15"/>
      <c r="O174" s="3"/>
    </row>
    <row r="175" spans="1:15" ht="16.899999999999999" customHeight="1" x14ac:dyDescent="0.2">
      <c r="A175" s="77" t="s">
        <v>1001</v>
      </c>
      <c r="B175" s="77" t="s">
        <v>433</v>
      </c>
      <c r="C175" s="63" t="s">
        <v>223</v>
      </c>
      <c r="D175" s="34">
        <v>8717377.9299999997</v>
      </c>
      <c r="E175" s="34">
        <v>6002116.3587999996</v>
      </c>
      <c r="F175" s="34">
        <v>6628154.1018497301</v>
      </c>
      <c r="G175" s="15"/>
      <c r="H175" s="15"/>
      <c r="I175" s="15"/>
      <c r="J175" s="15"/>
      <c r="K175" s="15"/>
      <c r="L175" s="15"/>
      <c r="M175" s="15"/>
      <c r="N175" s="15"/>
      <c r="O175" s="3"/>
    </row>
    <row r="176" spans="1:15" ht="16.899999999999999" customHeight="1" x14ac:dyDescent="0.2">
      <c r="A176" s="77" t="s">
        <v>1002</v>
      </c>
      <c r="B176" s="74" t="s">
        <v>238</v>
      </c>
      <c r="C176" s="63" t="s">
        <v>190</v>
      </c>
      <c r="D176" s="26">
        <f t="shared" ref="D176:N176" si="22">SUM(D165:D175)</f>
        <v>113964371.91315088</v>
      </c>
      <c r="E176" s="26">
        <f t="shared" si="22"/>
        <v>110514376.72539167</v>
      </c>
      <c r="F176" s="26">
        <f t="shared" si="22"/>
        <v>108925500.93875721</v>
      </c>
      <c r="G176" s="26">
        <f t="shared" si="22"/>
        <v>0</v>
      </c>
      <c r="H176" s="26">
        <f t="shared" si="22"/>
        <v>0</v>
      </c>
      <c r="I176" s="26">
        <f t="shared" si="22"/>
        <v>0</v>
      </c>
      <c r="J176" s="26">
        <f t="shared" si="22"/>
        <v>0</v>
      </c>
      <c r="K176" s="26">
        <f t="shared" si="22"/>
        <v>0</v>
      </c>
      <c r="L176" s="26">
        <f t="shared" si="22"/>
        <v>0</v>
      </c>
      <c r="M176" s="26">
        <f t="shared" si="22"/>
        <v>0</v>
      </c>
      <c r="N176" s="26">
        <f t="shared" si="22"/>
        <v>0</v>
      </c>
      <c r="O176" s="3"/>
    </row>
    <row r="177" spans="1:15" ht="16.899999999999999" customHeight="1" x14ac:dyDescent="0.25">
      <c r="A177" s="154"/>
      <c r="B177" s="106"/>
      <c r="C177" s="110"/>
      <c r="D177" s="109"/>
      <c r="E177" s="109"/>
      <c r="F177" s="109"/>
      <c r="G177" s="150"/>
      <c r="H177" s="150"/>
      <c r="I177" s="150"/>
      <c r="J177" s="150"/>
      <c r="K177" s="150"/>
      <c r="L177" s="150"/>
      <c r="M177" s="150"/>
      <c r="N177" s="150"/>
    </row>
    <row r="178" spans="1:15" ht="17.649999999999999" customHeight="1" x14ac:dyDescent="0.25">
      <c r="A178" s="49"/>
      <c r="B178" s="128" t="s">
        <v>282</v>
      </c>
      <c r="C178" s="116"/>
    </row>
    <row r="179" spans="1:15" ht="16.899999999999999" customHeight="1" x14ac:dyDescent="0.2">
      <c r="A179" s="77" t="s">
        <v>1003</v>
      </c>
      <c r="B179" s="74" t="s">
        <v>222</v>
      </c>
      <c r="C179" s="75" t="s">
        <v>223</v>
      </c>
      <c r="D179" s="34">
        <v>67</v>
      </c>
      <c r="E179" s="34">
        <v>68</v>
      </c>
      <c r="F179" s="34">
        <v>68</v>
      </c>
      <c r="G179" s="15"/>
      <c r="H179" s="15"/>
      <c r="I179" s="15"/>
      <c r="J179" s="15"/>
      <c r="K179" s="15"/>
      <c r="L179" s="15"/>
      <c r="M179" s="15"/>
      <c r="N179" s="15"/>
      <c r="O179" s="3"/>
    </row>
    <row r="180" spans="1:15" ht="16.899999999999999" customHeight="1" x14ac:dyDescent="0.2">
      <c r="A180" s="77" t="s">
        <v>1004</v>
      </c>
      <c r="B180" s="77" t="s">
        <v>226</v>
      </c>
      <c r="C180" s="75" t="s">
        <v>223</v>
      </c>
      <c r="D180" s="34">
        <v>133</v>
      </c>
      <c r="E180" s="34">
        <v>136</v>
      </c>
      <c r="F180" s="34">
        <v>136</v>
      </c>
      <c r="G180" s="15"/>
      <c r="H180" s="15"/>
      <c r="I180" s="15"/>
      <c r="J180" s="15"/>
      <c r="K180" s="15"/>
      <c r="L180" s="15"/>
      <c r="M180" s="15"/>
      <c r="N180" s="15"/>
      <c r="O180" s="3"/>
    </row>
    <row r="181" spans="1:15" ht="16.899999999999999" customHeight="1" x14ac:dyDescent="0.2">
      <c r="A181" s="77" t="s">
        <v>1005</v>
      </c>
      <c r="B181" s="77" t="s">
        <v>229</v>
      </c>
      <c r="C181" s="75" t="s">
        <v>223</v>
      </c>
      <c r="D181" s="34">
        <v>526</v>
      </c>
      <c r="E181" s="34">
        <v>537</v>
      </c>
      <c r="F181" s="34">
        <v>537</v>
      </c>
      <c r="G181" s="15"/>
      <c r="H181" s="15"/>
      <c r="I181" s="15"/>
      <c r="J181" s="15"/>
      <c r="K181" s="15"/>
      <c r="L181" s="15"/>
      <c r="M181" s="15"/>
      <c r="N181" s="15"/>
      <c r="O181" s="3"/>
    </row>
    <row r="182" spans="1:15" ht="16.899999999999999" customHeight="1" x14ac:dyDescent="0.2">
      <c r="A182" s="77" t="s">
        <v>1006</v>
      </c>
      <c r="B182" s="77" t="s">
        <v>232</v>
      </c>
      <c r="C182" s="75" t="s">
        <v>223</v>
      </c>
      <c r="D182" s="34">
        <v>950</v>
      </c>
      <c r="E182" s="34">
        <v>969</v>
      </c>
      <c r="F182" s="34">
        <v>969</v>
      </c>
      <c r="G182" s="15"/>
      <c r="H182" s="15"/>
      <c r="I182" s="15"/>
      <c r="J182" s="15"/>
      <c r="K182" s="15"/>
      <c r="L182" s="15"/>
      <c r="M182" s="15"/>
      <c r="N182" s="15"/>
      <c r="O182" s="3"/>
    </row>
    <row r="183" spans="1:15" ht="16.899999999999999" customHeight="1" x14ac:dyDescent="0.2">
      <c r="A183" s="77" t="s">
        <v>1007</v>
      </c>
      <c r="B183" s="77" t="s">
        <v>235</v>
      </c>
      <c r="C183" s="75" t="s">
        <v>223</v>
      </c>
      <c r="D183" s="34">
        <v>1848</v>
      </c>
      <c r="E183" s="34">
        <v>1885</v>
      </c>
      <c r="F183" s="34">
        <v>1885</v>
      </c>
      <c r="G183" s="15"/>
      <c r="H183" s="15"/>
      <c r="I183" s="15"/>
      <c r="J183" s="15"/>
      <c r="K183" s="15"/>
      <c r="L183" s="15"/>
      <c r="M183" s="15"/>
      <c r="N183" s="15"/>
      <c r="O183" s="3"/>
    </row>
    <row r="184" spans="1:15" ht="16.899999999999999" customHeight="1" x14ac:dyDescent="0.2">
      <c r="A184" s="77" t="s">
        <v>1008</v>
      </c>
      <c r="B184" s="77" t="s">
        <v>364</v>
      </c>
      <c r="C184" s="75" t="s">
        <v>223</v>
      </c>
      <c r="D184" s="34">
        <v>2003</v>
      </c>
      <c r="E184" s="34">
        <v>2043</v>
      </c>
      <c r="F184" s="34">
        <v>2043</v>
      </c>
      <c r="G184" s="15"/>
      <c r="H184" s="15"/>
      <c r="I184" s="15"/>
      <c r="J184" s="15"/>
      <c r="K184" s="15"/>
      <c r="L184" s="15"/>
      <c r="M184" s="15"/>
      <c r="N184" s="15"/>
      <c r="O184" s="3"/>
    </row>
    <row r="185" spans="1:15" ht="16.899999999999999" customHeight="1" x14ac:dyDescent="0.2">
      <c r="A185" s="77" t="s">
        <v>1009</v>
      </c>
      <c r="B185" s="77" t="s">
        <v>367</v>
      </c>
      <c r="C185" s="75" t="s">
        <v>223</v>
      </c>
      <c r="D185" s="34">
        <v>4219</v>
      </c>
      <c r="E185" s="34">
        <v>4303</v>
      </c>
      <c r="F185" s="34">
        <v>4303</v>
      </c>
      <c r="G185" s="15"/>
      <c r="H185" s="15"/>
      <c r="I185" s="15"/>
      <c r="J185" s="15"/>
      <c r="K185" s="15"/>
      <c r="L185" s="15"/>
      <c r="M185" s="15"/>
      <c r="N185" s="15"/>
      <c r="O185" s="3"/>
    </row>
    <row r="186" spans="1:15" ht="16.899999999999999" customHeight="1" x14ac:dyDescent="0.2">
      <c r="A186" s="77" t="s">
        <v>1010</v>
      </c>
      <c r="B186" s="77" t="s">
        <v>370</v>
      </c>
      <c r="C186" s="75" t="s">
        <v>223</v>
      </c>
      <c r="D186" s="34">
        <v>31643</v>
      </c>
      <c r="E186" s="34">
        <v>32276</v>
      </c>
      <c r="F186" s="34">
        <v>32276</v>
      </c>
      <c r="G186" s="15"/>
      <c r="H186" s="15"/>
      <c r="I186" s="15"/>
      <c r="J186" s="15"/>
      <c r="K186" s="15"/>
      <c r="L186" s="15"/>
      <c r="M186" s="15"/>
      <c r="N186" s="15"/>
      <c r="O186" s="3"/>
    </row>
    <row r="187" spans="1:15" ht="16.899999999999999" customHeight="1" x14ac:dyDescent="0.2">
      <c r="A187" s="77" t="s">
        <v>1011</v>
      </c>
      <c r="B187" s="77" t="s">
        <v>373</v>
      </c>
      <c r="C187" s="75" t="s">
        <v>223</v>
      </c>
      <c r="D187" s="34">
        <v>84382</v>
      </c>
      <c r="E187" s="34">
        <v>86070</v>
      </c>
      <c r="F187" s="34">
        <v>86070</v>
      </c>
      <c r="G187" s="15"/>
      <c r="H187" s="15"/>
      <c r="I187" s="15"/>
      <c r="J187" s="15"/>
      <c r="K187" s="15"/>
      <c r="L187" s="15"/>
      <c r="M187" s="15"/>
      <c r="N187" s="15"/>
      <c r="O187" s="3"/>
    </row>
    <row r="188" spans="1:15" ht="16.899999999999999" customHeight="1" x14ac:dyDescent="0.2">
      <c r="A188" s="77" t="s">
        <v>1012</v>
      </c>
      <c r="B188" s="77" t="s">
        <v>376</v>
      </c>
      <c r="C188" s="75" t="s">
        <v>223</v>
      </c>
      <c r="D188" s="34">
        <v>104424</v>
      </c>
      <c r="E188" s="34">
        <v>106512</v>
      </c>
      <c r="F188" s="34">
        <v>106512</v>
      </c>
      <c r="G188" s="15"/>
      <c r="H188" s="15"/>
      <c r="I188" s="15"/>
      <c r="J188" s="15"/>
      <c r="K188" s="15"/>
      <c r="L188" s="15"/>
      <c r="M188" s="15"/>
      <c r="N188" s="15"/>
      <c r="O188" s="3"/>
    </row>
    <row r="189" spans="1:15" ht="16.899999999999999" customHeight="1" x14ac:dyDescent="0.25">
      <c r="A189" s="154"/>
      <c r="B189" s="106"/>
      <c r="C189" s="110"/>
      <c r="D189" s="109"/>
      <c r="E189" s="109"/>
      <c r="F189" s="109"/>
      <c r="G189" s="150"/>
      <c r="H189" s="150"/>
      <c r="I189" s="150"/>
      <c r="J189" s="150"/>
      <c r="K189" s="150"/>
      <c r="L189" s="150"/>
      <c r="M189" s="150"/>
      <c r="N189" s="150"/>
    </row>
    <row r="190" spans="1:15" ht="17.649999999999999" customHeight="1" x14ac:dyDescent="0.25">
      <c r="A190" s="49"/>
      <c r="B190" s="128" t="s">
        <v>293</v>
      </c>
      <c r="C190" s="116"/>
    </row>
    <row r="191" spans="1:15" ht="16.899999999999999" customHeight="1" x14ac:dyDescent="0.2">
      <c r="A191" s="77" t="s">
        <v>1013</v>
      </c>
      <c r="B191" s="74" t="s">
        <v>454</v>
      </c>
      <c r="C191" s="75" t="s">
        <v>223</v>
      </c>
      <c r="D191" s="130">
        <v>0.51880000000000004</v>
      </c>
      <c r="E191" s="130">
        <v>0.5292</v>
      </c>
      <c r="F191" s="130">
        <v>0.5292</v>
      </c>
      <c r="G191" s="15"/>
      <c r="H191" s="15"/>
      <c r="I191" s="15"/>
      <c r="J191" s="15"/>
      <c r="K191" s="15"/>
      <c r="L191" s="15"/>
      <c r="M191" s="15"/>
      <c r="N191" s="15"/>
      <c r="O191" s="3"/>
    </row>
    <row r="192" spans="1:15" ht="16.899999999999999" customHeight="1" x14ac:dyDescent="0.2">
      <c r="A192" s="77" t="s">
        <v>1014</v>
      </c>
      <c r="B192" s="74" t="s">
        <v>298</v>
      </c>
      <c r="C192" s="75" t="s">
        <v>223</v>
      </c>
      <c r="D192" s="130">
        <v>0.51880000000000004</v>
      </c>
      <c r="E192" s="130">
        <v>0.5292</v>
      </c>
      <c r="F192" s="130">
        <v>0.5292</v>
      </c>
      <c r="G192" s="15"/>
      <c r="H192" s="15"/>
      <c r="I192" s="15"/>
      <c r="J192" s="15"/>
      <c r="K192" s="15"/>
      <c r="L192" s="15"/>
      <c r="M192" s="15"/>
      <c r="N192" s="15"/>
      <c r="O192" s="3"/>
    </row>
    <row r="193" spans="1:15" ht="16.899999999999999" customHeight="1" x14ac:dyDescent="0.25">
      <c r="A193" s="154"/>
      <c r="B193" s="120"/>
      <c r="C193" s="110"/>
      <c r="D193" s="110"/>
      <c r="E193" s="110"/>
      <c r="F193" s="110"/>
      <c r="G193" s="150"/>
      <c r="H193" s="157"/>
      <c r="I193" s="150"/>
      <c r="J193" s="157"/>
      <c r="K193" s="150"/>
      <c r="L193" s="150"/>
      <c r="M193" s="150"/>
      <c r="N193" s="150"/>
    </row>
    <row r="194" spans="1:15" ht="17.649999999999999" customHeight="1" x14ac:dyDescent="0.25">
      <c r="A194" s="49"/>
      <c r="B194" s="128" t="s">
        <v>458</v>
      </c>
      <c r="C194" s="116"/>
    </row>
    <row r="195" spans="1:15" ht="16.899999999999999" customHeight="1" x14ac:dyDescent="0.2">
      <c r="A195" s="77" t="s">
        <v>1015</v>
      </c>
      <c r="B195" s="62" t="s">
        <v>404</v>
      </c>
      <c r="C195" s="129" t="s">
        <v>223</v>
      </c>
      <c r="D195" s="130">
        <v>0.70520000000000005</v>
      </c>
      <c r="E195" s="130">
        <v>0.71930000000000005</v>
      </c>
      <c r="F195" s="130">
        <v>0.71930000000000005</v>
      </c>
      <c r="G195" s="15"/>
      <c r="H195" s="15"/>
      <c r="I195" s="15"/>
      <c r="J195" s="15"/>
      <c r="K195" s="15"/>
      <c r="L195" s="15"/>
      <c r="M195" s="15"/>
      <c r="N195" s="15"/>
      <c r="O195" s="3"/>
    </row>
    <row r="196" spans="1:15" ht="16.899999999999999" customHeight="1" x14ac:dyDescent="0.2">
      <c r="A196" s="77" t="s">
        <v>1016</v>
      </c>
      <c r="B196" s="62" t="s">
        <v>406</v>
      </c>
      <c r="C196" s="129" t="s">
        <v>223</v>
      </c>
      <c r="D196" s="130">
        <v>0.70520000000000005</v>
      </c>
      <c r="E196" s="130">
        <v>0.71930000000000005</v>
      </c>
      <c r="F196" s="130">
        <v>0.71930000000000005</v>
      </c>
      <c r="G196" s="15"/>
      <c r="H196" s="15"/>
      <c r="I196" s="15"/>
      <c r="J196" s="15"/>
      <c r="K196" s="15"/>
      <c r="L196" s="15"/>
      <c r="M196" s="15"/>
      <c r="N196" s="15"/>
      <c r="O196" s="3"/>
    </row>
    <row r="197" spans="1:15" ht="16.899999999999999" customHeight="1" x14ac:dyDescent="0.2">
      <c r="A197" s="77" t="s">
        <v>1017</v>
      </c>
      <c r="B197" s="77" t="s">
        <v>409</v>
      </c>
      <c r="C197" s="129" t="s">
        <v>223</v>
      </c>
      <c r="D197" s="130">
        <v>0.70520000000000005</v>
      </c>
      <c r="E197" s="130">
        <v>0.71930000000000005</v>
      </c>
      <c r="F197" s="130">
        <v>0.71930000000000005</v>
      </c>
      <c r="G197" s="15"/>
      <c r="H197" s="15"/>
      <c r="I197" s="15"/>
      <c r="J197" s="15"/>
      <c r="K197" s="15"/>
      <c r="L197" s="15"/>
      <c r="M197" s="15"/>
      <c r="N197" s="15"/>
      <c r="O197" s="3"/>
    </row>
    <row r="198" spans="1:15" ht="16.899999999999999" customHeight="1" x14ac:dyDescent="0.2">
      <c r="A198" s="77" t="s">
        <v>1018</v>
      </c>
      <c r="B198" s="77" t="s">
        <v>412</v>
      </c>
      <c r="C198" s="129" t="s">
        <v>223</v>
      </c>
      <c r="D198" s="130">
        <v>0.59589999999999999</v>
      </c>
      <c r="E198" s="130">
        <v>0.60780000000000001</v>
      </c>
      <c r="F198" s="130">
        <v>0.60780000000000001</v>
      </c>
      <c r="G198" s="15"/>
      <c r="H198" s="15"/>
      <c r="I198" s="15"/>
      <c r="J198" s="15"/>
      <c r="K198" s="15"/>
      <c r="L198" s="15"/>
      <c r="M198" s="15"/>
      <c r="N198" s="15"/>
      <c r="O198" s="3"/>
    </row>
    <row r="199" spans="1:15" ht="16.899999999999999" customHeight="1" x14ac:dyDescent="0.2">
      <c r="A199" s="77" t="s">
        <v>1019</v>
      </c>
      <c r="B199" s="77" t="s">
        <v>415</v>
      </c>
      <c r="C199" s="129" t="s">
        <v>223</v>
      </c>
      <c r="D199" s="130">
        <v>0.36570000000000003</v>
      </c>
      <c r="E199" s="130">
        <v>0.373</v>
      </c>
      <c r="F199" s="130">
        <v>0.373</v>
      </c>
      <c r="G199" s="15"/>
      <c r="H199" s="15"/>
      <c r="I199" s="15"/>
      <c r="J199" s="15"/>
      <c r="K199" s="15"/>
      <c r="L199" s="15"/>
      <c r="M199" s="15"/>
      <c r="N199" s="15"/>
      <c r="O199" s="3"/>
    </row>
    <row r="200" spans="1:15" ht="16.899999999999999" customHeight="1" x14ac:dyDescent="0.2">
      <c r="A200" s="77" t="s">
        <v>1020</v>
      </c>
      <c r="B200" s="77" t="s">
        <v>418</v>
      </c>
      <c r="C200" s="129" t="s">
        <v>223</v>
      </c>
      <c r="D200" s="130">
        <v>0.70520000000000005</v>
      </c>
      <c r="E200" s="130">
        <v>0.71930000000000005</v>
      </c>
      <c r="F200" s="130">
        <v>0.71930000000000005</v>
      </c>
      <c r="G200" s="15"/>
      <c r="H200" s="15"/>
      <c r="I200" s="15"/>
      <c r="J200" s="15"/>
      <c r="K200" s="15"/>
      <c r="L200" s="15"/>
      <c r="M200" s="15"/>
      <c r="N200" s="15"/>
      <c r="O200" s="3"/>
    </row>
    <row r="201" spans="1:15" ht="16.899999999999999" customHeight="1" x14ac:dyDescent="0.2">
      <c r="A201" s="77" t="s">
        <v>1021</v>
      </c>
      <c r="B201" s="77" t="s">
        <v>421</v>
      </c>
      <c r="C201" s="129" t="s">
        <v>223</v>
      </c>
      <c r="D201" s="130">
        <v>0.70520000000000005</v>
      </c>
      <c r="E201" s="130">
        <v>0.71930000000000005</v>
      </c>
      <c r="F201" s="130">
        <v>0.71930000000000005</v>
      </c>
      <c r="G201" s="15"/>
      <c r="H201" s="15"/>
      <c r="I201" s="15"/>
      <c r="J201" s="15"/>
      <c r="K201" s="15"/>
      <c r="L201" s="15"/>
      <c r="M201" s="15"/>
      <c r="N201" s="15"/>
      <c r="O201" s="3"/>
    </row>
    <row r="202" spans="1:15" ht="16.899999999999999" customHeight="1" x14ac:dyDescent="0.2">
      <c r="A202" s="77" t="s">
        <v>1022</v>
      </c>
      <c r="B202" s="77" t="s">
        <v>424</v>
      </c>
      <c r="C202" s="129" t="s">
        <v>223</v>
      </c>
      <c r="D202" s="130">
        <v>0.70520000000000005</v>
      </c>
      <c r="E202" s="130">
        <v>0.71930000000000005</v>
      </c>
      <c r="F202" s="130">
        <v>0.71930000000000005</v>
      </c>
      <c r="G202" s="15"/>
      <c r="H202" s="15"/>
      <c r="I202" s="15"/>
      <c r="J202" s="15"/>
      <c r="K202" s="15"/>
      <c r="L202" s="15"/>
      <c r="M202" s="15"/>
      <c r="N202" s="15"/>
      <c r="O202" s="3"/>
    </row>
    <row r="203" spans="1:15" ht="16.899999999999999" customHeight="1" x14ac:dyDescent="0.2">
      <c r="A203" s="77" t="s">
        <v>1023</v>
      </c>
      <c r="B203" s="77" t="s">
        <v>427</v>
      </c>
      <c r="C203" s="129" t="s">
        <v>223</v>
      </c>
      <c r="D203" s="130">
        <v>0.59589999999999999</v>
      </c>
      <c r="E203" s="130">
        <v>0.71930000000000005</v>
      </c>
      <c r="F203" s="130">
        <v>0.71930000000000005</v>
      </c>
      <c r="G203" s="15"/>
      <c r="H203" s="15"/>
      <c r="I203" s="15"/>
      <c r="J203" s="15"/>
      <c r="K203" s="15"/>
      <c r="L203" s="15"/>
      <c r="M203" s="15"/>
      <c r="N203" s="15"/>
      <c r="O203" s="3"/>
    </row>
    <row r="204" spans="1:15" ht="16.899999999999999" customHeight="1" x14ac:dyDescent="0.2">
      <c r="A204" s="77" t="s">
        <v>1024</v>
      </c>
      <c r="B204" s="77" t="s">
        <v>430</v>
      </c>
      <c r="C204" s="129" t="s">
        <v>223</v>
      </c>
      <c r="D204" s="130">
        <v>0.59589999999999999</v>
      </c>
      <c r="E204" s="130">
        <v>0.60780000000000001</v>
      </c>
      <c r="F204" s="130">
        <v>0.60780000000000001</v>
      </c>
      <c r="G204" s="15"/>
      <c r="H204" s="15"/>
      <c r="I204" s="15"/>
      <c r="J204" s="15"/>
      <c r="K204" s="15"/>
      <c r="L204" s="15"/>
      <c r="M204" s="15"/>
      <c r="N204" s="15"/>
      <c r="O204" s="3"/>
    </row>
    <row r="205" spans="1:15" ht="16.899999999999999" customHeight="1" x14ac:dyDescent="0.2">
      <c r="A205" s="77" t="s">
        <v>1025</v>
      </c>
      <c r="B205" s="77" t="s">
        <v>433</v>
      </c>
      <c r="C205" s="129" t="s">
        <v>223</v>
      </c>
      <c r="D205" s="130">
        <v>0.36570000000000003</v>
      </c>
      <c r="E205" s="130">
        <v>0.373</v>
      </c>
      <c r="F205" s="130">
        <v>0.373</v>
      </c>
      <c r="G205" s="15"/>
      <c r="H205" s="15"/>
      <c r="I205" s="15"/>
      <c r="J205" s="15"/>
      <c r="K205" s="15"/>
      <c r="L205" s="15"/>
      <c r="M205" s="15"/>
      <c r="N205" s="15"/>
      <c r="O205" s="3"/>
    </row>
    <row r="206" spans="1:15" ht="16.899999999999999" customHeight="1" x14ac:dyDescent="0.25">
      <c r="A206" s="154"/>
      <c r="B206" s="106"/>
      <c r="C206" s="110"/>
      <c r="D206" s="109"/>
      <c r="E206" s="109"/>
      <c r="F206" s="109"/>
      <c r="G206" s="150"/>
      <c r="H206" s="150"/>
      <c r="I206" s="150"/>
      <c r="J206" s="150"/>
      <c r="K206" s="150"/>
      <c r="L206" s="150"/>
      <c r="M206" s="150"/>
      <c r="N206" s="150"/>
    </row>
    <row r="207" spans="1:15" ht="17.649999999999999" customHeight="1" x14ac:dyDescent="0.25">
      <c r="A207" s="49"/>
      <c r="B207" s="128" t="s">
        <v>481</v>
      </c>
      <c r="C207" s="116"/>
    </row>
    <row r="208" spans="1:15" ht="16.899999999999999" customHeight="1" x14ac:dyDescent="0.2">
      <c r="A208" s="77" t="s">
        <v>1026</v>
      </c>
      <c r="B208" s="71" t="s">
        <v>483</v>
      </c>
      <c r="C208" s="129" t="s">
        <v>223</v>
      </c>
      <c r="D208" s="34">
        <v>18336716.059999999</v>
      </c>
      <c r="E208" s="34">
        <v>16164534.784499999</v>
      </c>
      <c r="F208" s="34">
        <v>16561717.1985</v>
      </c>
      <c r="G208" s="15"/>
      <c r="H208" s="15"/>
      <c r="I208" s="15"/>
      <c r="J208" s="15"/>
      <c r="K208" s="15"/>
      <c r="L208" s="15"/>
      <c r="M208" s="15"/>
      <c r="N208" s="15"/>
      <c r="O208" s="3"/>
    </row>
    <row r="209" spans="1:15" ht="16.899999999999999" customHeight="1" x14ac:dyDescent="0.2">
      <c r="A209" s="77" t="s">
        <v>1027</v>
      </c>
      <c r="B209" s="71" t="s">
        <v>486</v>
      </c>
      <c r="C209" s="129" t="s">
        <v>223</v>
      </c>
      <c r="D209" s="34">
        <v>4589998.2489999998</v>
      </c>
      <c r="E209" s="34">
        <v>4178666.7236000001</v>
      </c>
      <c r="F209" s="34">
        <v>4303681.3757999996</v>
      </c>
      <c r="G209" s="15"/>
      <c r="H209" s="15"/>
      <c r="I209" s="15"/>
      <c r="J209" s="15"/>
      <c r="K209" s="15"/>
      <c r="L209" s="15"/>
      <c r="M209" s="15"/>
      <c r="N209" s="15"/>
      <c r="O209" s="3"/>
    </row>
    <row r="210" spans="1:15" ht="16.899999999999999" customHeight="1" x14ac:dyDescent="0.25">
      <c r="A210" s="154"/>
      <c r="B210" s="106"/>
      <c r="C210" s="110"/>
      <c r="D210" s="109"/>
      <c r="E210" s="109"/>
      <c r="F210" s="109"/>
      <c r="G210" s="150"/>
      <c r="H210" s="150"/>
      <c r="I210" s="150"/>
      <c r="J210" s="150"/>
      <c r="K210" s="150"/>
      <c r="L210" s="150"/>
      <c r="M210" s="150"/>
      <c r="N210" s="150"/>
    </row>
    <row r="211" spans="1:15" ht="17.649999999999999" customHeight="1" x14ac:dyDescent="0.25">
      <c r="A211" s="49"/>
      <c r="B211" s="128" t="s">
        <v>318</v>
      </c>
      <c r="C211" s="116"/>
    </row>
    <row r="212" spans="1:15" ht="16.899999999999999" customHeight="1" x14ac:dyDescent="0.2">
      <c r="A212" s="77" t="s">
        <v>1028</v>
      </c>
      <c r="B212" s="71" t="s">
        <v>320</v>
      </c>
      <c r="C212" s="63" t="s">
        <v>190</v>
      </c>
      <c r="D212" s="26">
        <f t="shared" ref="D212:N212" si="23">SUMPRODUCT(D147:D156,D179:D188)</f>
        <v>12224660.153424667</v>
      </c>
      <c r="E212" s="26">
        <f t="shared" si="23"/>
        <v>12590551.759562843</v>
      </c>
      <c r="F212" s="26">
        <f t="shared" si="23"/>
        <v>12499775.215846308</v>
      </c>
      <c r="G212" s="26">
        <f t="shared" si="23"/>
        <v>0</v>
      </c>
      <c r="H212" s="26">
        <f t="shared" si="23"/>
        <v>0</v>
      </c>
      <c r="I212" s="26">
        <f t="shared" si="23"/>
        <v>0</v>
      </c>
      <c r="J212" s="26">
        <f t="shared" si="23"/>
        <v>0</v>
      </c>
      <c r="K212" s="26">
        <f t="shared" si="23"/>
        <v>0</v>
      </c>
      <c r="L212" s="26">
        <f t="shared" si="23"/>
        <v>0</v>
      </c>
      <c r="M212" s="26">
        <f t="shared" si="23"/>
        <v>0</v>
      </c>
      <c r="N212" s="26">
        <f t="shared" si="23"/>
        <v>0</v>
      </c>
      <c r="O212" s="3"/>
    </row>
    <row r="213" spans="1:15" ht="16.899999999999999" customHeight="1" x14ac:dyDescent="0.2">
      <c r="A213" s="77" t="s">
        <v>1029</v>
      </c>
      <c r="B213" s="71" t="s">
        <v>323</v>
      </c>
      <c r="C213" s="63" t="s">
        <v>190</v>
      </c>
      <c r="D213" s="26">
        <f t="shared" ref="D213:N213" si="24">SUMPRODUCT(D160:D161,D191:D192)</f>
        <v>8515037.2501299549</v>
      </c>
      <c r="E213" s="26">
        <f t="shared" si="24"/>
        <v>9178087.7123690285</v>
      </c>
      <c r="F213" s="26">
        <f t="shared" si="24"/>
        <v>8325671.2083417717</v>
      </c>
      <c r="G213" s="26">
        <f t="shared" si="24"/>
        <v>0</v>
      </c>
      <c r="H213" s="26">
        <f t="shared" si="24"/>
        <v>0</v>
      </c>
      <c r="I213" s="26">
        <f t="shared" si="24"/>
        <v>0</v>
      </c>
      <c r="J213" s="26">
        <f t="shared" si="24"/>
        <v>0</v>
      </c>
      <c r="K213" s="26">
        <f t="shared" si="24"/>
        <v>0</v>
      </c>
      <c r="L213" s="26">
        <f t="shared" si="24"/>
        <v>0</v>
      </c>
      <c r="M213" s="26">
        <f t="shared" si="24"/>
        <v>0</v>
      </c>
      <c r="N213" s="26">
        <f t="shared" si="24"/>
        <v>0</v>
      </c>
      <c r="O213" s="3"/>
    </row>
    <row r="214" spans="1:15" ht="16.899999999999999" customHeight="1" x14ac:dyDescent="0.2">
      <c r="A214" s="77" t="s">
        <v>1030</v>
      </c>
      <c r="B214" s="71" t="s">
        <v>326</v>
      </c>
      <c r="C214" s="63" t="s">
        <v>190</v>
      </c>
      <c r="D214" s="26">
        <f t="shared" ref="D214:N214" si="25">SUMPRODUCT(D165:D175,D195:D205)</f>
        <v>75971035.235999376</v>
      </c>
      <c r="E214" s="26">
        <f t="shared" si="25"/>
        <v>76611307.740146697</v>
      </c>
      <c r="F214" s="26">
        <f t="shared" si="25"/>
        <v>75250281.443038389</v>
      </c>
      <c r="G214" s="26">
        <f t="shared" si="25"/>
        <v>0</v>
      </c>
      <c r="H214" s="26">
        <f t="shared" si="25"/>
        <v>0</v>
      </c>
      <c r="I214" s="26">
        <f t="shared" si="25"/>
        <v>0</v>
      </c>
      <c r="J214" s="26">
        <f t="shared" si="25"/>
        <v>0</v>
      </c>
      <c r="K214" s="26">
        <f t="shared" si="25"/>
        <v>0</v>
      </c>
      <c r="L214" s="26">
        <f t="shared" si="25"/>
        <v>0</v>
      </c>
      <c r="M214" s="26">
        <f t="shared" si="25"/>
        <v>0</v>
      </c>
      <c r="N214" s="26">
        <f t="shared" si="25"/>
        <v>0</v>
      </c>
      <c r="O214" s="3"/>
    </row>
    <row r="215" spans="1:15" ht="16.899999999999999" customHeight="1" x14ac:dyDescent="0.2">
      <c r="A215" s="77" t="s">
        <v>1031</v>
      </c>
      <c r="B215" s="71" t="s">
        <v>495</v>
      </c>
      <c r="C215" s="63" t="s">
        <v>190</v>
      </c>
      <c r="D215" s="26">
        <f t="shared" ref="D215:N215" si="26">+D209</f>
        <v>4589998.2489999998</v>
      </c>
      <c r="E215" s="26">
        <f t="shared" si="26"/>
        <v>4178666.7236000001</v>
      </c>
      <c r="F215" s="26">
        <f t="shared" si="26"/>
        <v>4303681.3757999996</v>
      </c>
      <c r="G215" s="26">
        <f t="shared" si="26"/>
        <v>0</v>
      </c>
      <c r="H215" s="26">
        <f t="shared" si="26"/>
        <v>0</v>
      </c>
      <c r="I215" s="26">
        <f t="shared" si="26"/>
        <v>0</v>
      </c>
      <c r="J215" s="26">
        <f t="shared" si="26"/>
        <v>0</v>
      </c>
      <c r="K215" s="26">
        <f t="shared" si="26"/>
        <v>0</v>
      </c>
      <c r="L215" s="26">
        <f t="shared" si="26"/>
        <v>0</v>
      </c>
      <c r="M215" s="26">
        <f t="shared" si="26"/>
        <v>0</v>
      </c>
      <c r="N215" s="26">
        <f t="shared" si="26"/>
        <v>0</v>
      </c>
      <c r="O215" s="3"/>
    </row>
    <row r="216" spans="1:15" ht="16.899999999999999" customHeight="1" x14ac:dyDescent="0.2">
      <c r="A216" s="77" t="s">
        <v>1032</v>
      </c>
      <c r="B216" s="71" t="s">
        <v>189</v>
      </c>
      <c r="C216" s="63" t="s">
        <v>190</v>
      </c>
      <c r="D216" s="26">
        <f t="shared" ref="D216:N216" si="27">SUM(D212:D215)</f>
        <v>101300730.88855399</v>
      </c>
      <c r="E216" s="26">
        <f t="shared" si="27"/>
        <v>102558613.93567857</v>
      </c>
      <c r="F216" s="26">
        <f t="shared" si="27"/>
        <v>100379409.24302647</v>
      </c>
      <c r="G216" s="26">
        <f t="shared" si="27"/>
        <v>0</v>
      </c>
      <c r="H216" s="26">
        <f t="shared" si="27"/>
        <v>0</v>
      </c>
      <c r="I216" s="26">
        <f t="shared" si="27"/>
        <v>0</v>
      </c>
      <c r="J216" s="26">
        <f t="shared" si="27"/>
        <v>0</v>
      </c>
      <c r="K216" s="26">
        <f t="shared" si="27"/>
        <v>0</v>
      </c>
      <c r="L216" s="26">
        <f t="shared" si="27"/>
        <v>0</v>
      </c>
      <c r="M216" s="26">
        <f t="shared" si="27"/>
        <v>0</v>
      </c>
      <c r="N216" s="26">
        <f t="shared" si="27"/>
        <v>0</v>
      </c>
      <c r="O216" s="3"/>
    </row>
    <row r="217" spans="1:15" ht="16.899999999999999" customHeight="1" x14ac:dyDescent="0.25">
      <c r="A217" s="154"/>
      <c r="B217" s="106"/>
      <c r="C217" s="115"/>
      <c r="D217" s="153"/>
      <c r="E217" s="153"/>
      <c r="F217" s="153"/>
      <c r="G217" s="150"/>
      <c r="H217" s="150"/>
      <c r="I217" s="150"/>
      <c r="J217" s="150"/>
      <c r="K217" s="150"/>
      <c r="L217" s="150"/>
      <c r="M217" s="150"/>
      <c r="N217" s="150"/>
    </row>
    <row r="218" spans="1:15" ht="17.649999999999999" customHeight="1" x14ac:dyDescent="0.25">
      <c r="A218" s="49"/>
      <c r="B218" s="128" t="s">
        <v>497</v>
      </c>
      <c r="C218" s="119"/>
    </row>
    <row r="219" spans="1:15" ht="16.899999999999999" customHeight="1" x14ac:dyDescent="0.2">
      <c r="A219" s="77" t="s">
        <v>1033</v>
      </c>
      <c r="B219" s="62" t="s">
        <v>499</v>
      </c>
      <c r="C219" s="63" t="s">
        <v>223</v>
      </c>
      <c r="D219" s="34">
        <v>1922288.92239999</v>
      </c>
      <c r="E219" s="34">
        <v>2199812.87759997</v>
      </c>
      <c r="F219" s="34">
        <v>2167354.4561999901</v>
      </c>
      <c r="G219" s="15"/>
      <c r="H219" s="15"/>
      <c r="I219" s="15"/>
      <c r="J219" s="15"/>
      <c r="K219" s="15"/>
      <c r="L219" s="15"/>
      <c r="M219" s="15"/>
      <c r="N219" s="15"/>
      <c r="O219" s="3"/>
    </row>
    <row r="220" spans="1:15" ht="16.899999999999999" customHeight="1" x14ac:dyDescent="0.2">
      <c r="A220" s="77" t="s">
        <v>1034</v>
      </c>
      <c r="B220" s="62" t="s">
        <v>502</v>
      </c>
      <c r="C220" s="63" t="s">
        <v>190</v>
      </c>
      <c r="D220" s="131">
        <f t="shared" ref="D220:N220" si="28">D219/D216</f>
        <v>1.8976061727676935E-2</v>
      </c>
      <c r="E220" s="131">
        <f t="shared" si="28"/>
        <v>2.1449323398418988E-2</v>
      </c>
      <c r="F220" s="131">
        <f t="shared" si="28"/>
        <v>2.1591623945032931E-2</v>
      </c>
      <c r="G220" s="132" t="e">
        <f t="shared" si="28"/>
        <v>#DIV/0!</v>
      </c>
      <c r="H220" s="132" t="e">
        <f t="shared" si="28"/>
        <v>#DIV/0!</v>
      </c>
      <c r="I220" s="132" t="e">
        <f t="shared" si="28"/>
        <v>#DIV/0!</v>
      </c>
      <c r="J220" s="132" t="e">
        <f t="shared" si="28"/>
        <v>#DIV/0!</v>
      </c>
      <c r="K220" s="132" t="e">
        <f t="shared" si="28"/>
        <v>#DIV/0!</v>
      </c>
      <c r="L220" s="132" t="e">
        <f t="shared" si="28"/>
        <v>#DIV/0!</v>
      </c>
      <c r="M220" s="132" t="e">
        <f t="shared" si="28"/>
        <v>#DIV/0!</v>
      </c>
      <c r="N220" s="132" t="e">
        <f t="shared" si="28"/>
        <v>#DIV/0!</v>
      </c>
      <c r="O220" s="3"/>
    </row>
    <row r="221" spans="1:15" ht="16.899999999999999" customHeight="1" x14ac:dyDescent="0.2">
      <c r="A221" s="77" t="s">
        <v>1035</v>
      </c>
      <c r="B221" s="62" t="s">
        <v>505</v>
      </c>
      <c r="C221" s="63" t="s">
        <v>223</v>
      </c>
      <c r="D221" s="34">
        <v>1484296.5959000001</v>
      </c>
      <c r="E221" s="34">
        <f>1250383.1</f>
        <v>1250383.1000000001</v>
      </c>
      <c r="F221" s="34">
        <v>1423325.5144</v>
      </c>
      <c r="G221" s="15"/>
      <c r="H221" s="15"/>
      <c r="I221" s="15"/>
      <c r="J221" s="15"/>
      <c r="K221" s="15"/>
      <c r="L221" s="15"/>
      <c r="M221" s="15"/>
      <c r="N221" s="15"/>
      <c r="O221" s="3"/>
    </row>
    <row r="222" spans="1:15" ht="16.899999999999999" customHeight="1" x14ac:dyDescent="0.2">
      <c r="A222" s="77" t="s">
        <v>1036</v>
      </c>
      <c r="B222" s="62" t="s">
        <v>508</v>
      </c>
      <c r="C222" s="63" t="s">
        <v>190</v>
      </c>
      <c r="D222" s="131">
        <f t="shared" ref="D222:N222" si="29">D221/D216</f>
        <v>1.4652377953056914E-2</v>
      </c>
      <c r="E222" s="131">
        <f t="shared" si="29"/>
        <v>1.2191887663226413E-2</v>
      </c>
      <c r="F222" s="131">
        <f t="shared" si="29"/>
        <v>1.4179456973631082E-2</v>
      </c>
      <c r="G222" s="132" t="e">
        <f t="shared" si="29"/>
        <v>#DIV/0!</v>
      </c>
      <c r="H222" s="132" t="e">
        <f t="shared" si="29"/>
        <v>#DIV/0!</v>
      </c>
      <c r="I222" s="132" t="e">
        <f t="shared" si="29"/>
        <v>#DIV/0!</v>
      </c>
      <c r="J222" s="132" t="e">
        <f t="shared" si="29"/>
        <v>#DIV/0!</v>
      </c>
      <c r="K222" s="132" t="e">
        <f t="shared" si="29"/>
        <v>#DIV/0!</v>
      </c>
      <c r="L222" s="132" t="e">
        <f t="shared" si="29"/>
        <v>#DIV/0!</v>
      </c>
      <c r="M222" s="132" t="e">
        <f t="shared" si="29"/>
        <v>#DIV/0!</v>
      </c>
      <c r="N222" s="132" t="e">
        <f t="shared" si="29"/>
        <v>#DIV/0!</v>
      </c>
      <c r="O222" s="3"/>
    </row>
    <row r="223" spans="1:15" ht="16.899999999999999" customHeight="1" x14ac:dyDescent="0.2">
      <c r="A223" s="77" t="s">
        <v>1037</v>
      </c>
      <c r="B223" s="62" t="s">
        <v>347</v>
      </c>
      <c r="C223" s="63" t="s">
        <v>223</v>
      </c>
      <c r="D223" s="34">
        <v>70428.976500000004</v>
      </c>
      <c r="E223" s="34">
        <v>57905.697</v>
      </c>
      <c r="F223" s="34">
        <v>74764.063099999999</v>
      </c>
      <c r="G223" s="15"/>
      <c r="H223" s="15"/>
      <c r="I223" s="15"/>
      <c r="J223" s="15"/>
      <c r="K223" s="15"/>
      <c r="L223" s="15"/>
      <c r="M223" s="15"/>
      <c r="N223" s="15"/>
      <c r="O223" s="3"/>
    </row>
    <row r="224" spans="1:15" ht="16.899999999999999" customHeight="1" x14ac:dyDescent="0.2">
      <c r="A224" s="77" t="s">
        <v>1038</v>
      </c>
      <c r="B224" s="62" t="s">
        <v>350</v>
      </c>
      <c r="C224" s="63" t="s">
        <v>190</v>
      </c>
      <c r="D224" s="131">
        <f t="shared" ref="D224:N224" si="30">D223/D216</f>
        <v>6.9524647929226143E-4</v>
      </c>
      <c r="E224" s="131">
        <f t="shared" si="30"/>
        <v>5.6461076040201339E-4</v>
      </c>
      <c r="F224" s="131">
        <f t="shared" si="30"/>
        <v>7.4481473505179038E-4</v>
      </c>
      <c r="G224" s="132" t="e">
        <f t="shared" si="30"/>
        <v>#DIV/0!</v>
      </c>
      <c r="H224" s="132" t="e">
        <f t="shared" si="30"/>
        <v>#DIV/0!</v>
      </c>
      <c r="I224" s="132" t="e">
        <f t="shared" si="30"/>
        <v>#DIV/0!</v>
      </c>
      <c r="J224" s="132" t="e">
        <f t="shared" si="30"/>
        <v>#DIV/0!</v>
      </c>
      <c r="K224" s="132" t="e">
        <f t="shared" si="30"/>
        <v>#DIV/0!</v>
      </c>
      <c r="L224" s="132" t="e">
        <f t="shared" si="30"/>
        <v>#DIV/0!</v>
      </c>
      <c r="M224" s="132" t="e">
        <f t="shared" si="30"/>
        <v>#DIV/0!</v>
      </c>
      <c r="N224" s="132" t="e">
        <f t="shared" si="30"/>
        <v>#DIV/0!</v>
      </c>
      <c r="O224" s="3"/>
    </row>
    <row r="225" spans="1:15" ht="16.899999999999999" customHeight="1" x14ac:dyDescent="0.25">
      <c r="A225" s="150"/>
      <c r="B225" s="109"/>
      <c r="C225" s="110"/>
      <c r="D225" s="109"/>
      <c r="E225" s="109"/>
      <c r="F225" s="109"/>
      <c r="G225" s="150"/>
      <c r="H225" s="150"/>
      <c r="I225" s="150"/>
      <c r="J225" s="150"/>
      <c r="K225" s="150"/>
      <c r="L225" s="150"/>
      <c r="M225" s="150"/>
      <c r="N225" s="150"/>
    </row>
    <row r="226" spans="1:15" ht="20.100000000000001" customHeight="1" x14ac:dyDescent="0.25">
      <c r="B226" s="127" t="s">
        <v>512</v>
      </c>
    </row>
    <row r="227" spans="1:15" ht="17.649999999999999" customHeight="1" x14ac:dyDescent="0.2">
      <c r="A227" s="49"/>
      <c r="B227" s="24" t="s">
        <v>513</v>
      </c>
      <c r="C227" s="31" t="s">
        <v>159</v>
      </c>
      <c r="D227" s="31" t="str">
        <f>+$D$10</f>
        <v>2018-19 RF</v>
      </c>
      <c r="E227" s="31" t="str">
        <f>+$E$10</f>
        <v>2019-20 monthly</v>
      </c>
      <c r="F227" s="31" t="str">
        <f>+$F$10</f>
        <v>2019-20 RF</v>
      </c>
      <c r="G227" s="31" t="s">
        <v>829</v>
      </c>
      <c r="H227" s="31" t="s">
        <v>18</v>
      </c>
      <c r="I227" s="31" t="s">
        <v>830</v>
      </c>
      <c r="J227" s="31" t="s">
        <v>20</v>
      </c>
      <c r="K227" s="31" t="s">
        <v>831</v>
      </c>
      <c r="L227" s="31" t="s">
        <v>22</v>
      </c>
      <c r="M227" s="31" t="s">
        <v>832</v>
      </c>
      <c r="N227" s="31" t="s">
        <v>24</v>
      </c>
      <c r="O227" s="3"/>
    </row>
    <row r="228" spans="1:15" ht="16.899999999999999" customHeight="1" x14ac:dyDescent="0.2">
      <c r="A228" s="77" t="s">
        <v>1039</v>
      </c>
      <c r="B228" s="74" t="s">
        <v>842</v>
      </c>
      <c r="C228" s="75" t="s">
        <v>223</v>
      </c>
      <c r="D228" s="34">
        <v>865.08767123287703</v>
      </c>
      <c r="E228" s="34">
        <v>1483.4562841530201</v>
      </c>
      <c r="F228" s="34">
        <v>1459.6967213114899</v>
      </c>
      <c r="G228" s="15"/>
      <c r="H228" s="15"/>
      <c r="I228" s="15"/>
      <c r="J228" s="15"/>
      <c r="K228" s="15"/>
      <c r="L228" s="15"/>
      <c r="M228" s="15"/>
      <c r="N228" s="15"/>
      <c r="O228" s="3"/>
    </row>
    <row r="229" spans="1:15" ht="16.899999999999999" customHeight="1" x14ac:dyDescent="0.2">
      <c r="A229" s="77" t="s">
        <v>1040</v>
      </c>
      <c r="B229" s="74" t="s">
        <v>844</v>
      </c>
      <c r="C229" s="75" t="s">
        <v>223</v>
      </c>
      <c r="D229" s="34">
        <v>11366.566210045699</v>
      </c>
      <c r="E229" s="34">
        <v>5376.8296903460996</v>
      </c>
      <c r="F229" s="34">
        <v>5265.5892531876298</v>
      </c>
      <c r="G229" s="15"/>
      <c r="H229" s="15"/>
      <c r="I229" s="15"/>
      <c r="J229" s="15"/>
      <c r="K229" s="15"/>
      <c r="L229" s="15"/>
      <c r="M229" s="15"/>
      <c r="N229" s="15"/>
      <c r="O229" s="3"/>
    </row>
    <row r="230" spans="1:15" ht="16.899999999999999" customHeight="1" x14ac:dyDescent="0.2">
      <c r="A230" s="77" t="s">
        <v>1041</v>
      </c>
      <c r="B230" s="74" t="s">
        <v>846</v>
      </c>
      <c r="C230" s="75" t="s">
        <v>223</v>
      </c>
      <c r="D230" s="34">
        <v>5683.2840182648497</v>
      </c>
      <c r="E230" s="34">
        <v>10760.083788706799</v>
      </c>
      <c r="F230" s="34">
        <v>10537.4644808744</v>
      </c>
      <c r="G230" s="15"/>
      <c r="H230" s="15"/>
      <c r="I230" s="15"/>
      <c r="J230" s="15"/>
      <c r="K230" s="15"/>
      <c r="L230" s="15"/>
      <c r="M230" s="15"/>
      <c r="N230" s="15"/>
      <c r="O230" s="3"/>
    </row>
    <row r="231" spans="1:15" ht="16.899999999999999" customHeight="1" x14ac:dyDescent="0.2">
      <c r="A231" s="77" t="s">
        <v>1042</v>
      </c>
      <c r="B231" s="77" t="s">
        <v>848</v>
      </c>
      <c r="C231" s="75" t="s">
        <v>223</v>
      </c>
      <c r="D231" s="34">
        <v>15.2328767123288</v>
      </c>
      <c r="E231" s="34">
        <v>19.846994535519102</v>
      </c>
      <c r="F231" s="34">
        <v>17.890710382513699</v>
      </c>
      <c r="G231" s="15"/>
      <c r="H231" s="15"/>
      <c r="I231" s="15"/>
      <c r="J231" s="15"/>
      <c r="K231" s="15"/>
      <c r="L231" s="15"/>
      <c r="M231" s="15"/>
      <c r="N231" s="15"/>
      <c r="O231" s="3"/>
    </row>
    <row r="232" spans="1:15" ht="16.899999999999999" customHeight="1" x14ac:dyDescent="0.2">
      <c r="A232" s="77" t="s">
        <v>1043</v>
      </c>
      <c r="B232" s="77" t="s">
        <v>850</v>
      </c>
      <c r="C232" s="75" t="s">
        <v>223</v>
      </c>
      <c r="D232" s="34">
        <v>111.850228310502</v>
      </c>
      <c r="E232" s="34">
        <v>52.968123861566497</v>
      </c>
      <c r="F232" s="34">
        <v>51.758652094717696</v>
      </c>
      <c r="G232" s="15"/>
      <c r="H232" s="15"/>
      <c r="I232" s="15"/>
      <c r="J232" s="15"/>
      <c r="K232" s="15"/>
      <c r="L232" s="15"/>
      <c r="M232" s="15"/>
      <c r="N232" s="15"/>
      <c r="O232" s="3"/>
    </row>
    <row r="233" spans="1:15" ht="16.899999999999999" customHeight="1" x14ac:dyDescent="0.2">
      <c r="A233" s="77" t="s">
        <v>1044</v>
      </c>
      <c r="B233" s="77" t="s">
        <v>852</v>
      </c>
      <c r="C233" s="75" t="s">
        <v>223</v>
      </c>
      <c r="D233" s="34">
        <v>50.278538812785399</v>
      </c>
      <c r="E233" s="34">
        <v>90.650273224043701</v>
      </c>
      <c r="F233" s="34">
        <v>88.752276867031</v>
      </c>
      <c r="G233" s="15"/>
      <c r="H233" s="15"/>
      <c r="I233" s="15"/>
      <c r="J233" s="15"/>
      <c r="K233" s="15"/>
      <c r="L233" s="15"/>
      <c r="M233" s="15"/>
      <c r="N233" s="15"/>
      <c r="O233" s="3"/>
    </row>
    <row r="234" spans="1:15" ht="16.899999999999999" customHeight="1" x14ac:dyDescent="0.2">
      <c r="A234" s="77" t="s">
        <v>1045</v>
      </c>
      <c r="B234" s="77" t="s">
        <v>854</v>
      </c>
      <c r="C234" s="75" t="s">
        <v>223</v>
      </c>
      <c r="D234" s="34">
        <v>2.2219178082191799</v>
      </c>
      <c r="E234" s="34">
        <v>1.2595628415300499</v>
      </c>
      <c r="F234" s="34">
        <v>1.6721311475409799</v>
      </c>
      <c r="G234" s="15"/>
      <c r="H234" s="15"/>
      <c r="I234" s="15"/>
      <c r="J234" s="15"/>
      <c r="K234" s="15"/>
      <c r="L234" s="15"/>
      <c r="M234" s="15"/>
      <c r="N234" s="15"/>
      <c r="O234" s="3"/>
    </row>
    <row r="235" spans="1:15" ht="16.899999999999999" customHeight="1" x14ac:dyDescent="0.2">
      <c r="A235" s="77" t="s">
        <v>1046</v>
      </c>
      <c r="B235" s="77" t="s">
        <v>856</v>
      </c>
      <c r="C235" s="75" t="s">
        <v>223</v>
      </c>
      <c r="D235" s="34">
        <v>8.3543378995433795</v>
      </c>
      <c r="E235" s="34">
        <v>3.77686703096539</v>
      </c>
      <c r="F235" s="34">
        <v>3.8479052823315101</v>
      </c>
      <c r="G235" s="15"/>
      <c r="H235" s="15"/>
      <c r="I235" s="15"/>
      <c r="J235" s="15"/>
      <c r="K235" s="15"/>
      <c r="L235" s="15"/>
      <c r="M235" s="15"/>
      <c r="N235" s="15"/>
      <c r="O235" s="3"/>
    </row>
    <row r="236" spans="1:15" ht="16.899999999999999" customHeight="1" x14ac:dyDescent="0.2">
      <c r="A236" s="77" t="s">
        <v>1047</v>
      </c>
      <c r="B236" s="77" t="s">
        <v>858</v>
      </c>
      <c r="C236" s="75" t="s">
        <v>223</v>
      </c>
      <c r="D236" s="34">
        <v>8.6931506849315099</v>
      </c>
      <c r="E236" s="34">
        <v>15.3642987249545</v>
      </c>
      <c r="F236" s="34">
        <v>14.9872495446266</v>
      </c>
      <c r="G236" s="15"/>
      <c r="H236" s="15"/>
      <c r="I236" s="15"/>
      <c r="J236" s="15"/>
      <c r="K236" s="15"/>
      <c r="L236" s="15"/>
      <c r="M236" s="15"/>
      <c r="N236" s="15"/>
      <c r="O236" s="3"/>
    </row>
    <row r="237" spans="1:15" ht="16.899999999999999" customHeight="1" x14ac:dyDescent="0.2">
      <c r="A237" s="77" t="s">
        <v>1048</v>
      </c>
      <c r="B237" s="77" t="s">
        <v>860</v>
      </c>
      <c r="C237" s="75" t="s">
        <v>223</v>
      </c>
      <c r="D237" s="34">
        <v>0.94794520547945205</v>
      </c>
      <c r="E237" s="34">
        <v>1.22950819672131</v>
      </c>
      <c r="F237" s="34">
        <v>2.1010928961748601</v>
      </c>
      <c r="G237" s="15"/>
      <c r="H237" s="15"/>
      <c r="I237" s="15"/>
      <c r="J237" s="15"/>
      <c r="K237" s="15"/>
      <c r="L237" s="15"/>
      <c r="M237" s="15"/>
      <c r="N237" s="15"/>
      <c r="O237" s="3"/>
    </row>
    <row r="238" spans="1:15" ht="16.899999999999999" customHeight="1" x14ac:dyDescent="0.2">
      <c r="A238" s="77" t="s">
        <v>1049</v>
      </c>
      <c r="B238" s="77" t="s">
        <v>862</v>
      </c>
      <c r="C238" s="75" t="s">
        <v>223</v>
      </c>
      <c r="D238" s="34">
        <v>5.6876712328767098</v>
      </c>
      <c r="E238" s="34">
        <v>2.19307832422587</v>
      </c>
      <c r="F238" s="34">
        <v>2.3852459016393399</v>
      </c>
      <c r="G238" s="15"/>
      <c r="H238" s="15"/>
      <c r="I238" s="15"/>
      <c r="J238" s="15"/>
      <c r="K238" s="15"/>
      <c r="L238" s="15"/>
      <c r="M238" s="15"/>
      <c r="N238" s="15"/>
      <c r="O238" s="3"/>
    </row>
    <row r="239" spans="1:15" ht="16.899999999999999" customHeight="1" x14ac:dyDescent="0.2">
      <c r="A239" s="77" t="s">
        <v>1050</v>
      </c>
      <c r="B239" s="77" t="s">
        <v>864</v>
      </c>
      <c r="C239" s="75" t="s">
        <v>223</v>
      </c>
      <c r="D239" s="34">
        <v>3.9735159817351602</v>
      </c>
      <c r="E239" s="34">
        <v>5.5191256830601096</v>
      </c>
      <c r="F239" s="34">
        <v>5.9581056466302398</v>
      </c>
      <c r="G239" s="15"/>
      <c r="H239" s="15"/>
      <c r="I239" s="15"/>
      <c r="J239" s="15"/>
      <c r="K239" s="15"/>
      <c r="L239" s="15"/>
      <c r="M239" s="15"/>
      <c r="N239" s="15"/>
      <c r="O239" s="3"/>
    </row>
    <row r="240" spans="1:15" ht="16.899999999999999" customHeight="1" x14ac:dyDescent="0.2">
      <c r="A240" s="77" t="s">
        <v>1051</v>
      </c>
      <c r="B240" s="77" t="s">
        <v>866</v>
      </c>
      <c r="C240" s="75" t="s">
        <v>223</v>
      </c>
      <c r="D240" s="34">
        <v>0</v>
      </c>
      <c r="E240" s="34">
        <v>0</v>
      </c>
      <c r="F240" s="34">
        <v>0</v>
      </c>
      <c r="G240" s="15"/>
      <c r="H240" s="15"/>
      <c r="I240" s="15"/>
      <c r="J240" s="15"/>
      <c r="K240" s="15"/>
      <c r="L240" s="15"/>
      <c r="M240" s="15"/>
      <c r="N240" s="15"/>
      <c r="O240" s="3"/>
    </row>
    <row r="241" spans="1:15" ht="16.899999999999999" customHeight="1" x14ac:dyDescent="0.2">
      <c r="A241" s="77" t="s">
        <v>1052</v>
      </c>
      <c r="B241" s="77" t="s">
        <v>868</v>
      </c>
      <c r="C241" s="75" t="s">
        <v>223</v>
      </c>
      <c r="D241" s="34">
        <v>0</v>
      </c>
      <c r="E241" s="34">
        <v>0</v>
      </c>
      <c r="F241" s="34">
        <v>0</v>
      </c>
      <c r="G241" s="15"/>
      <c r="H241" s="15"/>
      <c r="I241" s="15"/>
      <c r="J241" s="15"/>
      <c r="K241" s="15"/>
      <c r="L241" s="15"/>
      <c r="M241" s="15"/>
      <c r="N241" s="15"/>
      <c r="O241" s="3"/>
    </row>
    <row r="242" spans="1:15" ht="16.899999999999999" customHeight="1" x14ac:dyDescent="0.2">
      <c r="A242" s="77" t="s">
        <v>1053</v>
      </c>
      <c r="B242" s="77" t="s">
        <v>870</v>
      </c>
      <c r="C242" s="75" t="s">
        <v>223</v>
      </c>
      <c r="D242" s="34">
        <v>0</v>
      </c>
      <c r="E242" s="34">
        <v>0</v>
      </c>
      <c r="F242" s="34">
        <v>0</v>
      </c>
      <c r="G242" s="15"/>
      <c r="H242" s="15"/>
      <c r="I242" s="15"/>
      <c r="J242" s="15"/>
      <c r="K242" s="15"/>
      <c r="L242" s="15"/>
      <c r="M242" s="15"/>
      <c r="N242" s="15"/>
      <c r="O242" s="3"/>
    </row>
    <row r="243" spans="1:15" ht="16.899999999999999" customHeight="1" x14ac:dyDescent="0.2">
      <c r="A243" s="77" t="s">
        <v>1054</v>
      </c>
      <c r="B243" s="71" t="s">
        <v>238</v>
      </c>
      <c r="C243" s="63" t="s">
        <v>190</v>
      </c>
      <c r="D243" s="26">
        <f t="shared" ref="D243:N243" si="31">SUM(D228:D242)</f>
        <v>18122.178082191829</v>
      </c>
      <c r="E243" s="26">
        <f t="shared" si="31"/>
        <v>17813.177595628502</v>
      </c>
      <c r="F243" s="26">
        <f t="shared" si="31"/>
        <v>17452.103825136724</v>
      </c>
      <c r="G243" s="26">
        <f t="shared" si="31"/>
        <v>0</v>
      </c>
      <c r="H243" s="26">
        <f t="shared" si="31"/>
        <v>0</v>
      </c>
      <c r="I243" s="26">
        <f t="shared" si="31"/>
        <v>0</v>
      </c>
      <c r="J243" s="26">
        <f t="shared" si="31"/>
        <v>0</v>
      </c>
      <c r="K243" s="26">
        <f t="shared" si="31"/>
        <v>0</v>
      </c>
      <c r="L243" s="26">
        <f t="shared" si="31"/>
        <v>0</v>
      </c>
      <c r="M243" s="26">
        <f t="shared" si="31"/>
        <v>0</v>
      </c>
      <c r="N243" s="26">
        <f t="shared" si="31"/>
        <v>0</v>
      </c>
      <c r="O243" s="3"/>
    </row>
    <row r="244" spans="1:15" ht="17.649999999999999" customHeight="1" x14ac:dyDescent="0.25">
      <c r="A244" s="154"/>
      <c r="B244" s="121"/>
      <c r="C244" s="123"/>
      <c r="D244" s="109"/>
      <c r="E244" s="109"/>
      <c r="F244" s="109"/>
      <c r="G244" s="150"/>
      <c r="H244" s="150"/>
      <c r="I244" s="150"/>
      <c r="J244" s="150"/>
      <c r="K244" s="150"/>
      <c r="L244" s="150"/>
      <c r="M244" s="150"/>
      <c r="N244" s="150"/>
    </row>
    <row r="245" spans="1:15" ht="17.649999999999999" customHeight="1" x14ac:dyDescent="0.25">
      <c r="A245" s="49"/>
      <c r="B245" s="128" t="s">
        <v>255</v>
      </c>
      <c r="C245" s="116"/>
    </row>
    <row r="246" spans="1:15" ht="16.899999999999999" customHeight="1" x14ac:dyDescent="0.2">
      <c r="A246" s="77" t="s">
        <v>1055</v>
      </c>
      <c r="B246" s="77" t="s">
        <v>842</v>
      </c>
      <c r="C246" s="63" t="s">
        <v>223</v>
      </c>
      <c r="D246" s="34">
        <v>12689.4704109589</v>
      </c>
      <c r="E246" s="34">
        <v>28441.173885181601</v>
      </c>
      <c r="F246" s="34">
        <v>21216.9743153005</v>
      </c>
      <c r="G246" s="15"/>
      <c r="H246" s="15"/>
      <c r="I246" s="15"/>
      <c r="J246" s="15"/>
      <c r="K246" s="15"/>
      <c r="L246" s="15"/>
      <c r="M246" s="15"/>
      <c r="N246" s="15"/>
      <c r="O246" s="3"/>
    </row>
    <row r="247" spans="1:15" ht="16.899999999999999" customHeight="1" x14ac:dyDescent="0.2">
      <c r="A247" s="77" t="s">
        <v>1056</v>
      </c>
      <c r="B247" s="77" t="s">
        <v>844</v>
      </c>
      <c r="C247" s="63" t="s">
        <v>223</v>
      </c>
      <c r="D247" s="34">
        <v>217072.42502283101</v>
      </c>
      <c r="E247" s="34">
        <v>116891.843844923</v>
      </c>
      <c r="F247" s="34">
        <v>101830.112990346</v>
      </c>
      <c r="G247" s="15"/>
      <c r="H247" s="15"/>
      <c r="I247" s="15"/>
      <c r="J247" s="15"/>
      <c r="K247" s="15"/>
      <c r="L247" s="15"/>
      <c r="M247" s="15"/>
      <c r="N247" s="15"/>
      <c r="O247" s="3"/>
    </row>
    <row r="248" spans="1:15" ht="16.899999999999999" customHeight="1" x14ac:dyDescent="0.2">
      <c r="A248" s="77" t="s">
        <v>1057</v>
      </c>
      <c r="B248" s="77" t="s">
        <v>846</v>
      </c>
      <c r="C248" s="63" t="s">
        <v>223</v>
      </c>
      <c r="D248" s="34">
        <v>112530.58036529701</v>
      </c>
      <c r="E248" s="34">
        <v>240302.349910839</v>
      </c>
      <c r="F248" s="34">
        <v>211642.15268815999</v>
      </c>
      <c r="G248" s="15"/>
      <c r="H248" s="15"/>
      <c r="I248" s="15"/>
      <c r="J248" s="15"/>
      <c r="K248" s="15"/>
      <c r="L248" s="15"/>
      <c r="M248" s="15"/>
      <c r="N248" s="15"/>
      <c r="O248" s="3"/>
    </row>
    <row r="249" spans="1:15" ht="16.899999999999999" customHeight="1" x14ac:dyDescent="0.2">
      <c r="A249" s="77" t="s">
        <v>1058</v>
      </c>
      <c r="B249" s="77" t="s">
        <v>848</v>
      </c>
      <c r="C249" s="63" t="s">
        <v>223</v>
      </c>
      <c r="D249" s="34">
        <v>3503.5616438356201</v>
      </c>
      <c r="E249" s="34">
        <v>4564.8087431694003</v>
      </c>
      <c r="F249" s="34">
        <v>4114.8633879781401</v>
      </c>
      <c r="G249" s="15"/>
      <c r="H249" s="15"/>
      <c r="I249" s="15"/>
      <c r="J249" s="15"/>
      <c r="K249" s="15"/>
      <c r="L249" s="15"/>
      <c r="M249" s="15"/>
      <c r="N249" s="15"/>
      <c r="O249" s="3"/>
    </row>
    <row r="250" spans="1:15" ht="16.899999999999999" customHeight="1" x14ac:dyDescent="0.2">
      <c r="A250" s="77" t="s">
        <v>1059</v>
      </c>
      <c r="B250" s="77" t="s">
        <v>850</v>
      </c>
      <c r="C250" s="63" t="s">
        <v>223</v>
      </c>
      <c r="D250" s="34">
        <v>25725.552511415499</v>
      </c>
      <c r="E250" s="34">
        <v>1589.0437158469899</v>
      </c>
      <c r="F250" s="34">
        <v>11904.4899817851</v>
      </c>
      <c r="G250" s="15"/>
      <c r="H250" s="15"/>
      <c r="I250" s="15"/>
      <c r="J250" s="15"/>
      <c r="K250" s="15"/>
      <c r="L250" s="15"/>
      <c r="M250" s="15"/>
      <c r="N250" s="15"/>
      <c r="O250" s="3"/>
    </row>
    <row r="251" spans="1:15" ht="16.899999999999999" customHeight="1" x14ac:dyDescent="0.2">
      <c r="A251" s="77" t="s">
        <v>1060</v>
      </c>
      <c r="B251" s="77" t="s">
        <v>852</v>
      </c>
      <c r="C251" s="63" t="s">
        <v>223</v>
      </c>
      <c r="D251" s="34">
        <v>11564.0639269406</v>
      </c>
      <c r="E251" s="34">
        <v>2719.50819672131</v>
      </c>
      <c r="F251" s="34">
        <v>20413.0236794171</v>
      </c>
      <c r="G251" s="15"/>
      <c r="H251" s="15"/>
      <c r="I251" s="15"/>
      <c r="J251" s="15"/>
      <c r="K251" s="15"/>
      <c r="L251" s="15"/>
      <c r="M251" s="15"/>
      <c r="N251" s="15"/>
      <c r="O251" s="3"/>
    </row>
    <row r="252" spans="1:15" ht="16.899999999999999" customHeight="1" x14ac:dyDescent="0.2">
      <c r="A252" s="77" t="s">
        <v>1061</v>
      </c>
      <c r="B252" s="77" t="s">
        <v>854</v>
      </c>
      <c r="C252" s="63" t="s">
        <v>223</v>
      </c>
      <c r="D252" s="34">
        <v>1066.52054794521</v>
      </c>
      <c r="E252" s="34">
        <v>604.59016393442596</v>
      </c>
      <c r="F252" s="34">
        <v>802.62295081967204</v>
      </c>
      <c r="G252" s="15"/>
      <c r="H252" s="15"/>
      <c r="I252" s="15"/>
      <c r="J252" s="15"/>
      <c r="K252" s="15"/>
      <c r="L252" s="15"/>
      <c r="M252" s="15"/>
      <c r="N252" s="15"/>
      <c r="O252" s="3"/>
    </row>
    <row r="253" spans="1:15" ht="16.899999999999999" customHeight="1" x14ac:dyDescent="0.2">
      <c r="A253" s="77" t="s">
        <v>1062</v>
      </c>
      <c r="B253" s="77" t="s">
        <v>856</v>
      </c>
      <c r="C253" s="63" t="s">
        <v>223</v>
      </c>
      <c r="D253" s="34">
        <v>4010.0821917808198</v>
      </c>
      <c r="E253" s="34">
        <v>113.306010928962</v>
      </c>
      <c r="F253" s="34">
        <v>1846.9945355191301</v>
      </c>
      <c r="G253" s="15"/>
      <c r="H253" s="15"/>
      <c r="I253" s="15"/>
      <c r="J253" s="15"/>
      <c r="K253" s="15"/>
      <c r="L253" s="15"/>
      <c r="M253" s="15"/>
      <c r="N253" s="15"/>
      <c r="O253" s="3"/>
    </row>
    <row r="254" spans="1:15" ht="16.899999999999999" customHeight="1" x14ac:dyDescent="0.2">
      <c r="A254" s="77" t="s">
        <v>1063</v>
      </c>
      <c r="B254" s="77" t="s">
        <v>858</v>
      </c>
      <c r="C254" s="63" t="s">
        <v>223</v>
      </c>
      <c r="D254" s="34">
        <v>4172.7123287671202</v>
      </c>
      <c r="E254" s="34">
        <v>460.92896174863398</v>
      </c>
      <c r="F254" s="34">
        <v>7193.8797814207701</v>
      </c>
      <c r="G254" s="15"/>
      <c r="H254" s="15"/>
      <c r="I254" s="15"/>
      <c r="J254" s="15"/>
      <c r="K254" s="15"/>
      <c r="L254" s="15"/>
      <c r="M254" s="15"/>
      <c r="N254" s="15"/>
      <c r="O254" s="3"/>
    </row>
    <row r="255" spans="1:15" ht="16.899999999999999" customHeight="1" x14ac:dyDescent="0.2">
      <c r="A255" s="77" t="s">
        <v>1064</v>
      </c>
      <c r="B255" s="77" t="s">
        <v>860</v>
      </c>
      <c r="C255" s="63" t="s">
        <v>223</v>
      </c>
      <c r="D255" s="34">
        <v>1402.9589041095901</v>
      </c>
      <c r="E255" s="34">
        <v>1819.6721311475401</v>
      </c>
      <c r="F255" s="34">
        <v>3109.6174863388001</v>
      </c>
      <c r="G255" s="15"/>
      <c r="H255" s="15"/>
      <c r="I255" s="15"/>
      <c r="J255" s="15"/>
      <c r="K255" s="15"/>
      <c r="L255" s="15"/>
      <c r="M255" s="15"/>
      <c r="N255" s="15"/>
      <c r="O255" s="3"/>
    </row>
    <row r="256" spans="1:15" ht="16.899999999999999" customHeight="1" x14ac:dyDescent="0.2">
      <c r="A256" s="77" t="s">
        <v>1065</v>
      </c>
      <c r="B256" s="77" t="s">
        <v>862</v>
      </c>
      <c r="C256" s="63" t="s">
        <v>223</v>
      </c>
      <c r="D256" s="34">
        <v>8417.7534246575306</v>
      </c>
      <c r="E256" s="34">
        <v>65.792349726775996</v>
      </c>
      <c r="F256" s="34">
        <v>3530.1639344262298</v>
      </c>
      <c r="G256" s="15"/>
      <c r="H256" s="15"/>
      <c r="I256" s="15"/>
      <c r="J256" s="15"/>
      <c r="K256" s="15"/>
      <c r="L256" s="15"/>
      <c r="M256" s="15"/>
      <c r="N256" s="15"/>
      <c r="O256" s="3"/>
    </row>
    <row r="257" spans="1:15" ht="16.899999999999999" customHeight="1" x14ac:dyDescent="0.2">
      <c r="A257" s="77" t="s">
        <v>1066</v>
      </c>
      <c r="B257" s="77" t="s">
        <v>864</v>
      </c>
      <c r="C257" s="63" t="s">
        <v>223</v>
      </c>
      <c r="D257" s="34">
        <v>5880.8036529680403</v>
      </c>
      <c r="E257" s="34">
        <v>165.573770491803</v>
      </c>
      <c r="F257" s="34">
        <v>8817.9963570127493</v>
      </c>
      <c r="G257" s="15"/>
      <c r="H257" s="15"/>
      <c r="I257" s="15"/>
      <c r="J257" s="15"/>
      <c r="K257" s="15"/>
      <c r="L257" s="15"/>
      <c r="M257" s="15"/>
      <c r="N257" s="15"/>
      <c r="O257" s="3"/>
    </row>
    <row r="258" spans="1:15" ht="16.899999999999999" customHeight="1" x14ac:dyDescent="0.2">
      <c r="A258" s="77" t="s">
        <v>1067</v>
      </c>
      <c r="B258" s="77" t="s">
        <v>866</v>
      </c>
      <c r="C258" s="63" t="s">
        <v>223</v>
      </c>
      <c r="D258" s="34">
        <v>0</v>
      </c>
      <c r="E258" s="34">
        <v>0</v>
      </c>
      <c r="F258" s="34">
        <v>0</v>
      </c>
      <c r="G258" s="15"/>
      <c r="H258" s="15"/>
      <c r="I258" s="15"/>
      <c r="J258" s="15"/>
      <c r="K258" s="15"/>
      <c r="L258" s="15"/>
      <c r="M258" s="15"/>
      <c r="N258" s="15"/>
      <c r="O258" s="3"/>
    </row>
    <row r="259" spans="1:15" ht="16.899999999999999" customHeight="1" x14ac:dyDescent="0.2">
      <c r="A259" s="77" t="s">
        <v>1068</v>
      </c>
      <c r="B259" s="77" t="s">
        <v>868</v>
      </c>
      <c r="C259" s="63" t="s">
        <v>223</v>
      </c>
      <c r="D259" s="34">
        <v>0</v>
      </c>
      <c r="E259" s="34">
        <v>0</v>
      </c>
      <c r="F259" s="34">
        <v>0</v>
      </c>
      <c r="G259" s="15"/>
      <c r="H259" s="15"/>
      <c r="I259" s="15"/>
      <c r="J259" s="15"/>
      <c r="K259" s="15"/>
      <c r="L259" s="15"/>
      <c r="M259" s="15"/>
      <c r="N259" s="15"/>
      <c r="O259" s="3"/>
    </row>
    <row r="260" spans="1:15" ht="16.899999999999999" customHeight="1" x14ac:dyDescent="0.2">
      <c r="A260" s="77" t="s">
        <v>1069</v>
      </c>
      <c r="B260" s="77" t="s">
        <v>870</v>
      </c>
      <c r="C260" s="63" t="s">
        <v>223</v>
      </c>
      <c r="D260" s="34">
        <v>0</v>
      </c>
      <c r="E260" s="34">
        <v>0</v>
      </c>
      <c r="F260" s="34">
        <v>0</v>
      </c>
      <c r="G260" s="15"/>
      <c r="H260" s="15"/>
      <c r="I260" s="15"/>
      <c r="J260" s="15"/>
      <c r="K260" s="15"/>
      <c r="L260" s="15"/>
      <c r="M260" s="15"/>
      <c r="N260" s="15"/>
      <c r="O260" s="3"/>
    </row>
    <row r="261" spans="1:15" ht="16.899999999999999" customHeight="1" x14ac:dyDescent="0.2">
      <c r="A261" s="77" t="s">
        <v>1070</v>
      </c>
      <c r="B261" s="77" t="s">
        <v>238</v>
      </c>
      <c r="C261" s="63" t="s">
        <v>190</v>
      </c>
      <c r="D261" s="26">
        <f t="shared" ref="D261:N261" si="32">SUM(D246:D260)</f>
        <v>408036.48493150692</v>
      </c>
      <c r="E261" s="26">
        <f t="shared" si="32"/>
        <v>397738.59168465948</v>
      </c>
      <c r="F261" s="26">
        <f t="shared" si="32"/>
        <v>396422.89208852407</v>
      </c>
      <c r="G261" s="26">
        <f t="shared" si="32"/>
        <v>0</v>
      </c>
      <c r="H261" s="26">
        <f t="shared" si="32"/>
        <v>0</v>
      </c>
      <c r="I261" s="26">
        <f t="shared" si="32"/>
        <v>0</v>
      </c>
      <c r="J261" s="26">
        <f t="shared" si="32"/>
        <v>0</v>
      </c>
      <c r="K261" s="26">
        <f t="shared" si="32"/>
        <v>0</v>
      </c>
      <c r="L261" s="26">
        <f t="shared" si="32"/>
        <v>0</v>
      </c>
      <c r="M261" s="26">
        <f t="shared" si="32"/>
        <v>0</v>
      </c>
      <c r="N261" s="26">
        <f t="shared" si="32"/>
        <v>0</v>
      </c>
      <c r="O261" s="3"/>
    </row>
    <row r="262" spans="1:15" ht="16.899999999999999" customHeight="1" x14ac:dyDescent="0.25">
      <c r="A262" s="150"/>
      <c r="B262" s="109"/>
      <c r="C262" s="110"/>
      <c r="D262" s="153"/>
      <c r="E262" s="153"/>
      <c r="F262" s="153"/>
      <c r="G262" s="150"/>
      <c r="H262" s="150"/>
      <c r="I262" s="150"/>
      <c r="J262" s="150"/>
      <c r="K262" s="150"/>
      <c r="L262" s="150"/>
      <c r="M262" s="150"/>
      <c r="N262" s="150"/>
    </row>
    <row r="263" spans="1:15" ht="16.899999999999999" customHeight="1" x14ac:dyDescent="0.2"/>
    <row r="264" spans="1:15" ht="17.649999999999999" customHeight="1" x14ac:dyDescent="0.25">
      <c r="A264" s="49"/>
      <c r="B264" s="128" t="s">
        <v>888</v>
      </c>
      <c r="C264" s="129"/>
      <c r="D264" s="158"/>
      <c r="E264" s="158"/>
      <c r="F264" s="158"/>
      <c r="G264" s="159"/>
    </row>
    <row r="265" spans="1:15" ht="16.899999999999999" customHeight="1" x14ac:dyDescent="0.2">
      <c r="A265" s="77" t="s">
        <v>1071</v>
      </c>
      <c r="B265" s="77" t="s">
        <v>265</v>
      </c>
      <c r="C265" s="129" t="s">
        <v>223</v>
      </c>
      <c r="D265" s="34">
        <v>199513.16082191799</v>
      </c>
      <c r="E265" s="34">
        <v>293754.202853825</v>
      </c>
      <c r="F265" s="34">
        <v>303853.97284644801</v>
      </c>
      <c r="G265" s="15"/>
      <c r="H265" s="15"/>
      <c r="I265" s="15"/>
      <c r="J265" s="15"/>
      <c r="K265" s="15"/>
      <c r="L265" s="15"/>
      <c r="M265" s="15"/>
      <c r="N265" s="15"/>
      <c r="O265" s="3"/>
    </row>
    <row r="266" spans="1:15" ht="16.899999999999999" customHeight="1" x14ac:dyDescent="0.25">
      <c r="A266" s="154"/>
      <c r="B266" s="106"/>
      <c r="C266" s="120"/>
      <c r="D266" s="160"/>
      <c r="E266" s="160"/>
      <c r="F266" s="160"/>
      <c r="G266" s="150"/>
      <c r="H266" s="150"/>
      <c r="I266" s="150"/>
      <c r="J266" s="150"/>
      <c r="K266" s="150"/>
      <c r="L266" s="150"/>
      <c r="M266" s="150"/>
      <c r="N266" s="150"/>
    </row>
    <row r="267" spans="1:15" ht="17.649999999999999" customHeight="1" x14ac:dyDescent="0.25">
      <c r="A267" s="49"/>
      <c r="B267" s="128" t="s">
        <v>895</v>
      </c>
      <c r="C267" s="129"/>
      <c r="D267" s="158"/>
      <c r="E267" s="158"/>
      <c r="F267" s="158"/>
      <c r="G267" s="159"/>
    </row>
    <row r="268" spans="1:15" ht="16.899999999999999" customHeight="1" x14ac:dyDescent="0.2">
      <c r="A268" s="77" t="s">
        <v>1072</v>
      </c>
      <c r="B268" s="77" t="s">
        <v>265</v>
      </c>
      <c r="C268" s="129" t="s">
        <v>223</v>
      </c>
      <c r="D268" s="34">
        <v>2485162.5882191798</v>
      </c>
      <c r="E268" s="34">
        <v>1173094.50907679</v>
      </c>
      <c r="F268" s="34">
        <v>1172632.5831287799</v>
      </c>
      <c r="G268" s="15"/>
      <c r="H268" s="15"/>
      <c r="I268" s="15"/>
      <c r="J268" s="15"/>
      <c r="K268" s="15"/>
      <c r="L268" s="15"/>
      <c r="M268" s="15"/>
      <c r="N268" s="15"/>
      <c r="O268" s="3"/>
    </row>
    <row r="269" spans="1:15" ht="16.899999999999999" customHeight="1" x14ac:dyDescent="0.25">
      <c r="A269" s="154"/>
      <c r="B269" s="106"/>
      <c r="C269" s="120"/>
      <c r="D269" s="160"/>
      <c r="E269" s="160"/>
      <c r="F269" s="160"/>
      <c r="G269" s="150"/>
      <c r="H269" s="150"/>
      <c r="I269" s="150"/>
      <c r="J269" s="150"/>
      <c r="K269" s="150"/>
      <c r="L269" s="150"/>
      <c r="M269" s="150"/>
      <c r="N269" s="150"/>
    </row>
    <row r="270" spans="1:15" ht="17.649999999999999" customHeight="1" x14ac:dyDescent="0.25">
      <c r="A270" s="49"/>
      <c r="B270" s="128" t="s">
        <v>902</v>
      </c>
      <c r="C270" s="129"/>
      <c r="D270" s="158"/>
      <c r="E270" s="158"/>
      <c r="F270" s="158"/>
      <c r="G270" s="159"/>
    </row>
    <row r="271" spans="1:15" ht="16.899999999999999" customHeight="1" x14ac:dyDescent="0.2">
      <c r="A271" s="77" t="s">
        <v>1073</v>
      </c>
      <c r="B271" s="77" t="s">
        <v>265</v>
      </c>
      <c r="C271" s="129" t="s">
        <v>223</v>
      </c>
      <c r="D271" s="34">
        <v>1311869.6532876701</v>
      </c>
      <c r="E271" s="34">
        <v>2422182.07278834</v>
      </c>
      <c r="F271" s="34">
        <v>2406412.3636003602</v>
      </c>
      <c r="G271" s="15"/>
      <c r="H271" s="15"/>
      <c r="I271" s="15"/>
      <c r="J271" s="15"/>
      <c r="K271" s="15"/>
      <c r="L271" s="15"/>
      <c r="M271" s="15"/>
      <c r="N271" s="15"/>
      <c r="O271" s="3"/>
    </row>
    <row r="272" spans="1:15" ht="16.899999999999999" customHeight="1" x14ac:dyDescent="0.25">
      <c r="A272" s="150"/>
      <c r="B272" s="109"/>
      <c r="C272" s="110"/>
      <c r="D272" s="153"/>
      <c r="E272" s="153"/>
      <c r="F272" s="153"/>
      <c r="G272" s="150"/>
      <c r="H272" s="150"/>
      <c r="I272" s="150"/>
      <c r="J272" s="150"/>
      <c r="K272" s="150"/>
      <c r="L272" s="150"/>
      <c r="M272" s="150"/>
      <c r="N272" s="150"/>
    </row>
    <row r="273" spans="1:15" ht="17.649999999999999" customHeight="1" x14ac:dyDescent="0.2"/>
    <row r="274" spans="1:15" ht="17.649999999999999" customHeight="1" x14ac:dyDescent="0.25">
      <c r="A274" s="49"/>
      <c r="B274" s="128" t="s">
        <v>282</v>
      </c>
      <c r="C274" s="116"/>
    </row>
    <row r="275" spans="1:15" ht="16.899999999999999" customHeight="1" x14ac:dyDescent="0.2">
      <c r="A275" s="77" t="s">
        <v>1074</v>
      </c>
      <c r="B275" s="71" t="s">
        <v>910</v>
      </c>
      <c r="C275" s="129" t="s">
        <v>223</v>
      </c>
      <c r="D275" s="34">
        <v>48</v>
      </c>
      <c r="E275" s="34">
        <v>49</v>
      </c>
      <c r="F275" s="34">
        <v>49</v>
      </c>
      <c r="G275" s="15"/>
      <c r="H275" s="15"/>
      <c r="I275" s="15"/>
      <c r="J275" s="15"/>
      <c r="K275" s="15"/>
      <c r="L275" s="15"/>
      <c r="M275" s="15"/>
      <c r="N275" s="15"/>
      <c r="O275" s="3"/>
    </row>
    <row r="276" spans="1:15" ht="16.899999999999999" customHeight="1" x14ac:dyDescent="0.2">
      <c r="A276" s="77" t="s">
        <v>1075</v>
      </c>
      <c r="B276" s="71" t="s">
        <v>912</v>
      </c>
      <c r="C276" s="129" t="s">
        <v>223</v>
      </c>
      <c r="D276" s="34">
        <v>47</v>
      </c>
      <c r="E276" s="34">
        <v>47</v>
      </c>
      <c r="F276" s="34">
        <v>47</v>
      </c>
      <c r="G276" s="15"/>
      <c r="H276" s="15"/>
      <c r="I276" s="15"/>
      <c r="J276" s="15"/>
      <c r="K276" s="15"/>
      <c r="L276" s="15"/>
      <c r="M276" s="15"/>
      <c r="N276" s="15"/>
      <c r="O276" s="3"/>
    </row>
    <row r="277" spans="1:15" ht="16.899999999999999" customHeight="1" x14ac:dyDescent="0.2">
      <c r="A277" s="77" t="s">
        <v>1076</v>
      </c>
      <c r="B277" s="71" t="s">
        <v>914</v>
      </c>
      <c r="C277" s="129" t="s">
        <v>223</v>
      </c>
      <c r="D277" s="34">
        <v>50</v>
      </c>
      <c r="E277" s="34">
        <v>50</v>
      </c>
      <c r="F277" s="34">
        <v>50</v>
      </c>
      <c r="G277" s="15"/>
      <c r="H277" s="15"/>
      <c r="I277" s="15"/>
      <c r="J277" s="15"/>
      <c r="K277" s="15"/>
      <c r="L277" s="15"/>
      <c r="M277" s="15"/>
      <c r="N277" s="15"/>
      <c r="O277" s="3"/>
    </row>
    <row r="278" spans="1:15" ht="16.899999999999999" customHeight="1" x14ac:dyDescent="0.2">
      <c r="A278" s="77" t="s">
        <v>1077</v>
      </c>
      <c r="B278" s="71" t="s">
        <v>916</v>
      </c>
      <c r="C278" s="129" t="s">
        <v>223</v>
      </c>
      <c r="D278" s="34">
        <v>101</v>
      </c>
      <c r="E278" s="34">
        <v>102</v>
      </c>
      <c r="F278" s="34">
        <v>102</v>
      </c>
      <c r="G278" s="15"/>
      <c r="H278" s="15"/>
      <c r="I278" s="15"/>
      <c r="J278" s="15"/>
      <c r="K278" s="15"/>
      <c r="L278" s="15"/>
      <c r="M278" s="15"/>
      <c r="N278" s="15"/>
      <c r="O278" s="3"/>
    </row>
    <row r="279" spans="1:15" ht="16.899999999999999" customHeight="1" x14ac:dyDescent="0.2">
      <c r="A279" s="77" t="s">
        <v>1078</v>
      </c>
      <c r="B279" s="71" t="s">
        <v>918</v>
      </c>
      <c r="C279" s="129" t="s">
        <v>223</v>
      </c>
      <c r="D279" s="34">
        <v>100</v>
      </c>
      <c r="E279" s="34">
        <v>100</v>
      </c>
      <c r="F279" s="34">
        <v>100</v>
      </c>
      <c r="G279" s="15"/>
      <c r="H279" s="15"/>
      <c r="I279" s="15"/>
      <c r="J279" s="15"/>
      <c r="K279" s="15"/>
      <c r="L279" s="15"/>
      <c r="M279" s="15"/>
      <c r="N279" s="15"/>
      <c r="O279" s="3"/>
    </row>
    <row r="280" spans="1:15" ht="16.899999999999999" customHeight="1" x14ac:dyDescent="0.2">
      <c r="A280" s="77" t="s">
        <v>1079</v>
      </c>
      <c r="B280" s="71" t="s">
        <v>920</v>
      </c>
      <c r="C280" s="129" t="s">
        <v>223</v>
      </c>
      <c r="D280" s="34">
        <v>103</v>
      </c>
      <c r="E280" s="34">
        <v>103</v>
      </c>
      <c r="F280" s="34">
        <v>103</v>
      </c>
      <c r="G280" s="15"/>
      <c r="H280" s="15"/>
      <c r="I280" s="15"/>
      <c r="J280" s="15"/>
      <c r="K280" s="15"/>
      <c r="L280" s="15"/>
      <c r="M280" s="15"/>
      <c r="N280" s="15"/>
      <c r="O280" s="3"/>
    </row>
    <row r="281" spans="1:15" ht="16.899999999999999" customHeight="1" x14ac:dyDescent="0.2">
      <c r="A281" s="77" t="s">
        <v>1080</v>
      </c>
      <c r="B281" s="71" t="s">
        <v>922</v>
      </c>
      <c r="C281" s="129" t="s">
        <v>223</v>
      </c>
      <c r="D281" s="34">
        <v>397</v>
      </c>
      <c r="E281" s="34">
        <v>404</v>
      </c>
      <c r="F281" s="34">
        <v>404</v>
      </c>
      <c r="G281" s="15"/>
      <c r="H281" s="15"/>
      <c r="I281" s="15"/>
      <c r="J281" s="15"/>
      <c r="K281" s="15"/>
      <c r="L281" s="15"/>
      <c r="M281" s="15"/>
      <c r="N281" s="15"/>
      <c r="O281" s="3"/>
    </row>
    <row r="282" spans="1:15" ht="16.899999999999999" customHeight="1" x14ac:dyDescent="0.2">
      <c r="A282" s="77" t="s">
        <v>1081</v>
      </c>
      <c r="B282" s="71" t="s">
        <v>924</v>
      </c>
      <c r="C282" s="129" t="s">
        <v>223</v>
      </c>
      <c r="D282" s="34">
        <v>389</v>
      </c>
      <c r="E282" s="34">
        <v>389</v>
      </c>
      <c r="F282" s="34">
        <v>389</v>
      </c>
      <c r="G282" s="15"/>
      <c r="H282" s="15"/>
      <c r="I282" s="15"/>
      <c r="J282" s="15"/>
      <c r="K282" s="15"/>
      <c r="L282" s="15"/>
      <c r="M282" s="15"/>
      <c r="N282" s="15"/>
      <c r="O282" s="3"/>
    </row>
    <row r="283" spans="1:15" ht="16.899999999999999" customHeight="1" x14ac:dyDescent="0.2">
      <c r="A283" s="77" t="s">
        <v>1082</v>
      </c>
      <c r="B283" s="71" t="s">
        <v>926</v>
      </c>
      <c r="C283" s="129" t="s">
        <v>223</v>
      </c>
      <c r="D283" s="34">
        <v>412</v>
      </c>
      <c r="E283" s="34">
        <v>412</v>
      </c>
      <c r="F283" s="34">
        <v>412</v>
      </c>
      <c r="G283" s="15"/>
      <c r="H283" s="15"/>
      <c r="I283" s="15"/>
      <c r="J283" s="15"/>
      <c r="K283" s="15"/>
      <c r="L283" s="15"/>
      <c r="M283" s="15"/>
      <c r="N283" s="15"/>
      <c r="O283" s="3"/>
    </row>
    <row r="284" spans="1:15" ht="16.899999999999999" customHeight="1" x14ac:dyDescent="0.2">
      <c r="A284" s="77" t="s">
        <v>1083</v>
      </c>
      <c r="B284" s="71" t="s">
        <v>928</v>
      </c>
      <c r="C284" s="129" t="s">
        <v>223</v>
      </c>
      <c r="D284" s="34">
        <v>593</v>
      </c>
      <c r="E284" s="34">
        <v>605</v>
      </c>
      <c r="F284" s="34">
        <v>605</v>
      </c>
      <c r="G284" s="15"/>
      <c r="H284" s="15"/>
      <c r="I284" s="15"/>
      <c r="J284" s="15"/>
      <c r="K284" s="15"/>
      <c r="L284" s="15"/>
      <c r="M284" s="15"/>
      <c r="N284" s="15"/>
      <c r="O284" s="3"/>
    </row>
    <row r="285" spans="1:15" ht="16.899999999999999" customHeight="1" x14ac:dyDescent="0.2">
      <c r="A285" s="77" t="s">
        <v>1084</v>
      </c>
      <c r="B285" s="71" t="s">
        <v>930</v>
      </c>
      <c r="C285" s="129" t="s">
        <v>223</v>
      </c>
      <c r="D285" s="34">
        <v>581</v>
      </c>
      <c r="E285" s="34">
        <v>581</v>
      </c>
      <c r="F285" s="34">
        <v>581</v>
      </c>
      <c r="G285" s="15"/>
      <c r="H285" s="15"/>
      <c r="I285" s="15"/>
      <c r="J285" s="15"/>
      <c r="K285" s="15"/>
      <c r="L285" s="15"/>
      <c r="M285" s="15"/>
      <c r="N285" s="15"/>
      <c r="O285" s="3"/>
    </row>
    <row r="286" spans="1:15" ht="16.899999999999999" customHeight="1" x14ac:dyDescent="0.2">
      <c r="A286" s="77" t="s">
        <v>1085</v>
      </c>
      <c r="B286" s="77" t="s">
        <v>932</v>
      </c>
      <c r="C286" s="129" t="s">
        <v>223</v>
      </c>
      <c r="D286" s="34">
        <v>617</v>
      </c>
      <c r="E286" s="34">
        <v>617</v>
      </c>
      <c r="F286" s="34">
        <v>617</v>
      </c>
      <c r="G286" s="15"/>
      <c r="H286" s="15"/>
      <c r="I286" s="15"/>
      <c r="J286" s="15"/>
      <c r="K286" s="15"/>
      <c r="L286" s="15"/>
      <c r="M286" s="15"/>
      <c r="N286" s="15"/>
      <c r="O286" s="3"/>
    </row>
    <row r="287" spans="1:15" ht="16.899999999999999" customHeight="1" x14ac:dyDescent="0.2">
      <c r="A287" s="77" t="s">
        <v>1086</v>
      </c>
      <c r="B287" s="77" t="s">
        <v>934</v>
      </c>
      <c r="C287" s="129" t="s">
        <v>223</v>
      </c>
      <c r="D287" s="34">
        <v>1607</v>
      </c>
      <c r="E287" s="34">
        <v>1639</v>
      </c>
      <c r="F287" s="34">
        <v>1639</v>
      </c>
      <c r="G287" s="15"/>
      <c r="H287" s="15"/>
      <c r="I287" s="15"/>
      <c r="J287" s="15"/>
      <c r="K287" s="15"/>
      <c r="L287" s="15"/>
      <c r="M287" s="15"/>
      <c r="N287" s="15"/>
      <c r="O287" s="3"/>
    </row>
    <row r="288" spans="1:15" ht="16.899999999999999" customHeight="1" x14ac:dyDescent="0.2">
      <c r="A288" s="77" t="s">
        <v>1087</v>
      </c>
      <c r="B288" s="77" t="s">
        <v>936</v>
      </c>
      <c r="C288" s="129" t="s">
        <v>223</v>
      </c>
      <c r="D288" s="34">
        <v>1575</v>
      </c>
      <c r="E288" s="34">
        <v>1575</v>
      </c>
      <c r="F288" s="34">
        <v>1575</v>
      </c>
      <c r="G288" s="15"/>
      <c r="H288" s="15"/>
      <c r="I288" s="15"/>
      <c r="J288" s="15"/>
      <c r="K288" s="15"/>
      <c r="L288" s="15"/>
      <c r="M288" s="15"/>
      <c r="N288" s="15"/>
      <c r="O288" s="3"/>
    </row>
    <row r="289" spans="1:15" ht="16.899999999999999" customHeight="1" x14ac:dyDescent="0.2">
      <c r="A289" s="77" t="s">
        <v>1088</v>
      </c>
      <c r="B289" s="71" t="s">
        <v>938</v>
      </c>
      <c r="C289" s="129" t="s">
        <v>223</v>
      </c>
      <c r="D289" s="34">
        <v>1672</v>
      </c>
      <c r="E289" s="34">
        <v>1672</v>
      </c>
      <c r="F289" s="34">
        <v>1672</v>
      </c>
      <c r="G289" s="15"/>
      <c r="H289" s="15"/>
      <c r="I289" s="15"/>
      <c r="J289" s="15"/>
      <c r="K289" s="15"/>
      <c r="L289" s="15"/>
      <c r="M289" s="15"/>
      <c r="N289" s="15"/>
      <c r="O289" s="3"/>
    </row>
    <row r="290" spans="1:15" ht="17.649999999999999" customHeight="1" x14ac:dyDescent="0.25">
      <c r="A290" s="154"/>
      <c r="B290" s="121"/>
      <c r="C290" s="123"/>
      <c r="D290" s="109"/>
      <c r="E290" s="109"/>
      <c r="F290" s="109"/>
      <c r="G290" s="150"/>
      <c r="H290" s="150"/>
      <c r="I290" s="150"/>
      <c r="J290" s="150"/>
      <c r="K290" s="150"/>
      <c r="L290" s="150"/>
      <c r="M290" s="150"/>
      <c r="N290" s="150"/>
    </row>
    <row r="291" spans="1:15" ht="17.649999999999999" customHeight="1" x14ac:dyDescent="0.25">
      <c r="A291" s="49"/>
      <c r="B291" s="128" t="s">
        <v>542</v>
      </c>
      <c r="C291" s="116"/>
    </row>
    <row r="292" spans="1:15" ht="16.899999999999999" customHeight="1" x14ac:dyDescent="0.2">
      <c r="A292" s="77" t="s">
        <v>1089</v>
      </c>
      <c r="B292" s="71" t="s">
        <v>941</v>
      </c>
      <c r="C292" s="129" t="s">
        <v>223</v>
      </c>
      <c r="D292" s="133">
        <v>0.67400000000000004</v>
      </c>
      <c r="E292" s="133">
        <v>0.6875</v>
      </c>
      <c r="F292" s="133">
        <v>0.6875</v>
      </c>
      <c r="G292" s="15"/>
      <c r="H292" s="15"/>
      <c r="I292" s="15"/>
      <c r="J292" s="15"/>
      <c r="K292" s="15"/>
      <c r="L292" s="15"/>
      <c r="M292" s="15"/>
      <c r="N292" s="15"/>
      <c r="O292" s="3"/>
    </row>
    <row r="293" spans="1:15" ht="16.899999999999999" customHeight="1" x14ac:dyDescent="0.2">
      <c r="A293" s="77" t="s">
        <v>1090</v>
      </c>
      <c r="B293" s="71" t="s">
        <v>943</v>
      </c>
      <c r="C293" s="129" t="s">
        <v>223</v>
      </c>
      <c r="D293" s="133">
        <v>0.66080000000000005</v>
      </c>
      <c r="E293" s="133">
        <v>0.66080000000000005</v>
      </c>
      <c r="F293" s="133">
        <v>0.66080000000000005</v>
      </c>
      <c r="G293" s="15"/>
      <c r="H293" s="15"/>
      <c r="I293" s="15"/>
      <c r="J293" s="15"/>
      <c r="K293" s="15"/>
      <c r="L293" s="15"/>
      <c r="M293" s="15"/>
      <c r="N293" s="15"/>
      <c r="O293" s="3"/>
    </row>
    <row r="294" spans="1:15" ht="16.899999999999999" customHeight="1" x14ac:dyDescent="0.2">
      <c r="A294" s="77" t="s">
        <v>1091</v>
      </c>
      <c r="B294" s="71" t="s">
        <v>945</v>
      </c>
      <c r="C294" s="129" t="s">
        <v>223</v>
      </c>
      <c r="D294" s="133">
        <v>0.70130000000000003</v>
      </c>
      <c r="E294" s="133">
        <v>0.70130000000000003</v>
      </c>
      <c r="F294" s="133">
        <v>0.70130000000000003</v>
      </c>
      <c r="G294" s="15"/>
      <c r="H294" s="15"/>
      <c r="I294" s="15"/>
      <c r="J294" s="15"/>
      <c r="K294" s="15"/>
      <c r="L294" s="15"/>
      <c r="M294" s="15"/>
      <c r="N294" s="15"/>
      <c r="O294" s="3"/>
    </row>
    <row r="295" spans="1:15" ht="16.899999999999999" customHeight="1" x14ac:dyDescent="0.2">
      <c r="A295" s="77" t="s">
        <v>1092</v>
      </c>
      <c r="B295" s="71" t="s">
        <v>1093</v>
      </c>
      <c r="C295" s="129" t="s">
        <v>223</v>
      </c>
      <c r="D295" s="133">
        <v>0.80769999999999997</v>
      </c>
      <c r="E295" s="133">
        <v>0.82389999999999997</v>
      </c>
      <c r="F295" s="133">
        <v>0.82389999999999997</v>
      </c>
      <c r="G295" s="15"/>
      <c r="H295" s="15"/>
      <c r="I295" s="15"/>
      <c r="J295" s="15"/>
      <c r="K295" s="15"/>
      <c r="L295" s="15"/>
      <c r="M295" s="15"/>
      <c r="N295" s="15"/>
      <c r="O295" s="3"/>
    </row>
    <row r="296" spans="1:15" ht="16.899999999999999" customHeight="1" x14ac:dyDescent="0.2">
      <c r="A296" s="77" t="s">
        <v>1094</v>
      </c>
      <c r="B296" s="71" t="s">
        <v>1095</v>
      </c>
      <c r="C296" s="129" t="s">
        <v>223</v>
      </c>
      <c r="D296" s="133">
        <v>0.79190000000000005</v>
      </c>
      <c r="E296" s="133">
        <v>0.79190000000000005</v>
      </c>
      <c r="F296" s="133">
        <v>0.79190000000000005</v>
      </c>
      <c r="G296" s="15"/>
      <c r="H296" s="15"/>
      <c r="I296" s="15"/>
      <c r="J296" s="15"/>
      <c r="K296" s="15"/>
      <c r="L296" s="15"/>
      <c r="M296" s="15"/>
      <c r="N296" s="15"/>
      <c r="O296" s="3"/>
    </row>
    <row r="297" spans="1:15" ht="16.899999999999999" customHeight="1" x14ac:dyDescent="0.2">
      <c r="A297" s="77" t="s">
        <v>1096</v>
      </c>
      <c r="B297" s="71" t="s">
        <v>1097</v>
      </c>
      <c r="C297" s="129" t="s">
        <v>223</v>
      </c>
      <c r="D297" s="133">
        <v>0.84040000000000004</v>
      </c>
      <c r="E297" s="133">
        <v>0.84040000000000004</v>
      </c>
      <c r="F297" s="133">
        <v>0.84040000000000004</v>
      </c>
      <c r="G297" s="15"/>
      <c r="H297" s="15"/>
      <c r="I297" s="15"/>
      <c r="J297" s="15"/>
      <c r="K297" s="15"/>
      <c r="L297" s="15"/>
      <c r="M297" s="15"/>
      <c r="N297" s="15"/>
      <c r="O297" s="3"/>
    </row>
    <row r="298" spans="1:15" ht="17.649999999999999" customHeight="1" x14ac:dyDescent="0.25">
      <c r="A298" s="154"/>
      <c r="B298" s="121"/>
      <c r="C298" s="123"/>
      <c r="D298" s="109"/>
      <c r="E298" s="109"/>
      <c r="F298" s="109"/>
      <c r="G298" s="150"/>
      <c r="H298" s="150"/>
      <c r="I298" s="150"/>
      <c r="J298" s="150"/>
      <c r="K298" s="150"/>
      <c r="L298" s="150"/>
      <c r="M298" s="150"/>
      <c r="N298" s="150"/>
    </row>
    <row r="299" spans="1:15" ht="17.649999999999999" customHeight="1" x14ac:dyDescent="0.25">
      <c r="A299" s="49"/>
      <c r="B299" s="128" t="s">
        <v>311</v>
      </c>
      <c r="C299" s="116"/>
    </row>
    <row r="300" spans="1:15" ht="16.899999999999999" customHeight="1" x14ac:dyDescent="0.2">
      <c r="A300" s="77" t="s">
        <v>1098</v>
      </c>
      <c r="B300" s="71" t="s">
        <v>313</v>
      </c>
      <c r="C300" s="129" t="s">
        <v>223</v>
      </c>
      <c r="D300" s="34">
        <v>6240</v>
      </c>
      <c r="E300" s="34">
        <v>6027</v>
      </c>
      <c r="F300" s="34">
        <v>6204.7731936415103</v>
      </c>
      <c r="G300" s="15"/>
      <c r="H300" s="15"/>
      <c r="I300" s="15"/>
      <c r="J300" s="15"/>
      <c r="K300" s="15"/>
      <c r="L300" s="15"/>
      <c r="M300" s="15"/>
      <c r="N300" s="15"/>
      <c r="O300" s="3"/>
    </row>
    <row r="301" spans="1:15" ht="16.899999999999999" customHeight="1" x14ac:dyDescent="0.2">
      <c r="A301" s="77" t="s">
        <v>1099</v>
      </c>
      <c r="B301" s="71" t="s">
        <v>316</v>
      </c>
      <c r="C301" s="129" t="s">
        <v>223</v>
      </c>
      <c r="D301" s="34">
        <v>-13.51</v>
      </c>
      <c r="E301" s="34">
        <v>-13.8</v>
      </c>
      <c r="F301" s="34">
        <v>-13.8</v>
      </c>
      <c r="G301" s="15"/>
      <c r="H301" s="15"/>
      <c r="I301" s="15"/>
      <c r="J301" s="15"/>
      <c r="K301" s="15"/>
      <c r="L301" s="15"/>
      <c r="M301" s="15"/>
      <c r="N301" s="15"/>
      <c r="O301" s="3"/>
    </row>
    <row r="302" spans="1:15" ht="16.899999999999999" customHeight="1" x14ac:dyDescent="0.25">
      <c r="A302" s="154"/>
      <c r="B302" s="106"/>
      <c r="C302" s="110"/>
      <c r="D302" s="109"/>
      <c r="E302" s="109"/>
      <c r="F302" s="109"/>
      <c r="G302" s="150"/>
      <c r="H302" s="150"/>
      <c r="I302" s="150"/>
      <c r="J302" s="150"/>
      <c r="K302" s="150"/>
      <c r="L302" s="150"/>
      <c r="M302" s="150"/>
      <c r="N302" s="150"/>
    </row>
    <row r="303" spans="1:15" ht="17.649999999999999" customHeight="1" x14ac:dyDescent="0.25">
      <c r="A303" s="49"/>
      <c r="B303" s="128" t="s">
        <v>318</v>
      </c>
      <c r="C303" s="116"/>
    </row>
    <row r="304" spans="1:15" ht="16.899999999999999" customHeight="1" x14ac:dyDescent="0.2">
      <c r="A304" s="77" t="s">
        <v>1100</v>
      </c>
      <c r="B304" s="71" t="s">
        <v>320</v>
      </c>
      <c r="C304" s="63" t="s">
        <v>190</v>
      </c>
      <c r="D304" s="26">
        <f t="shared" ref="D304:N304" si="33">SUMPRODUCT(D228:D242,D275:D289)</f>
        <v>891851.09863013925</v>
      </c>
      <c r="E304" s="26">
        <f t="shared" si="33"/>
        <v>893794.21402550547</v>
      </c>
      <c r="F304" s="26">
        <f t="shared" si="33"/>
        <v>876703.5236794228</v>
      </c>
      <c r="G304" s="26">
        <f t="shared" si="33"/>
        <v>0</v>
      </c>
      <c r="H304" s="26">
        <f t="shared" si="33"/>
        <v>0</v>
      </c>
      <c r="I304" s="26">
        <f t="shared" si="33"/>
        <v>0</v>
      </c>
      <c r="J304" s="26">
        <f t="shared" si="33"/>
        <v>0</v>
      </c>
      <c r="K304" s="26">
        <f t="shared" si="33"/>
        <v>0</v>
      </c>
      <c r="L304" s="26">
        <f t="shared" si="33"/>
        <v>0</v>
      </c>
      <c r="M304" s="26">
        <f t="shared" si="33"/>
        <v>0</v>
      </c>
      <c r="N304" s="26">
        <f t="shared" si="33"/>
        <v>0</v>
      </c>
      <c r="O304" s="3"/>
    </row>
    <row r="305" spans="1:15" ht="16.899999999999999" customHeight="1" x14ac:dyDescent="0.2">
      <c r="A305" s="77" t="s">
        <v>1101</v>
      </c>
      <c r="B305" s="71" t="s">
        <v>323</v>
      </c>
      <c r="C305" s="63" t="s">
        <v>190</v>
      </c>
      <c r="D305" s="26">
        <f t="shared" ref="D305:N305" si="34">+((D246+D249+D252+D255+D258)*D292)+((D247+D250+D253+D256+D259)*D293)+((D248+D251+D254+D257+D260)*D294)</f>
        <v>275309.85488572612</v>
      </c>
      <c r="E305" s="26">
        <f t="shared" si="34"/>
        <v>273639.4075386906</v>
      </c>
      <c r="F305" s="26">
        <f t="shared" si="34"/>
        <v>272783.77960493986</v>
      </c>
      <c r="G305" s="26">
        <f t="shared" si="34"/>
        <v>0</v>
      </c>
      <c r="H305" s="26">
        <f t="shared" si="34"/>
        <v>0</v>
      </c>
      <c r="I305" s="26">
        <f t="shared" si="34"/>
        <v>0</v>
      </c>
      <c r="J305" s="26">
        <f t="shared" si="34"/>
        <v>0</v>
      </c>
      <c r="K305" s="26">
        <f t="shared" si="34"/>
        <v>0</v>
      </c>
      <c r="L305" s="26">
        <f t="shared" si="34"/>
        <v>0</v>
      </c>
      <c r="M305" s="26">
        <f t="shared" si="34"/>
        <v>0</v>
      </c>
      <c r="N305" s="26">
        <f t="shared" si="34"/>
        <v>0</v>
      </c>
      <c r="O305" s="3"/>
    </row>
    <row r="306" spans="1:15" ht="16.899999999999999" customHeight="1" x14ac:dyDescent="0.2">
      <c r="A306" s="77" t="s">
        <v>1102</v>
      </c>
      <c r="B306" s="71" t="s">
        <v>326</v>
      </c>
      <c r="C306" s="63" t="s">
        <v>190</v>
      </c>
      <c r="D306" s="26">
        <f t="shared" ref="D306:N306" si="35">+(D265*D295)+(D268*D296)+(D271*D297)</f>
        <v>3231642.2902295897</v>
      </c>
      <c r="E306" s="26">
        <f t="shared" si="35"/>
        <v>3206599.4434404974</v>
      </c>
      <c r="F306" s="26">
        <f t="shared" si="35"/>
        <v>3201301.9811776122</v>
      </c>
      <c r="G306" s="26">
        <f t="shared" si="35"/>
        <v>0</v>
      </c>
      <c r="H306" s="26">
        <f t="shared" si="35"/>
        <v>0</v>
      </c>
      <c r="I306" s="26">
        <f t="shared" si="35"/>
        <v>0</v>
      </c>
      <c r="J306" s="26">
        <f t="shared" si="35"/>
        <v>0</v>
      </c>
      <c r="K306" s="26">
        <f t="shared" si="35"/>
        <v>0</v>
      </c>
      <c r="L306" s="26">
        <f t="shared" si="35"/>
        <v>0</v>
      </c>
      <c r="M306" s="26">
        <f t="shared" si="35"/>
        <v>0</v>
      </c>
      <c r="N306" s="26">
        <f t="shared" si="35"/>
        <v>0</v>
      </c>
      <c r="O306" s="3"/>
    </row>
    <row r="307" spans="1:15" ht="16.899999999999999" customHeight="1" x14ac:dyDescent="0.2">
      <c r="A307" s="77" t="s">
        <v>1103</v>
      </c>
      <c r="B307" s="71" t="s">
        <v>329</v>
      </c>
      <c r="C307" s="63" t="s">
        <v>190</v>
      </c>
      <c r="D307" s="134">
        <f t="shared" ref="D307:N307" si="36">+D300*D301</f>
        <v>-84302.399999999994</v>
      </c>
      <c r="E307" s="134">
        <f t="shared" si="36"/>
        <v>-83172.600000000006</v>
      </c>
      <c r="F307" s="134">
        <f t="shared" si="36"/>
        <v>-85625.870072252845</v>
      </c>
      <c r="G307" s="134">
        <f t="shared" si="36"/>
        <v>0</v>
      </c>
      <c r="H307" s="134">
        <f t="shared" si="36"/>
        <v>0</v>
      </c>
      <c r="I307" s="134">
        <f t="shared" si="36"/>
        <v>0</v>
      </c>
      <c r="J307" s="134">
        <f t="shared" si="36"/>
        <v>0</v>
      </c>
      <c r="K307" s="134">
        <f t="shared" si="36"/>
        <v>0</v>
      </c>
      <c r="L307" s="134">
        <f t="shared" si="36"/>
        <v>0</v>
      </c>
      <c r="M307" s="134">
        <f t="shared" si="36"/>
        <v>0</v>
      </c>
      <c r="N307" s="134">
        <f t="shared" si="36"/>
        <v>0</v>
      </c>
      <c r="O307" s="3"/>
    </row>
    <row r="308" spans="1:15" ht="16.899999999999999" customHeight="1" x14ac:dyDescent="0.2">
      <c r="A308" s="77" t="s">
        <v>1104</v>
      </c>
      <c r="B308" s="71" t="s">
        <v>189</v>
      </c>
      <c r="C308" s="63" t="s">
        <v>190</v>
      </c>
      <c r="D308" s="26">
        <f t="shared" ref="D308:N308" si="37">SUM(D304:D307)</f>
        <v>4314500.8437454551</v>
      </c>
      <c r="E308" s="26">
        <f t="shared" si="37"/>
        <v>4290860.4650046937</v>
      </c>
      <c r="F308" s="26">
        <f t="shared" si="37"/>
        <v>4265163.414389722</v>
      </c>
      <c r="G308" s="26">
        <f t="shared" si="37"/>
        <v>0</v>
      </c>
      <c r="H308" s="26">
        <f t="shared" si="37"/>
        <v>0</v>
      </c>
      <c r="I308" s="26">
        <f t="shared" si="37"/>
        <v>0</v>
      </c>
      <c r="J308" s="26">
        <f t="shared" si="37"/>
        <v>0</v>
      </c>
      <c r="K308" s="26">
        <f t="shared" si="37"/>
        <v>0</v>
      </c>
      <c r="L308" s="26">
        <f t="shared" si="37"/>
        <v>0</v>
      </c>
      <c r="M308" s="26">
        <f t="shared" si="37"/>
        <v>0</v>
      </c>
      <c r="N308" s="26">
        <f t="shared" si="37"/>
        <v>0</v>
      </c>
      <c r="O308" s="3"/>
    </row>
    <row r="309" spans="1:15" ht="16.899999999999999" customHeight="1" x14ac:dyDescent="0.25">
      <c r="A309" s="154"/>
      <c r="B309" s="106"/>
      <c r="C309" s="110"/>
      <c r="D309" s="109"/>
      <c r="E309" s="109"/>
      <c r="F309" s="109"/>
      <c r="G309" s="150"/>
      <c r="H309" s="150"/>
      <c r="I309" s="150"/>
      <c r="J309" s="150"/>
      <c r="K309" s="150"/>
      <c r="L309" s="150"/>
      <c r="M309" s="150"/>
      <c r="N309" s="150"/>
    </row>
    <row r="310" spans="1:15" ht="17.649999999999999" customHeight="1" x14ac:dyDescent="0.25">
      <c r="A310" s="49"/>
      <c r="B310" s="128" t="s">
        <v>559</v>
      </c>
      <c r="C310" s="119"/>
    </row>
    <row r="311" spans="1:15" ht="16.899999999999999" customHeight="1" x14ac:dyDescent="0.2">
      <c r="A311" s="77" t="s">
        <v>1105</v>
      </c>
      <c r="B311" s="62" t="s">
        <v>561</v>
      </c>
      <c r="C311" s="63" t="s">
        <v>223</v>
      </c>
      <c r="D311" s="34">
        <v>444021.57760000299</v>
      </c>
      <c r="E311" s="34">
        <v>405731.89870000002</v>
      </c>
      <c r="F311" s="34">
        <v>413621.89280000102</v>
      </c>
      <c r="G311" s="15"/>
      <c r="H311" s="15"/>
      <c r="I311" s="15"/>
      <c r="J311" s="15"/>
      <c r="K311" s="15"/>
      <c r="L311" s="15"/>
      <c r="M311" s="15"/>
      <c r="N311" s="15"/>
      <c r="O311" s="3"/>
    </row>
    <row r="312" spans="1:15" ht="16.899999999999999" customHeight="1" x14ac:dyDescent="0.2">
      <c r="A312" s="77" t="s">
        <v>1106</v>
      </c>
      <c r="B312" s="62" t="s">
        <v>564</v>
      </c>
      <c r="C312" s="63" t="s">
        <v>190</v>
      </c>
      <c r="D312" s="131">
        <f t="shared" ref="D312:N312" si="38">D311/D308</f>
        <v>0.1029137769769316</v>
      </c>
      <c r="E312" s="131">
        <f t="shared" si="38"/>
        <v>9.4557234384352373E-2</v>
      </c>
      <c r="F312" s="131">
        <f t="shared" si="38"/>
        <v>9.6976798451504073E-2</v>
      </c>
      <c r="G312" s="132" t="e">
        <f t="shared" si="38"/>
        <v>#DIV/0!</v>
      </c>
      <c r="H312" s="132" t="e">
        <f t="shared" si="38"/>
        <v>#DIV/0!</v>
      </c>
      <c r="I312" s="132" t="e">
        <f t="shared" si="38"/>
        <v>#DIV/0!</v>
      </c>
      <c r="J312" s="132" t="e">
        <f t="shared" si="38"/>
        <v>#DIV/0!</v>
      </c>
      <c r="K312" s="132" t="e">
        <f t="shared" si="38"/>
        <v>#DIV/0!</v>
      </c>
      <c r="L312" s="132" t="e">
        <f t="shared" si="38"/>
        <v>#DIV/0!</v>
      </c>
      <c r="M312" s="132" t="e">
        <f t="shared" si="38"/>
        <v>#DIV/0!</v>
      </c>
      <c r="N312" s="132" t="e">
        <f t="shared" si="38"/>
        <v>#DIV/0!</v>
      </c>
      <c r="O312" s="3"/>
    </row>
    <row r="313" spans="1:15" ht="16.899999999999999" customHeight="1" x14ac:dyDescent="0.2">
      <c r="A313" s="77" t="s">
        <v>1107</v>
      </c>
      <c r="B313" s="62" t="s">
        <v>567</v>
      </c>
      <c r="C313" s="63" t="s">
        <v>223</v>
      </c>
      <c r="D313" s="34">
        <v>173705.94659999901</v>
      </c>
      <c r="E313" s="34">
        <f>169941.23</f>
        <v>169941.23</v>
      </c>
      <c r="F313" s="34">
        <v>161866.86689999999</v>
      </c>
      <c r="G313" s="15"/>
      <c r="H313" s="15"/>
      <c r="I313" s="15"/>
      <c r="J313" s="15"/>
      <c r="K313" s="15"/>
      <c r="L313" s="15"/>
      <c r="M313" s="15"/>
      <c r="N313" s="15"/>
      <c r="O313" s="3"/>
    </row>
    <row r="314" spans="1:15" ht="16.899999999999999" customHeight="1" x14ac:dyDescent="0.2">
      <c r="A314" s="77" t="s">
        <v>1108</v>
      </c>
      <c r="B314" s="62" t="s">
        <v>570</v>
      </c>
      <c r="C314" s="63" t="s">
        <v>190</v>
      </c>
      <c r="D314" s="131">
        <f t="shared" ref="D314:N314" si="39">D313/D308</f>
        <v>4.0260960164560634E-2</v>
      </c>
      <c r="E314" s="131">
        <f t="shared" si="39"/>
        <v>3.9605396490052049E-2</v>
      </c>
      <c r="F314" s="131">
        <f t="shared" si="39"/>
        <v>3.7950917977467601E-2</v>
      </c>
      <c r="G314" s="132" t="e">
        <f t="shared" si="39"/>
        <v>#DIV/0!</v>
      </c>
      <c r="H314" s="132" t="e">
        <f t="shared" si="39"/>
        <v>#DIV/0!</v>
      </c>
      <c r="I314" s="132" t="e">
        <f t="shared" si="39"/>
        <v>#DIV/0!</v>
      </c>
      <c r="J314" s="132" t="e">
        <f t="shared" si="39"/>
        <v>#DIV/0!</v>
      </c>
      <c r="K314" s="132" t="e">
        <f t="shared" si="39"/>
        <v>#DIV/0!</v>
      </c>
      <c r="L314" s="132" t="e">
        <f t="shared" si="39"/>
        <v>#DIV/0!</v>
      </c>
      <c r="M314" s="132" t="e">
        <f t="shared" si="39"/>
        <v>#DIV/0!</v>
      </c>
      <c r="N314" s="132" t="e">
        <f t="shared" si="39"/>
        <v>#DIV/0!</v>
      </c>
      <c r="O314" s="3"/>
    </row>
    <row r="315" spans="1:15" ht="16.899999999999999" customHeight="1" x14ac:dyDescent="0.2">
      <c r="A315" s="77" t="s">
        <v>1109</v>
      </c>
      <c r="B315" s="62" t="s">
        <v>347</v>
      </c>
      <c r="C315" s="63" t="s">
        <v>223</v>
      </c>
      <c r="D315" s="34">
        <v>19000.896400000202</v>
      </c>
      <c r="E315" s="34">
        <v>16105.3995</v>
      </c>
      <c r="F315" s="34">
        <v>16031.567800000001</v>
      </c>
      <c r="G315" s="15"/>
      <c r="H315" s="15"/>
      <c r="I315" s="15"/>
      <c r="J315" s="15"/>
      <c r="K315" s="15"/>
      <c r="L315" s="15"/>
      <c r="M315" s="15"/>
      <c r="N315" s="15"/>
      <c r="O315" s="3"/>
    </row>
    <row r="316" spans="1:15" ht="16.899999999999999" customHeight="1" x14ac:dyDescent="0.2">
      <c r="A316" s="77" t="s">
        <v>1110</v>
      </c>
      <c r="B316" s="62" t="s">
        <v>350</v>
      </c>
      <c r="C316" s="63" t="s">
        <v>190</v>
      </c>
      <c r="D316" s="131">
        <f t="shared" ref="D316:N316" si="40">D315/D308</f>
        <v>4.4039616836661364E-3</v>
      </c>
      <c r="E316" s="131">
        <f t="shared" si="40"/>
        <v>3.7534195370257472E-3</v>
      </c>
      <c r="F316" s="131">
        <f t="shared" si="40"/>
        <v>3.7587229942733311E-3</v>
      </c>
      <c r="G316" s="132" t="e">
        <f t="shared" si="40"/>
        <v>#DIV/0!</v>
      </c>
      <c r="H316" s="132" t="e">
        <f t="shared" si="40"/>
        <v>#DIV/0!</v>
      </c>
      <c r="I316" s="132" t="e">
        <f t="shared" si="40"/>
        <v>#DIV/0!</v>
      </c>
      <c r="J316" s="132" t="e">
        <f t="shared" si="40"/>
        <v>#DIV/0!</v>
      </c>
      <c r="K316" s="132" t="e">
        <f t="shared" si="40"/>
        <v>#DIV/0!</v>
      </c>
      <c r="L316" s="132" t="e">
        <f t="shared" si="40"/>
        <v>#DIV/0!</v>
      </c>
      <c r="M316" s="132" t="e">
        <f t="shared" si="40"/>
        <v>#DIV/0!</v>
      </c>
      <c r="N316" s="132" t="e">
        <f t="shared" si="40"/>
        <v>#DIV/0!</v>
      </c>
      <c r="O316" s="3"/>
    </row>
    <row r="317" spans="1:15" ht="16.899999999999999" customHeight="1" x14ac:dyDescent="0.25">
      <c r="A317" s="150"/>
      <c r="B317" s="109"/>
      <c r="C317" s="110"/>
      <c r="D317" s="109"/>
      <c r="E317" s="109"/>
      <c r="F317" s="109"/>
      <c r="G317" s="150"/>
      <c r="H317" s="150"/>
      <c r="I317" s="150"/>
      <c r="J317" s="150"/>
      <c r="K317" s="150"/>
      <c r="L317" s="150"/>
      <c r="M317" s="150"/>
      <c r="N317" s="150"/>
    </row>
    <row r="318" spans="1:15" ht="20.100000000000001" customHeight="1" x14ac:dyDescent="0.25">
      <c r="B318" s="127" t="s">
        <v>574</v>
      </c>
    </row>
    <row r="319" spans="1:15" ht="17.649999999999999" customHeight="1" x14ac:dyDescent="0.2">
      <c r="A319" s="49"/>
      <c r="B319" s="24" t="s">
        <v>352</v>
      </c>
      <c r="C319" s="31" t="s">
        <v>159</v>
      </c>
      <c r="D319" s="31" t="str">
        <f>+$D$10</f>
        <v>2018-19 RF</v>
      </c>
      <c r="E319" s="31" t="str">
        <f>+$E$10</f>
        <v>2019-20 monthly</v>
      </c>
      <c r="F319" s="31" t="str">
        <f>+$F$10</f>
        <v>2019-20 RF</v>
      </c>
      <c r="G319" s="31" t="s">
        <v>829</v>
      </c>
      <c r="H319" s="31" t="s">
        <v>18</v>
      </c>
      <c r="I319" s="31" t="s">
        <v>830</v>
      </c>
      <c r="J319" s="31" t="s">
        <v>20</v>
      </c>
      <c r="K319" s="31" t="s">
        <v>831</v>
      </c>
      <c r="L319" s="31" t="s">
        <v>22</v>
      </c>
      <c r="M319" s="31" t="s">
        <v>832</v>
      </c>
      <c r="N319" s="31" t="s">
        <v>24</v>
      </c>
      <c r="O319" s="3"/>
    </row>
    <row r="320" spans="1:15" ht="16.899999999999999" customHeight="1" x14ac:dyDescent="0.2">
      <c r="A320" s="77" t="s">
        <v>1111</v>
      </c>
      <c r="B320" s="74" t="s">
        <v>222</v>
      </c>
      <c r="C320" s="129" t="s">
        <v>223</v>
      </c>
      <c r="D320" s="34">
        <v>95839.005479453801</v>
      </c>
      <c r="E320" s="34">
        <v>98132.144808742203</v>
      </c>
      <c r="F320" s="34">
        <v>97367.275956287107</v>
      </c>
      <c r="G320" s="15"/>
      <c r="H320" s="15"/>
      <c r="I320" s="15"/>
      <c r="J320" s="15"/>
      <c r="K320" s="15"/>
      <c r="L320" s="15"/>
      <c r="M320" s="15"/>
      <c r="N320" s="15"/>
      <c r="O320" s="3"/>
    </row>
    <row r="321" spans="1:15" ht="16.899999999999999" customHeight="1" x14ac:dyDescent="0.2">
      <c r="A321" s="77" t="s">
        <v>1112</v>
      </c>
      <c r="B321" s="77" t="s">
        <v>226</v>
      </c>
      <c r="C321" s="129" t="s">
        <v>223</v>
      </c>
      <c r="D321" s="34">
        <v>6242.7780821918004</v>
      </c>
      <c r="E321" s="34">
        <v>6272.16120218581</v>
      </c>
      <c r="F321" s="34">
        <v>6216.1120218579799</v>
      </c>
      <c r="G321" s="15"/>
      <c r="H321" s="15"/>
      <c r="I321" s="15"/>
      <c r="J321" s="15"/>
      <c r="K321" s="15"/>
      <c r="L321" s="15"/>
      <c r="M321" s="15"/>
      <c r="N321" s="15"/>
      <c r="O321" s="3"/>
    </row>
    <row r="322" spans="1:15" ht="16.899999999999999" customHeight="1" x14ac:dyDescent="0.2">
      <c r="A322" s="77" t="s">
        <v>1113</v>
      </c>
      <c r="B322" s="77" t="s">
        <v>229</v>
      </c>
      <c r="C322" s="129" t="s">
        <v>223</v>
      </c>
      <c r="D322" s="34">
        <v>1424.8657534246599</v>
      </c>
      <c r="E322" s="34">
        <v>1459.42349726776</v>
      </c>
      <c r="F322" s="34">
        <v>1449.1174863388001</v>
      </c>
      <c r="G322" s="15"/>
      <c r="H322" s="15"/>
      <c r="I322" s="15"/>
      <c r="J322" s="15"/>
      <c r="K322" s="15"/>
      <c r="L322" s="15"/>
      <c r="M322" s="15"/>
      <c r="N322" s="15"/>
      <c r="O322" s="3"/>
    </row>
    <row r="323" spans="1:15" ht="16.899999999999999" customHeight="1" x14ac:dyDescent="0.2">
      <c r="A323" s="77" t="s">
        <v>1114</v>
      </c>
      <c r="B323" s="77" t="s">
        <v>232</v>
      </c>
      <c r="C323" s="129" t="s">
        <v>223</v>
      </c>
      <c r="D323" s="34">
        <v>872.76438356164397</v>
      </c>
      <c r="E323" s="34">
        <v>874.84972677595601</v>
      </c>
      <c r="F323" s="34">
        <v>868.59836065573802</v>
      </c>
      <c r="G323" s="15"/>
      <c r="H323" s="15"/>
      <c r="I323" s="15"/>
      <c r="J323" s="15"/>
      <c r="K323" s="15"/>
      <c r="L323" s="15"/>
      <c r="M323" s="15"/>
      <c r="N323" s="15"/>
      <c r="O323" s="3"/>
    </row>
    <row r="324" spans="1:15" ht="16.899999999999999" customHeight="1" x14ac:dyDescent="0.2">
      <c r="A324" s="77" t="s">
        <v>1115</v>
      </c>
      <c r="B324" s="77" t="s">
        <v>235</v>
      </c>
      <c r="C324" s="129" t="s">
        <v>223</v>
      </c>
      <c r="D324" s="34">
        <v>167.48767123287701</v>
      </c>
      <c r="E324" s="34">
        <v>167.83060109289599</v>
      </c>
      <c r="F324" s="34">
        <v>162.34153005464501</v>
      </c>
      <c r="G324" s="15"/>
      <c r="H324" s="15"/>
      <c r="I324" s="15"/>
      <c r="J324" s="15"/>
      <c r="K324" s="15"/>
      <c r="L324" s="15"/>
      <c r="M324" s="15"/>
      <c r="N324" s="15"/>
      <c r="O324" s="3"/>
    </row>
    <row r="325" spans="1:15" ht="16.899999999999999" customHeight="1" x14ac:dyDescent="0.2">
      <c r="A325" s="77" t="s">
        <v>1116</v>
      </c>
      <c r="B325" s="77" t="s">
        <v>364</v>
      </c>
      <c r="C325" s="129" t="s">
        <v>223</v>
      </c>
      <c r="D325" s="34">
        <v>17.635616438356202</v>
      </c>
      <c r="E325" s="34">
        <v>18</v>
      </c>
      <c r="F325" s="34">
        <v>16</v>
      </c>
      <c r="G325" s="15"/>
      <c r="H325" s="15"/>
      <c r="I325" s="15"/>
      <c r="J325" s="15"/>
      <c r="K325" s="15"/>
      <c r="L325" s="15"/>
      <c r="M325" s="15"/>
      <c r="N325" s="15"/>
      <c r="O325" s="3"/>
    </row>
    <row r="326" spans="1:15" ht="16.899999999999999" customHeight="1" x14ac:dyDescent="0.2">
      <c r="A326" s="77" t="s">
        <v>1117</v>
      </c>
      <c r="B326" s="77" t="s">
        <v>367</v>
      </c>
      <c r="C326" s="129" t="s">
        <v>223</v>
      </c>
      <c r="D326" s="34">
        <v>2.6219178082191799</v>
      </c>
      <c r="E326" s="34">
        <v>2.5027322404371599</v>
      </c>
      <c r="F326" s="34">
        <v>2</v>
      </c>
      <c r="G326" s="15"/>
      <c r="H326" s="15"/>
      <c r="I326" s="15"/>
      <c r="J326" s="15"/>
      <c r="K326" s="15"/>
      <c r="L326" s="15"/>
      <c r="M326" s="15"/>
      <c r="N326" s="15"/>
      <c r="O326" s="3"/>
    </row>
    <row r="327" spans="1:15" ht="16.899999999999999" customHeight="1" x14ac:dyDescent="0.2">
      <c r="A327" s="77" t="s">
        <v>1118</v>
      </c>
      <c r="B327" s="71" t="s">
        <v>238</v>
      </c>
      <c r="C327" s="63" t="s">
        <v>190</v>
      </c>
      <c r="D327" s="26">
        <f t="shared" ref="D327:N327" si="41">SUM(D320:D326)</f>
        <v>104567.15890411138</v>
      </c>
      <c r="E327" s="26">
        <f t="shared" si="41"/>
        <v>106926.91256830507</v>
      </c>
      <c r="F327" s="26">
        <f t="shared" si="41"/>
        <v>106081.44535519427</v>
      </c>
      <c r="G327" s="26">
        <f t="shared" si="41"/>
        <v>0</v>
      </c>
      <c r="H327" s="26">
        <f t="shared" si="41"/>
        <v>0</v>
      </c>
      <c r="I327" s="26">
        <f t="shared" si="41"/>
        <v>0</v>
      </c>
      <c r="J327" s="26">
        <f t="shared" si="41"/>
        <v>0</v>
      </c>
      <c r="K327" s="26">
        <f t="shared" si="41"/>
        <v>0</v>
      </c>
      <c r="L327" s="26">
        <f t="shared" si="41"/>
        <v>0</v>
      </c>
      <c r="M327" s="26">
        <f t="shared" si="41"/>
        <v>0</v>
      </c>
      <c r="N327" s="26">
        <f t="shared" si="41"/>
        <v>0</v>
      </c>
      <c r="O327" s="3"/>
    </row>
    <row r="328" spans="1:15" ht="17.649999999999999" customHeight="1" x14ac:dyDescent="0.25">
      <c r="A328" s="154"/>
      <c r="B328" s="121"/>
      <c r="C328" s="123"/>
      <c r="D328" s="109"/>
      <c r="E328" s="109"/>
      <c r="F328" s="109"/>
      <c r="G328" s="150"/>
      <c r="H328" s="150"/>
      <c r="I328" s="150"/>
      <c r="J328" s="150"/>
      <c r="K328" s="150"/>
      <c r="L328" s="150"/>
      <c r="M328" s="150"/>
      <c r="N328" s="150"/>
    </row>
    <row r="329" spans="1:15" ht="17.649999999999999" customHeight="1" x14ac:dyDescent="0.25">
      <c r="A329" s="49"/>
      <c r="B329" s="128" t="s">
        <v>530</v>
      </c>
      <c r="C329" s="116"/>
    </row>
    <row r="330" spans="1:15" ht="16.899999999999999" customHeight="1" x14ac:dyDescent="0.2">
      <c r="A330" s="77" t="s">
        <v>1119</v>
      </c>
      <c r="B330" s="77" t="s">
        <v>601</v>
      </c>
      <c r="C330" s="63" t="s">
        <v>223</v>
      </c>
      <c r="D330" s="34">
        <v>4832236.4104109704</v>
      </c>
      <c r="E330" s="34">
        <v>4815973.2602980901</v>
      </c>
      <c r="F330" s="34">
        <v>4771208.39346499</v>
      </c>
      <c r="G330" s="15"/>
      <c r="H330" s="15"/>
      <c r="I330" s="15"/>
      <c r="J330" s="15"/>
      <c r="K330" s="15"/>
      <c r="L330" s="15"/>
      <c r="M330" s="15"/>
      <c r="N330" s="15"/>
      <c r="O330" s="3"/>
    </row>
    <row r="331" spans="1:15" ht="16.899999999999999" customHeight="1" x14ac:dyDescent="0.2">
      <c r="A331" s="77" t="s">
        <v>1120</v>
      </c>
      <c r="B331" s="71" t="s">
        <v>280</v>
      </c>
      <c r="C331" s="63" t="s">
        <v>223</v>
      </c>
      <c r="D331" s="34">
        <v>49611241.227945499</v>
      </c>
      <c r="E331" s="34">
        <v>50778348.943581603</v>
      </c>
      <c r="F331" s="34">
        <v>48775769.2949325</v>
      </c>
      <c r="G331" s="15"/>
      <c r="H331" s="15"/>
      <c r="I331" s="15"/>
      <c r="J331" s="15"/>
      <c r="K331" s="15"/>
      <c r="L331" s="15"/>
      <c r="M331" s="15"/>
      <c r="N331" s="15"/>
      <c r="O331" s="3"/>
    </row>
    <row r="332" spans="1:15" ht="17.649999999999999" customHeight="1" x14ac:dyDescent="0.25">
      <c r="A332" s="154"/>
      <c r="B332" s="121"/>
      <c r="C332" s="123"/>
      <c r="D332" s="109"/>
      <c r="E332" s="109"/>
      <c r="F332" s="109"/>
      <c r="G332" s="150"/>
      <c r="H332" s="150"/>
      <c r="I332" s="150"/>
      <c r="J332" s="150"/>
      <c r="K332" s="150"/>
      <c r="L332" s="150"/>
      <c r="M332" s="150"/>
      <c r="N332" s="150"/>
    </row>
    <row r="333" spans="1:15" ht="17.649999999999999" customHeight="1" x14ac:dyDescent="0.25">
      <c r="A333" s="49"/>
      <c r="B333" s="128" t="s">
        <v>605</v>
      </c>
      <c r="C333" s="116"/>
    </row>
    <row r="334" spans="1:15" ht="16.899999999999999" customHeight="1" x14ac:dyDescent="0.2">
      <c r="A334" s="77" t="s">
        <v>1121</v>
      </c>
      <c r="B334" s="71" t="s">
        <v>222</v>
      </c>
      <c r="C334" s="63" t="s">
        <v>223</v>
      </c>
      <c r="D334" s="34">
        <v>48</v>
      </c>
      <c r="E334" s="34">
        <v>49</v>
      </c>
      <c r="F334" s="34">
        <v>49</v>
      </c>
      <c r="G334" s="15"/>
      <c r="H334" s="15"/>
      <c r="I334" s="15"/>
      <c r="J334" s="15"/>
      <c r="K334" s="15"/>
      <c r="L334" s="15"/>
      <c r="M334" s="15"/>
      <c r="N334" s="15"/>
      <c r="O334" s="3"/>
    </row>
    <row r="335" spans="1:15" ht="16.899999999999999" customHeight="1" x14ac:dyDescent="0.2">
      <c r="A335" s="77" t="s">
        <v>1122</v>
      </c>
      <c r="B335" s="77" t="s">
        <v>226</v>
      </c>
      <c r="C335" s="63" t="s">
        <v>223</v>
      </c>
      <c r="D335" s="34">
        <v>101</v>
      </c>
      <c r="E335" s="34">
        <v>102</v>
      </c>
      <c r="F335" s="34">
        <v>102</v>
      </c>
      <c r="G335" s="15"/>
      <c r="H335" s="15"/>
      <c r="I335" s="15"/>
      <c r="J335" s="15"/>
      <c r="K335" s="15"/>
      <c r="L335" s="15"/>
      <c r="M335" s="15"/>
      <c r="N335" s="15"/>
      <c r="O335" s="3"/>
    </row>
    <row r="336" spans="1:15" ht="16.899999999999999" customHeight="1" x14ac:dyDescent="0.2">
      <c r="A336" s="77" t="s">
        <v>1123</v>
      </c>
      <c r="B336" s="77" t="s">
        <v>229</v>
      </c>
      <c r="C336" s="63" t="s">
        <v>223</v>
      </c>
      <c r="D336" s="34">
        <v>397</v>
      </c>
      <c r="E336" s="34">
        <v>404</v>
      </c>
      <c r="F336" s="34">
        <v>404</v>
      </c>
      <c r="G336" s="15"/>
      <c r="H336" s="15"/>
      <c r="I336" s="15"/>
      <c r="J336" s="15"/>
      <c r="K336" s="15"/>
      <c r="L336" s="15"/>
      <c r="M336" s="15"/>
      <c r="N336" s="15"/>
      <c r="O336" s="3"/>
    </row>
    <row r="337" spans="1:15" ht="16.899999999999999" customHeight="1" x14ac:dyDescent="0.2">
      <c r="A337" s="77" t="s">
        <v>1124</v>
      </c>
      <c r="B337" s="77" t="s">
        <v>232</v>
      </c>
      <c r="C337" s="63" t="s">
        <v>223</v>
      </c>
      <c r="D337" s="34">
        <v>593</v>
      </c>
      <c r="E337" s="34">
        <v>605</v>
      </c>
      <c r="F337" s="34">
        <v>605</v>
      </c>
      <c r="G337" s="15"/>
      <c r="H337" s="15"/>
      <c r="I337" s="15"/>
      <c r="J337" s="15"/>
      <c r="K337" s="15"/>
      <c r="L337" s="15"/>
      <c r="M337" s="15"/>
      <c r="N337" s="15"/>
      <c r="O337" s="3"/>
    </row>
    <row r="338" spans="1:15" ht="16.899999999999999" customHeight="1" x14ac:dyDescent="0.2">
      <c r="A338" s="77" t="s">
        <v>1125</v>
      </c>
      <c r="B338" s="77" t="s">
        <v>235</v>
      </c>
      <c r="C338" s="63" t="s">
        <v>223</v>
      </c>
      <c r="D338" s="34">
        <v>1607</v>
      </c>
      <c r="E338" s="34">
        <v>1639</v>
      </c>
      <c r="F338" s="34">
        <v>1639</v>
      </c>
      <c r="G338" s="15"/>
      <c r="H338" s="15"/>
      <c r="I338" s="15"/>
      <c r="J338" s="15"/>
      <c r="K338" s="15"/>
      <c r="L338" s="15"/>
      <c r="M338" s="15"/>
      <c r="N338" s="15"/>
      <c r="O338" s="3"/>
    </row>
    <row r="339" spans="1:15" ht="16.899999999999999" customHeight="1" x14ac:dyDescent="0.2">
      <c r="A339" s="77" t="s">
        <v>1126</v>
      </c>
      <c r="B339" s="77" t="s">
        <v>364</v>
      </c>
      <c r="C339" s="63" t="s">
        <v>223</v>
      </c>
      <c r="D339" s="34">
        <v>2855</v>
      </c>
      <c r="E339" s="34">
        <v>2912</v>
      </c>
      <c r="F339" s="34">
        <v>2912</v>
      </c>
      <c r="G339" s="15"/>
      <c r="H339" s="15"/>
      <c r="I339" s="15"/>
      <c r="J339" s="15"/>
      <c r="K339" s="15"/>
      <c r="L339" s="15"/>
      <c r="M339" s="15"/>
      <c r="N339" s="15"/>
      <c r="O339" s="3"/>
    </row>
    <row r="340" spans="1:15" ht="16.899999999999999" customHeight="1" x14ac:dyDescent="0.2">
      <c r="A340" s="77" t="s">
        <v>1127</v>
      </c>
      <c r="B340" s="71" t="s">
        <v>367</v>
      </c>
      <c r="C340" s="63" t="s">
        <v>223</v>
      </c>
      <c r="D340" s="34">
        <v>9143</v>
      </c>
      <c r="E340" s="34">
        <v>9326</v>
      </c>
      <c r="F340" s="34">
        <v>9326</v>
      </c>
      <c r="G340" s="15"/>
      <c r="H340" s="15"/>
      <c r="I340" s="15"/>
      <c r="J340" s="15"/>
      <c r="K340" s="15"/>
      <c r="L340" s="15"/>
      <c r="M340" s="15"/>
      <c r="N340" s="15"/>
      <c r="O340" s="3"/>
    </row>
    <row r="341" spans="1:15" ht="17.649999999999999" customHeight="1" x14ac:dyDescent="0.25">
      <c r="A341" s="154"/>
      <c r="B341" s="121"/>
      <c r="C341" s="123"/>
      <c r="D341" s="109"/>
      <c r="E341" s="109"/>
      <c r="F341" s="109"/>
      <c r="G341" s="150"/>
      <c r="H341" s="150"/>
      <c r="I341" s="150"/>
      <c r="J341" s="150"/>
      <c r="K341" s="150"/>
      <c r="L341" s="150"/>
      <c r="M341" s="150"/>
      <c r="N341" s="150"/>
    </row>
    <row r="342" spans="1:15" ht="17.649999999999999" customHeight="1" x14ac:dyDescent="0.25">
      <c r="A342" s="49"/>
      <c r="B342" s="128" t="s">
        <v>542</v>
      </c>
      <c r="C342" s="116"/>
    </row>
    <row r="343" spans="1:15" ht="16.899999999999999" customHeight="1" x14ac:dyDescent="0.2">
      <c r="A343" s="77" t="s">
        <v>1128</v>
      </c>
      <c r="B343" s="71" t="s">
        <v>298</v>
      </c>
      <c r="C343" s="129" t="s">
        <v>223</v>
      </c>
      <c r="D343" s="135">
        <v>0.67400000000000004</v>
      </c>
      <c r="E343" s="135">
        <v>0.6875</v>
      </c>
      <c r="F343" s="135">
        <v>0.6875</v>
      </c>
      <c r="G343" s="15"/>
      <c r="H343" s="15"/>
      <c r="I343" s="15"/>
      <c r="J343" s="15"/>
      <c r="K343" s="15"/>
      <c r="L343" s="15"/>
      <c r="M343" s="15"/>
      <c r="N343" s="15"/>
      <c r="O343" s="3"/>
    </row>
    <row r="344" spans="1:15" ht="16.899999999999999" customHeight="1" x14ac:dyDescent="0.2">
      <c r="A344" s="77" t="s">
        <v>1129</v>
      </c>
      <c r="B344" s="71" t="s">
        <v>546</v>
      </c>
      <c r="C344" s="129" t="s">
        <v>223</v>
      </c>
      <c r="D344" s="135">
        <v>0.80769999999999997</v>
      </c>
      <c r="E344" s="135">
        <v>0.82389999999999997</v>
      </c>
      <c r="F344" s="135">
        <v>0.82389999999999997</v>
      </c>
      <c r="G344" s="15"/>
      <c r="H344" s="15"/>
      <c r="I344" s="15"/>
      <c r="J344" s="15"/>
      <c r="K344" s="15"/>
      <c r="L344" s="15"/>
      <c r="M344" s="15"/>
      <c r="N344" s="15"/>
      <c r="O344" s="3"/>
    </row>
    <row r="345" spans="1:15" ht="16.899999999999999" customHeight="1" x14ac:dyDescent="0.25">
      <c r="A345" s="154"/>
      <c r="B345" s="106"/>
      <c r="C345" s="110"/>
      <c r="D345" s="109"/>
      <c r="E345" s="109"/>
      <c r="F345" s="109"/>
      <c r="G345" s="150"/>
      <c r="H345" s="150"/>
      <c r="I345" s="150"/>
      <c r="J345" s="150"/>
      <c r="K345" s="150"/>
      <c r="L345" s="150"/>
      <c r="M345" s="150"/>
      <c r="N345" s="150"/>
    </row>
    <row r="346" spans="1:15" ht="17.649999999999999" customHeight="1" x14ac:dyDescent="0.25">
      <c r="A346" s="49"/>
      <c r="B346" s="128" t="s">
        <v>481</v>
      </c>
      <c r="C346" s="116"/>
    </row>
    <row r="347" spans="1:15" ht="16.899999999999999" customHeight="1" x14ac:dyDescent="0.2">
      <c r="A347" s="77" t="s">
        <v>1130</v>
      </c>
      <c r="B347" s="71" t="s">
        <v>620</v>
      </c>
      <c r="C347" s="63" t="s">
        <v>223</v>
      </c>
      <c r="D347" s="34">
        <v>70303.3</v>
      </c>
      <c r="E347" s="34">
        <v>75686.877899999905</v>
      </c>
      <c r="F347" s="34">
        <v>71196.950500000006</v>
      </c>
      <c r="G347" s="15"/>
      <c r="H347" s="15"/>
      <c r="I347" s="15"/>
      <c r="J347" s="15"/>
      <c r="K347" s="15"/>
      <c r="L347" s="15"/>
      <c r="M347" s="15"/>
      <c r="N347" s="15"/>
      <c r="O347" s="3"/>
    </row>
    <row r="348" spans="1:15" ht="16.899999999999999" customHeight="1" x14ac:dyDescent="0.2">
      <c r="A348" s="77" t="s">
        <v>1131</v>
      </c>
      <c r="B348" s="71" t="s">
        <v>623</v>
      </c>
      <c r="C348" s="63" t="s">
        <v>223</v>
      </c>
      <c r="D348" s="34">
        <v>75239.027700000006</v>
      </c>
      <c r="E348" s="34">
        <v>99247.954199999993</v>
      </c>
      <c r="F348" s="34">
        <v>77179.753599999996</v>
      </c>
      <c r="G348" s="15"/>
      <c r="H348" s="15"/>
      <c r="I348" s="15"/>
      <c r="J348" s="15"/>
      <c r="K348" s="15"/>
      <c r="L348" s="15"/>
      <c r="M348" s="15"/>
      <c r="N348" s="15"/>
      <c r="O348" s="3"/>
    </row>
    <row r="349" spans="1:15" ht="17.649999999999999" customHeight="1" x14ac:dyDescent="0.25">
      <c r="A349" s="154"/>
      <c r="B349" s="121"/>
      <c r="C349" s="123"/>
      <c r="D349" s="109"/>
      <c r="E349" s="109"/>
      <c r="F349" s="109"/>
      <c r="G349" s="150"/>
      <c r="H349" s="150"/>
      <c r="I349" s="150"/>
      <c r="J349" s="150"/>
      <c r="K349" s="150"/>
      <c r="L349" s="150"/>
      <c r="M349" s="150"/>
      <c r="N349" s="150"/>
    </row>
    <row r="350" spans="1:15" ht="17.649999999999999" customHeight="1" x14ac:dyDescent="0.25">
      <c r="A350" s="49"/>
      <c r="B350" s="128" t="s">
        <v>318</v>
      </c>
      <c r="C350" s="116"/>
    </row>
    <row r="351" spans="1:15" ht="16.899999999999999" customHeight="1" x14ac:dyDescent="0.2">
      <c r="A351" s="77" t="s">
        <v>1132</v>
      </c>
      <c r="B351" s="71" t="s">
        <v>626</v>
      </c>
      <c r="C351" s="63" t="s">
        <v>190</v>
      </c>
      <c r="D351" s="26">
        <f t="shared" ref="D351:N351" si="42">SUMPRODUCT(D320:D326,D334:D340)</f>
        <v>6657488.400000087</v>
      </c>
      <c r="E351" s="26">
        <f t="shared" si="42"/>
        <v>6917957.5519125219</v>
      </c>
      <c r="F351" s="26">
        <f t="shared" si="42"/>
        <v>6847307.1885247426</v>
      </c>
      <c r="G351" s="26">
        <f t="shared" si="42"/>
        <v>0</v>
      </c>
      <c r="H351" s="26">
        <f t="shared" si="42"/>
        <v>0</v>
      </c>
      <c r="I351" s="26">
        <f t="shared" si="42"/>
        <v>0</v>
      </c>
      <c r="J351" s="26">
        <f t="shared" si="42"/>
        <v>0</v>
      </c>
      <c r="K351" s="26">
        <f t="shared" si="42"/>
        <v>0</v>
      </c>
      <c r="L351" s="26">
        <f t="shared" si="42"/>
        <v>0</v>
      </c>
      <c r="M351" s="26">
        <f t="shared" si="42"/>
        <v>0</v>
      </c>
      <c r="N351" s="26">
        <f t="shared" si="42"/>
        <v>0</v>
      </c>
      <c r="O351" s="3"/>
    </row>
    <row r="352" spans="1:15" ht="16.899999999999999" customHeight="1" x14ac:dyDescent="0.2">
      <c r="A352" s="77" t="s">
        <v>1133</v>
      </c>
      <c r="B352" s="71" t="s">
        <v>323</v>
      </c>
      <c r="C352" s="63" t="s">
        <v>190</v>
      </c>
      <c r="D352" s="26">
        <f t="shared" ref="D352:N352" si="43">+D330*D343</f>
        <v>3256927.3406169941</v>
      </c>
      <c r="E352" s="26">
        <f t="shared" si="43"/>
        <v>3310981.616454937</v>
      </c>
      <c r="F352" s="26">
        <f t="shared" si="43"/>
        <v>3280205.7705071806</v>
      </c>
      <c r="G352" s="26">
        <f t="shared" si="43"/>
        <v>0</v>
      </c>
      <c r="H352" s="26">
        <f t="shared" si="43"/>
        <v>0</v>
      </c>
      <c r="I352" s="26">
        <f t="shared" si="43"/>
        <v>0</v>
      </c>
      <c r="J352" s="26">
        <f t="shared" si="43"/>
        <v>0</v>
      </c>
      <c r="K352" s="26">
        <f t="shared" si="43"/>
        <v>0</v>
      </c>
      <c r="L352" s="26">
        <f t="shared" si="43"/>
        <v>0</v>
      </c>
      <c r="M352" s="26">
        <f t="shared" si="43"/>
        <v>0</v>
      </c>
      <c r="N352" s="26">
        <f t="shared" si="43"/>
        <v>0</v>
      </c>
      <c r="O352" s="3"/>
    </row>
    <row r="353" spans="1:15" ht="16.899999999999999" customHeight="1" x14ac:dyDescent="0.2">
      <c r="A353" s="77" t="s">
        <v>1134</v>
      </c>
      <c r="B353" s="71" t="s">
        <v>326</v>
      </c>
      <c r="C353" s="63" t="s">
        <v>190</v>
      </c>
      <c r="D353" s="26">
        <f t="shared" ref="D353:N353" si="44">+D331*D344</f>
        <v>40070999.539811581</v>
      </c>
      <c r="E353" s="26">
        <f t="shared" si="44"/>
        <v>41836281.694616884</v>
      </c>
      <c r="F353" s="26">
        <f t="shared" si="44"/>
        <v>40186356.322094887</v>
      </c>
      <c r="G353" s="26">
        <f t="shared" si="44"/>
        <v>0</v>
      </c>
      <c r="H353" s="26">
        <f t="shared" si="44"/>
        <v>0</v>
      </c>
      <c r="I353" s="26">
        <f t="shared" si="44"/>
        <v>0</v>
      </c>
      <c r="J353" s="26">
        <f t="shared" si="44"/>
        <v>0</v>
      </c>
      <c r="K353" s="26">
        <f t="shared" si="44"/>
        <v>0</v>
      </c>
      <c r="L353" s="26">
        <f t="shared" si="44"/>
        <v>0</v>
      </c>
      <c r="M353" s="26">
        <f t="shared" si="44"/>
        <v>0</v>
      </c>
      <c r="N353" s="26">
        <f t="shared" si="44"/>
        <v>0</v>
      </c>
      <c r="O353" s="3"/>
    </row>
    <row r="354" spans="1:15" ht="16.899999999999999" customHeight="1" x14ac:dyDescent="0.2">
      <c r="A354" s="77" t="s">
        <v>1135</v>
      </c>
      <c r="B354" s="71" t="s">
        <v>495</v>
      </c>
      <c r="C354" s="63" t="s">
        <v>190</v>
      </c>
      <c r="D354" s="26">
        <f t="shared" ref="D354:N354" si="45">+D348</f>
        <v>75239.027700000006</v>
      </c>
      <c r="E354" s="26">
        <f t="shared" si="45"/>
        <v>99247.954199999993</v>
      </c>
      <c r="F354" s="26">
        <f t="shared" si="45"/>
        <v>77179.753599999996</v>
      </c>
      <c r="G354" s="26">
        <f t="shared" si="45"/>
        <v>0</v>
      </c>
      <c r="H354" s="26">
        <f t="shared" si="45"/>
        <v>0</v>
      </c>
      <c r="I354" s="26">
        <f t="shared" si="45"/>
        <v>0</v>
      </c>
      <c r="J354" s="26">
        <f t="shared" si="45"/>
        <v>0</v>
      </c>
      <c r="K354" s="26">
        <f t="shared" si="45"/>
        <v>0</v>
      </c>
      <c r="L354" s="26">
        <f t="shared" si="45"/>
        <v>0</v>
      </c>
      <c r="M354" s="26">
        <f t="shared" si="45"/>
        <v>0</v>
      </c>
      <c r="N354" s="26">
        <f t="shared" si="45"/>
        <v>0</v>
      </c>
      <c r="O354" s="3"/>
    </row>
    <row r="355" spans="1:15" ht="16.899999999999999" customHeight="1" x14ac:dyDescent="0.2">
      <c r="A355" s="77" t="s">
        <v>1136</v>
      </c>
      <c r="B355" s="71" t="s">
        <v>189</v>
      </c>
      <c r="C355" s="63" t="s">
        <v>190</v>
      </c>
      <c r="D355" s="26">
        <f t="shared" ref="D355:N355" si="46">SUM(D351:D354)</f>
        <v>50060654.308128662</v>
      </c>
      <c r="E355" s="26">
        <f t="shared" si="46"/>
        <v>52164468.817184344</v>
      </c>
      <c r="F355" s="26">
        <f t="shared" si="46"/>
        <v>50391049.034726813</v>
      </c>
      <c r="G355" s="26">
        <f t="shared" si="46"/>
        <v>0</v>
      </c>
      <c r="H355" s="26">
        <f t="shared" si="46"/>
        <v>0</v>
      </c>
      <c r="I355" s="26">
        <f t="shared" si="46"/>
        <v>0</v>
      </c>
      <c r="J355" s="26">
        <f t="shared" si="46"/>
        <v>0</v>
      </c>
      <c r="K355" s="26">
        <f t="shared" si="46"/>
        <v>0</v>
      </c>
      <c r="L355" s="26">
        <f t="shared" si="46"/>
        <v>0</v>
      </c>
      <c r="M355" s="26">
        <f t="shared" si="46"/>
        <v>0</v>
      </c>
      <c r="N355" s="26">
        <f t="shared" si="46"/>
        <v>0</v>
      </c>
      <c r="O355" s="3"/>
    </row>
    <row r="356" spans="1:15" ht="16.899999999999999" customHeight="1" x14ac:dyDescent="0.25">
      <c r="A356" s="154"/>
      <c r="B356" s="106"/>
      <c r="C356" s="110"/>
      <c r="D356" s="109"/>
      <c r="E356" s="109"/>
      <c r="F356" s="109"/>
      <c r="G356" s="150"/>
      <c r="H356" s="150"/>
      <c r="I356" s="150"/>
      <c r="J356" s="150"/>
      <c r="K356" s="150"/>
      <c r="L356" s="150"/>
      <c r="M356" s="150"/>
      <c r="N356" s="150"/>
    </row>
    <row r="357" spans="1:15" ht="17.649999999999999" customHeight="1" x14ac:dyDescent="0.25">
      <c r="A357" s="49"/>
      <c r="B357" s="128" t="s">
        <v>631</v>
      </c>
      <c r="C357" s="119"/>
    </row>
    <row r="358" spans="1:15" ht="16.899999999999999" customHeight="1" x14ac:dyDescent="0.2">
      <c r="A358" s="77" t="s">
        <v>1137</v>
      </c>
      <c r="B358" s="62" t="s">
        <v>633</v>
      </c>
      <c r="C358" s="63" t="s">
        <v>223</v>
      </c>
      <c r="D358" s="34">
        <v>1418183.6059999999</v>
      </c>
      <c r="E358" s="34">
        <v>1784507.7345</v>
      </c>
      <c r="F358" s="34">
        <v>1726221.83989999</v>
      </c>
      <c r="G358" s="15"/>
      <c r="H358" s="15"/>
      <c r="I358" s="15"/>
      <c r="J358" s="15"/>
      <c r="K358" s="15"/>
      <c r="L358" s="15"/>
      <c r="M358" s="15"/>
      <c r="N358" s="15"/>
      <c r="O358" s="3"/>
    </row>
    <row r="359" spans="1:15" ht="16.899999999999999" customHeight="1" x14ac:dyDescent="0.2">
      <c r="A359" s="77" t="s">
        <v>1138</v>
      </c>
      <c r="B359" s="62" t="s">
        <v>636</v>
      </c>
      <c r="C359" s="63" t="s">
        <v>190</v>
      </c>
      <c r="D359" s="131">
        <f t="shared" ref="D359:N359" si="47">D358/D355</f>
        <v>2.8329306230616337E-2</v>
      </c>
      <c r="E359" s="131">
        <f t="shared" si="47"/>
        <v>3.4209257277285576E-2</v>
      </c>
      <c r="F359" s="131">
        <f t="shared" si="47"/>
        <v>3.4256517238019202E-2</v>
      </c>
      <c r="G359" s="132" t="e">
        <f t="shared" si="47"/>
        <v>#DIV/0!</v>
      </c>
      <c r="H359" s="132" t="e">
        <f t="shared" si="47"/>
        <v>#DIV/0!</v>
      </c>
      <c r="I359" s="132" t="e">
        <f t="shared" si="47"/>
        <v>#DIV/0!</v>
      </c>
      <c r="J359" s="132" t="e">
        <f t="shared" si="47"/>
        <v>#DIV/0!</v>
      </c>
      <c r="K359" s="132" t="e">
        <f t="shared" si="47"/>
        <v>#DIV/0!</v>
      </c>
      <c r="L359" s="132" t="e">
        <f t="shared" si="47"/>
        <v>#DIV/0!</v>
      </c>
      <c r="M359" s="132" t="e">
        <f t="shared" si="47"/>
        <v>#DIV/0!</v>
      </c>
      <c r="N359" s="132" t="e">
        <f t="shared" si="47"/>
        <v>#DIV/0!</v>
      </c>
      <c r="O359" s="3"/>
    </row>
    <row r="360" spans="1:15" ht="16.899999999999999" customHeight="1" x14ac:dyDescent="0.2">
      <c r="A360" s="77" t="s">
        <v>1139</v>
      </c>
      <c r="B360" s="62" t="s">
        <v>639</v>
      </c>
      <c r="C360" s="63" t="s">
        <v>223</v>
      </c>
      <c r="D360" s="34">
        <v>972599.56780000497</v>
      </c>
      <c r="E360" s="34">
        <f>845430.73</f>
        <v>845430.73</v>
      </c>
      <c r="F360" s="34">
        <v>1007696.12619999</v>
      </c>
      <c r="G360" s="15"/>
      <c r="H360" s="15"/>
      <c r="I360" s="15"/>
      <c r="J360" s="15"/>
      <c r="K360" s="15"/>
      <c r="L360" s="15"/>
      <c r="M360" s="15"/>
      <c r="N360" s="15"/>
      <c r="O360" s="3"/>
    </row>
    <row r="361" spans="1:15" ht="16.899999999999999" customHeight="1" x14ac:dyDescent="0.2">
      <c r="A361" s="77" t="s">
        <v>1140</v>
      </c>
      <c r="B361" s="62" t="s">
        <v>642</v>
      </c>
      <c r="C361" s="63" t="s">
        <v>190</v>
      </c>
      <c r="D361" s="131">
        <f t="shared" ref="D361:N361" si="48">D360/D355</f>
        <v>1.9428423004892243E-2</v>
      </c>
      <c r="E361" s="131">
        <f t="shared" si="48"/>
        <v>1.6207022695139434E-2</v>
      </c>
      <c r="F361" s="131">
        <f t="shared" si="48"/>
        <v>1.999752228824488E-2</v>
      </c>
      <c r="G361" s="132" t="e">
        <f t="shared" si="48"/>
        <v>#DIV/0!</v>
      </c>
      <c r="H361" s="132" t="e">
        <f t="shared" si="48"/>
        <v>#DIV/0!</v>
      </c>
      <c r="I361" s="132" t="e">
        <f t="shared" si="48"/>
        <v>#DIV/0!</v>
      </c>
      <c r="J361" s="132" t="e">
        <f t="shared" si="48"/>
        <v>#DIV/0!</v>
      </c>
      <c r="K361" s="132" t="e">
        <f t="shared" si="48"/>
        <v>#DIV/0!</v>
      </c>
      <c r="L361" s="132" t="e">
        <f t="shared" si="48"/>
        <v>#DIV/0!</v>
      </c>
      <c r="M361" s="132" t="e">
        <f t="shared" si="48"/>
        <v>#DIV/0!</v>
      </c>
      <c r="N361" s="132" t="e">
        <f t="shared" si="48"/>
        <v>#DIV/0!</v>
      </c>
      <c r="O361" s="3"/>
    </row>
    <row r="362" spans="1:15" ht="16.899999999999999" customHeight="1" x14ac:dyDescent="0.2">
      <c r="A362" s="77" t="s">
        <v>1141</v>
      </c>
      <c r="B362" s="62" t="s">
        <v>347</v>
      </c>
      <c r="C362" s="63" t="s">
        <v>223</v>
      </c>
      <c r="D362" s="34">
        <v>45910.614300000001</v>
      </c>
      <c r="E362" s="34">
        <v>38425.034299999999</v>
      </c>
      <c r="F362" s="34">
        <v>54021.734100000103</v>
      </c>
      <c r="G362" s="15"/>
      <c r="H362" s="15"/>
      <c r="I362" s="15"/>
      <c r="J362" s="15"/>
      <c r="K362" s="15"/>
      <c r="L362" s="15"/>
      <c r="M362" s="15"/>
      <c r="N362" s="15"/>
      <c r="O362" s="3"/>
    </row>
    <row r="363" spans="1:15" ht="16.899999999999999" customHeight="1" x14ac:dyDescent="0.2">
      <c r="A363" s="77" t="s">
        <v>1142</v>
      </c>
      <c r="B363" s="62" t="s">
        <v>350</v>
      </c>
      <c r="C363" s="63" t="s">
        <v>190</v>
      </c>
      <c r="D363" s="131">
        <f t="shared" ref="D363:N363" si="49">D362/D355</f>
        <v>9.170997649654213E-4</v>
      </c>
      <c r="E363" s="131">
        <f t="shared" si="49"/>
        <v>7.3661316162663168E-4</v>
      </c>
      <c r="F363" s="131">
        <f t="shared" si="49"/>
        <v>1.0720501980971107E-3</v>
      </c>
      <c r="G363" s="132" t="e">
        <f t="shared" si="49"/>
        <v>#DIV/0!</v>
      </c>
      <c r="H363" s="132" t="e">
        <f t="shared" si="49"/>
        <v>#DIV/0!</v>
      </c>
      <c r="I363" s="132" t="e">
        <f t="shared" si="49"/>
        <v>#DIV/0!</v>
      </c>
      <c r="J363" s="132" t="e">
        <f t="shared" si="49"/>
        <v>#DIV/0!</v>
      </c>
      <c r="K363" s="132" t="e">
        <f t="shared" si="49"/>
        <v>#DIV/0!</v>
      </c>
      <c r="L363" s="132" t="e">
        <f t="shared" si="49"/>
        <v>#DIV/0!</v>
      </c>
      <c r="M363" s="132" t="e">
        <f t="shared" si="49"/>
        <v>#DIV/0!</v>
      </c>
      <c r="N363" s="132" t="e">
        <f t="shared" si="49"/>
        <v>#DIV/0!</v>
      </c>
      <c r="O363" s="3"/>
    </row>
    <row r="364" spans="1:15" ht="16.899999999999999" customHeight="1" x14ac:dyDescent="0.25">
      <c r="A364" s="150"/>
      <c r="B364" s="109"/>
      <c r="C364" s="110"/>
      <c r="D364" s="109"/>
      <c r="E364" s="109"/>
      <c r="F364" s="109"/>
      <c r="G364" s="150"/>
      <c r="H364" s="150"/>
      <c r="I364" s="150"/>
      <c r="J364" s="150"/>
      <c r="K364" s="150"/>
      <c r="L364" s="150"/>
      <c r="M364" s="150"/>
      <c r="N364" s="150"/>
    </row>
    <row r="365" spans="1:15" ht="20.100000000000001" customHeight="1" x14ac:dyDescent="0.25">
      <c r="B365" s="127" t="s">
        <v>646</v>
      </c>
    </row>
    <row r="366" spans="1:15" ht="17.649999999999999" customHeight="1" x14ac:dyDescent="0.25">
      <c r="A366" s="49"/>
      <c r="B366" s="128" t="s">
        <v>1143</v>
      </c>
      <c r="C366" s="31" t="s">
        <v>159</v>
      </c>
      <c r="D366" s="31" t="str">
        <f>+$D$10</f>
        <v>2018-19 RF</v>
      </c>
      <c r="E366" s="31" t="str">
        <f>+$E$10</f>
        <v>2019-20 monthly</v>
      </c>
      <c r="F366" s="31" t="str">
        <f>+$F$10</f>
        <v>2019-20 RF</v>
      </c>
      <c r="G366" s="31" t="s">
        <v>829</v>
      </c>
      <c r="H366" s="31" t="s">
        <v>18</v>
      </c>
      <c r="I366" s="31" t="s">
        <v>830</v>
      </c>
      <c r="J366" s="31" t="s">
        <v>20</v>
      </c>
      <c r="K366" s="31" t="s">
        <v>831</v>
      </c>
      <c r="L366" s="31" t="s">
        <v>22</v>
      </c>
      <c r="M366" s="31" t="s">
        <v>832</v>
      </c>
      <c r="N366" s="31" t="s">
        <v>24</v>
      </c>
      <c r="O366" s="3"/>
    </row>
    <row r="367" spans="1:15" ht="16.899999999999999" customHeight="1" x14ac:dyDescent="0.2">
      <c r="A367" s="77" t="s">
        <v>1141</v>
      </c>
      <c r="B367" s="71" t="s">
        <v>1144</v>
      </c>
      <c r="C367" s="129" t="s">
        <v>223</v>
      </c>
      <c r="D367" s="34">
        <v>243627705.850137</v>
      </c>
      <c r="E367" s="34">
        <v>435083521.99977499</v>
      </c>
      <c r="F367" s="34">
        <v>451339957.01257598</v>
      </c>
      <c r="G367" s="15"/>
      <c r="H367" s="15"/>
      <c r="I367" s="15"/>
      <c r="J367" s="15"/>
      <c r="K367" s="15"/>
      <c r="L367" s="15"/>
      <c r="M367" s="15"/>
      <c r="N367" s="15"/>
      <c r="O367" s="3"/>
    </row>
    <row r="368" spans="1:15" ht="16.899999999999999" customHeight="1" x14ac:dyDescent="0.2">
      <c r="A368" s="77" t="s">
        <v>1142</v>
      </c>
      <c r="B368" s="71" t="s">
        <v>1145</v>
      </c>
      <c r="C368" s="129" t="s">
        <v>223</v>
      </c>
      <c r="D368" s="34">
        <v>256788923.143837</v>
      </c>
      <c r="E368" s="34">
        <v>461666094.29592001</v>
      </c>
      <c r="F368" s="34">
        <v>483782888.46803999</v>
      </c>
      <c r="G368" s="15"/>
      <c r="H368" s="15"/>
      <c r="I368" s="15"/>
      <c r="J368" s="15"/>
      <c r="K368" s="15"/>
      <c r="L368" s="15"/>
      <c r="M368" s="15"/>
      <c r="N368" s="15"/>
      <c r="O368" s="3"/>
    </row>
    <row r="369" spans="1:15" ht="16.899999999999999" customHeight="1" x14ac:dyDescent="0.2">
      <c r="A369" s="77" t="s">
        <v>1146</v>
      </c>
      <c r="B369" s="71" t="s">
        <v>1147</v>
      </c>
      <c r="C369" s="129" t="s">
        <v>223</v>
      </c>
      <c r="D369" s="34">
        <v>3416827819.27951</v>
      </c>
      <c r="E369" s="34">
        <v>3331274418.0641799</v>
      </c>
      <c r="F369" s="34">
        <v>3307156073.0191002</v>
      </c>
      <c r="G369" s="15"/>
      <c r="H369" s="15"/>
      <c r="I369" s="15"/>
      <c r="J369" s="15"/>
      <c r="K369" s="15"/>
      <c r="L369" s="15"/>
      <c r="M369" s="15"/>
      <c r="N369" s="15"/>
      <c r="O369" s="3"/>
    </row>
    <row r="370" spans="1:15" ht="16.899999999999999" customHeight="1" x14ac:dyDescent="0.2">
      <c r="A370" s="77" t="s">
        <v>1148</v>
      </c>
      <c r="B370" s="71" t="s">
        <v>1149</v>
      </c>
      <c r="C370" s="129" t="s">
        <v>223</v>
      </c>
      <c r="D370" s="34">
        <v>3795656731.20965</v>
      </c>
      <c r="E370" s="34">
        <v>3706367385.2744799</v>
      </c>
      <c r="F370" s="34">
        <v>3683031571.5081701</v>
      </c>
      <c r="G370" s="15"/>
      <c r="H370" s="15"/>
      <c r="I370" s="15"/>
      <c r="J370" s="15"/>
      <c r="K370" s="15"/>
      <c r="L370" s="15"/>
      <c r="M370" s="15"/>
      <c r="N370" s="15"/>
      <c r="O370" s="3"/>
    </row>
    <row r="371" spans="1:15" ht="16.899999999999999" customHeight="1" x14ac:dyDescent="0.2">
      <c r="A371" s="77" t="s">
        <v>1150</v>
      </c>
      <c r="B371" s="71" t="s">
        <v>1151</v>
      </c>
      <c r="C371" s="129" t="s">
        <v>223</v>
      </c>
      <c r="D371" s="34">
        <v>4714595830.3582096</v>
      </c>
      <c r="E371" s="34">
        <v>4535516084.2575703</v>
      </c>
      <c r="F371" s="34">
        <v>4501130550.8498898</v>
      </c>
      <c r="G371" s="15"/>
      <c r="H371" s="15"/>
      <c r="I371" s="15"/>
      <c r="J371" s="15"/>
      <c r="K371" s="15"/>
      <c r="L371" s="15"/>
      <c r="M371" s="15"/>
      <c r="N371" s="15"/>
      <c r="O371" s="3"/>
    </row>
    <row r="372" spans="1:15" ht="16.899999999999999" customHeight="1" x14ac:dyDescent="0.2">
      <c r="A372" s="77" t="s">
        <v>1152</v>
      </c>
      <c r="B372" s="71" t="s">
        <v>1153</v>
      </c>
      <c r="C372" s="129" t="s">
        <v>223</v>
      </c>
      <c r="D372" s="34">
        <v>5259445304.9363499</v>
      </c>
      <c r="E372" s="34">
        <v>5061685223.4484501</v>
      </c>
      <c r="F372" s="34">
        <v>5032130253.5411701</v>
      </c>
      <c r="G372" s="15"/>
      <c r="H372" s="15"/>
      <c r="I372" s="15"/>
      <c r="J372" s="15"/>
      <c r="K372" s="15"/>
      <c r="L372" s="15"/>
      <c r="M372" s="15"/>
      <c r="N372" s="15"/>
      <c r="O372" s="3"/>
    </row>
    <row r="373" spans="1:15" ht="16.899999999999999" customHeight="1" x14ac:dyDescent="0.2">
      <c r="A373" s="77" t="s">
        <v>1154</v>
      </c>
      <c r="B373" s="71" t="s">
        <v>655</v>
      </c>
      <c r="C373" s="129" t="s">
        <v>223</v>
      </c>
      <c r="D373" s="34">
        <v>11144</v>
      </c>
      <c r="E373" s="34">
        <v>11144</v>
      </c>
      <c r="F373" s="34">
        <v>8159</v>
      </c>
      <c r="G373" s="15"/>
      <c r="H373" s="15"/>
      <c r="I373" s="15"/>
      <c r="J373" s="15"/>
      <c r="K373" s="15"/>
      <c r="L373" s="15"/>
      <c r="M373" s="15"/>
      <c r="N373" s="15"/>
      <c r="O373" s="3"/>
    </row>
    <row r="374" spans="1:15" ht="16.899999999999999" customHeight="1" x14ac:dyDescent="0.25">
      <c r="A374" s="154"/>
      <c r="B374" s="106"/>
      <c r="C374" s="110"/>
      <c r="D374" s="109"/>
      <c r="E374" s="109"/>
      <c r="F374" s="109"/>
      <c r="G374" s="150"/>
      <c r="H374" s="150"/>
      <c r="I374" s="150"/>
      <c r="J374" s="150"/>
      <c r="K374" s="150"/>
      <c r="L374" s="150"/>
      <c r="M374" s="150"/>
      <c r="N374" s="150"/>
    </row>
    <row r="375" spans="1:15" ht="17.649999999999999" customHeight="1" x14ac:dyDescent="0.25">
      <c r="A375" s="49"/>
      <c r="B375" s="128" t="s">
        <v>684</v>
      </c>
      <c r="C375" s="116"/>
    </row>
    <row r="376" spans="1:15" ht="16.899999999999999" customHeight="1" x14ac:dyDescent="0.2">
      <c r="A376" s="77" t="s">
        <v>1155</v>
      </c>
      <c r="B376" s="71" t="s">
        <v>1156</v>
      </c>
      <c r="C376" s="129" t="s">
        <v>223</v>
      </c>
      <c r="D376" s="13">
        <v>1.7628999999999999E-2</v>
      </c>
      <c r="E376" s="13">
        <v>1.7982000000000001E-2</v>
      </c>
      <c r="F376" s="13">
        <v>1.7982000000000001E-2</v>
      </c>
      <c r="G376" s="15"/>
      <c r="H376" s="15"/>
      <c r="I376" s="15"/>
      <c r="J376" s="15"/>
      <c r="K376" s="15"/>
      <c r="L376" s="15"/>
      <c r="M376" s="15"/>
      <c r="N376" s="15"/>
      <c r="O376" s="3"/>
    </row>
    <row r="377" spans="1:15" ht="16.899999999999999" customHeight="1" x14ac:dyDescent="0.2">
      <c r="A377" s="77" t="s">
        <v>1157</v>
      </c>
      <c r="B377" s="71" t="s">
        <v>1158</v>
      </c>
      <c r="C377" s="129" t="s">
        <v>223</v>
      </c>
      <c r="D377" s="13">
        <v>1.1258000000000001E-2</v>
      </c>
      <c r="E377" s="13">
        <v>1.1483E-2</v>
      </c>
      <c r="F377" s="13">
        <v>1.1483E-2</v>
      </c>
      <c r="G377" s="15"/>
      <c r="H377" s="15"/>
      <c r="I377" s="15"/>
      <c r="J377" s="15"/>
      <c r="K377" s="15"/>
      <c r="L377" s="15"/>
      <c r="M377" s="15"/>
      <c r="N377" s="15"/>
      <c r="O377" s="3"/>
    </row>
    <row r="378" spans="1:15" ht="16.899999999999999" customHeight="1" x14ac:dyDescent="0.2">
      <c r="A378" s="77" t="s">
        <v>1159</v>
      </c>
      <c r="B378" s="71" t="s">
        <v>692</v>
      </c>
      <c r="C378" s="129" t="s">
        <v>223</v>
      </c>
      <c r="D378" s="13">
        <v>0.33085999999999999</v>
      </c>
      <c r="E378" s="13">
        <v>0.33748</v>
      </c>
      <c r="F378" s="13">
        <v>0.33748</v>
      </c>
      <c r="G378" s="15"/>
      <c r="H378" s="15"/>
      <c r="I378" s="15"/>
      <c r="J378" s="15"/>
      <c r="K378" s="15"/>
      <c r="L378" s="15"/>
      <c r="M378" s="15"/>
      <c r="N378" s="15"/>
      <c r="O378" s="3"/>
    </row>
    <row r="379" spans="1:15" ht="16.899999999999999" customHeight="1" x14ac:dyDescent="0.2">
      <c r="A379" s="77" t="s">
        <v>1160</v>
      </c>
      <c r="B379" s="71" t="s">
        <v>1161</v>
      </c>
      <c r="C379" s="129" t="s">
        <v>223</v>
      </c>
      <c r="D379" s="13">
        <v>2.2336999999999999E-2</v>
      </c>
      <c r="E379" s="13">
        <v>2.2336999999999999E-2</v>
      </c>
      <c r="F379" s="13">
        <v>2.2336999999999999E-2</v>
      </c>
      <c r="G379" s="15"/>
      <c r="H379" s="15"/>
      <c r="I379" s="15"/>
      <c r="J379" s="15"/>
      <c r="K379" s="15"/>
      <c r="L379" s="15"/>
      <c r="M379" s="15"/>
      <c r="N379" s="15"/>
      <c r="O379" s="3"/>
    </row>
    <row r="380" spans="1:15" ht="16.899999999999999" customHeight="1" x14ac:dyDescent="0.2">
      <c r="A380" s="77" t="s">
        <v>1162</v>
      </c>
      <c r="B380" s="71" t="s">
        <v>1163</v>
      </c>
      <c r="C380" s="129" t="s">
        <v>223</v>
      </c>
      <c r="D380" s="13">
        <v>1.4343E-2</v>
      </c>
      <c r="E380" s="13">
        <v>1.4343E-2</v>
      </c>
      <c r="F380" s="13">
        <v>1.4343E-2</v>
      </c>
      <c r="G380" s="15"/>
      <c r="H380" s="15"/>
      <c r="I380" s="15"/>
      <c r="J380" s="15"/>
      <c r="K380" s="15"/>
      <c r="L380" s="15"/>
      <c r="M380" s="15"/>
      <c r="N380" s="15"/>
      <c r="O380" s="3"/>
    </row>
    <row r="381" spans="1:15" ht="16.899999999999999" customHeight="1" x14ac:dyDescent="0.2">
      <c r="A381" s="77" t="s">
        <v>1164</v>
      </c>
      <c r="B381" s="71" t="s">
        <v>1165</v>
      </c>
      <c r="C381" s="129" t="s">
        <v>223</v>
      </c>
      <c r="D381" s="13">
        <v>1.8342000000000001E-2</v>
      </c>
      <c r="E381" s="13">
        <v>1.8342000000000001E-2</v>
      </c>
      <c r="F381" s="13">
        <v>1.8342000000000001E-2</v>
      </c>
      <c r="G381" s="15"/>
      <c r="H381" s="15"/>
      <c r="I381" s="15"/>
      <c r="J381" s="15"/>
      <c r="K381" s="15"/>
      <c r="L381" s="15"/>
      <c r="M381" s="15"/>
      <c r="N381" s="15"/>
      <c r="O381" s="3"/>
    </row>
    <row r="382" spans="1:15" ht="16.899999999999999" customHeight="1" x14ac:dyDescent="0.2">
      <c r="A382" s="77" t="s">
        <v>1166</v>
      </c>
      <c r="B382" s="71" t="s">
        <v>1167</v>
      </c>
      <c r="C382" s="129" t="s">
        <v>223</v>
      </c>
      <c r="D382" s="13">
        <v>1.1712999999999999E-2</v>
      </c>
      <c r="E382" s="13">
        <v>1.1712999999999999E-2</v>
      </c>
      <c r="F382" s="13">
        <v>1.1712999999999999E-2</v>
      </c>
      <c r="G382" s="15"/>
      <c r="H382" s="15"/>
      <c r="I382" s="15"/>
      <c r="J382" s="15"/>
      <c r="K382" s="15"/>
      <c r="L382" s="15"/>
      <c r="M382" s="15"/>
      <c r="N382" s="15"/>
      <c r="O382" s="3"/>
    </row>
    <row r="383" spans="1:15" ht="16.899999999999999" customHeight="1" x14ac:dyDescent="0.25">
      <c r="A383" s="154"/>
      <c r="B383" s="106"/>
      <c r="C383" s="110"/>
      <c r="D383" s="109"/>
      <c r="E383" s="109"/>
      <c r="F383" s="109"/>
      <c r="G383" s="150"/>
      <c r="H383" s="150"/>
      <c r="I383" s="150"/>
      <c r="J383" s="150"/>
      <c r="K383" s="150"/>
      <c r="L383" s="150"/>
      <c r="M383" s="150"/>
      <c r="N383" s="150"/>
    </row>
    <row r="384" spans="1:15" ht="17.649999999999999" customHeight="1" x14ac:dyDescent="0.25">
      <c r="A384" s="49"/>
      <c r="B384" s="128" t="s">
        <v>318</v>
      </c>
      <c r="C384" s="116"/>
    </row>
    <row r="385" spans="1:15" ht="16.899999999999999" customHeight="1" x14ac:dyDescent="0.2">
      <c r="A385" s="77" t="s">
        <v>1168</v>
      </c>
      <c r="B385" s="71" t="s">
        <v>1169</v>
      </c>
      <c r="C385" s="63" t="s">
        <v>190</v>
      </c>
      <c r="D385" s="26">
        <f t="shared" ref="D385:N385" si="50">+D367*D376</f>
        <v>4294912.8264320651</v>
      </c>
      <c r="E385" s="26">
        <f t="shared" si="50"/>
        <v>7823671.8925999543</v>
      </c>
      <c r="F385" s="26">
        <f t="shared" si="50"/>
        <v>8115995.1070001423</v>
      </c>
      <c r="G385" s="26">
        <f t="shared" si="50"/>
        <v>0</v>
      </c>
      <c r="H385" s="26">
        <f t="shared" si="50"/>
        <v>0</v>
      </c>
      <c r="I385" s="26">
        <f t="shared" si="50"/>
        <v>0</v>
      </c>
      <c r="J385" s="26">
        <f t="shared" si="50"/>
        <v>0</v>
      </c>
      <c r="K385" s="26">
        <f t="shared" si="50"/>
        <v>0</v>
      </c>
      <c r="L385" s="26">
        <f t="shared" si="50"/>
        <v>0</v>
      </c>
      <c r="M385" s="26">
        <f t="shared" si="50"/>
        <v>0</v>
      </c>
      <c r="N385" s="26">
        <f t="shared" si="50"/>
        <v>0</v>
      </c>
      <c r="O385" s="3"/>
    </row>
    <row r="386" spans="1:15" ht="16.899999999999999" customHeight="1" x14ac:dyDescent="0.2">
      <c r="A386" s="77" t="s">
        <v>1170</v>
      </c>
      <c r="B386" s="71" t="s">
        <v>1171</v>
      </c>
      <c r="C386" s="63" t="s">
        <v>190</v>
      </c>
      <c r="D386" s="26">
        <f t="shared" ref="D386:N386" si="51">+D368*D377</f>
        <v>2890929.696753317</v>
      </c>
      <c r="E386" s="26">
        <f t="shared" si="51"/>
        <v>5301311.7608000496</v>
      </c>
      <c r="F386" s="26">
        <f t="shared" si="51"/>
        <v>5555278.9082785035</v>
      </c>
      <c r="G386" s="26">
        <f t="shared" si="51"/>
        <v>0</v>
      </c>
      <c r="H386" s="26">
        <f t="shared" si="51"/>
        <v>0</v>
      </c>
      <c r="I386" s="26">
        <f t="shared" si="51"/>
        <v>0</v>
      </c>
      <c r="J386" s="26">
        <f t="shared" si="51"/>
        <v>0</v>
      </c>
      <c r="K386" s="26">
        <f t="shared" si="51"/>
        <v>0</v>
      </c>
      <c r="L386" s="26">
        <f t="shared" si="51"/>
        <v>0</v>
      </c>
      <c r="M386" s="26">
        <f t="shared" si="51"/>
        <v>0</v>
      </c>
      <c r="N386" s="26">
        <f t="shared" si="51"/>
        <v>0</v>
      </c>
      <c r="O386" s="3"/>
    </row>
    <row r="387" spans="1:15" ht="16.899999999999999" customHeight="1" x14ac:dyDescent="0.2">
      <c r="A387" s="77" t="s">
        <v>1172</v>
      </c>
      <c r="B387" s="71" t="s">
        <v>1173</v>
      </c>
      <c r="C387" s="63" t="s">
        <v>190</v>
      </c>
      <c r="D387" s="26">
        <f>+D369*D379*2/3</f>
        <v>50881121.999497615</v>
      </c>
      <c r="E387" s="26">
        <f t="shared" ref="E387:N387" si="52">+E369*E379/3</f>
        <v>24803558.892099861</v>
      </c>
      <c r="F387" s="26">
        <f t="shared" si="52"/>
        <v>24623981.734342545</v>
      </c>
      <c r="G387" s="26">
        <f t="shared" si="52"/>
        <v>0</v>
      </c>
      <c r="H387" s="26">
        <f t="shared" si="52"/>
        <v>0</v>
      </c>
      <c r="I387" s="26">
        <f t="shared" si="52"/>
        <v>0</v>
      </c>
      <c r="J387" s="26">
        <f t="shared" si="52"/>
        <v>0</v>
      </c>
      <c r="K387" s="26">
        <f t="shared" si="52"/>
        <v>0</v>
      </c>
      <c r="L387" s="26">
        <f t="shared" si="52"/>
        <v>0</v>
      </c>
      <c r="M387" s="26">
        <f t="shared" si="52"/>
        <v>0</v>
      </c>
      <c r="N387" s="26">
        <f t="shared" si="52"/>
        <v>0</v>
      </c>
      <c r="O387" s="3"/>
    </row>
    <row r="388" spans="1:15" ht="16.899999999999999" customHeight="1" x14ac:dyDescent="0.2">
      <c r="A388" s="77" t="s">
        <v>1174</v>
      </c>
      <c r="B388" s="71" t="s">
        <v>1175</v>
      </c>
      <c r="C388" s="63" t="s">
        <v>190</v>
      </c>
      <c r="D388" s="26">
        <f>+D370*D380*2/3</f>
        <v>36294069.663826674</v>
      </c>
      <c r="E388" s="26">
        <f t="shared" ref="E388:N388" si="53">+E370*E380/3</f>
        <v>17720142.468997288</v>
      </c>
      <c r="F388" s="26">
        <f t="shared" si="53"/>
        <v>17608573.943380561</v>
      </c>
      <c r="G388" s="26">
        <f t="shared" si="53"/>
        <v>0</v>
      </c>
      <c r="H388" s="26">
        <f t="shared" si="53"/>
        <v>0</v>
      </c>
      <c r="I388" s="26">
        <f t="shared" si="53"/>
        <v>0</v>
      </c>
      <c r="J388" s="26">
        <f t="shared" si="53"/>
        <v>0</v>
      </c>
      <c r="K388" s="26">
        <f t="shared" si="53"/>
        <v>0</v>
      </c>
      <c r="L388" s="26">
        <f t="shared" si="53"/>
        <v>0</v>
      </c>
      <c r="M388" s="26">
        <f t="shared" si="53"/>
        <v>0</v>
      </c>
      <c r="N388" s="26">
        <f t="shared" si="53"/>
        <v>0</v>
      </c>
      <c r="O388" s="3"/>
    </row>
    <row r="389" spans="1:15" ht="16.899999999999999" customHeight="1" x14ac:dyDescent="0.2">
      <c r="A389" s="77" t="s">
        <v>1176</v>
      </c>
      <c r="B389" s="71" t="s">
        <v>1177</v>
      </c>
      <c r="C389" s="63" t="s">
        <v>190</v>
      </c>
      <c r="D389" s="26">
        <f>+D371*D381/3</f>
        <v>28825038.906810094</v>
      </c>
      <c r="E389" s="26">
        <f t="shared" ref="E389:N389" si="54">+E371*E381/3*2</f>
        <v>55460290.678301573</v>
      </c>
      <c r="F389" s="26">
        <f t="shared" si="54"/>
        <v>55039824.375792451</v>
      </c>
      <c r="G389" s="26">
        <f t="shared" si="54"/>
        <v>0</v>
      </c>
      <c r="H389" s="26">
        <f t="shared" si="54"/>
        <v>0</v>
      </c>
      <c r="I389" s="26">
        <f t="shared" si="54"/>
        <v>0</v>
      </c>
      <c r="J389" s="26">
        <f t="shared" si="54"/>
        <v>0</v>
      </c>
      <c r="K389" s="26">
        <f t="shared" si="54"/>
        <v>0</v>
      </c>
      <c r="L389" s="26">
        <f t="shared" si="54"/>
        <v>0</v>
      </c>
      <c r="M389" s="26">
        <f t="shared" si="54"/>
        <v>0</v>
      </c>
      <c r="N389" s="26">
        <f t="shared" si="54"/>
        <v>0</v>
      </c>
      <c r="O389" s="3"/>
    </row>
    <row r="390" spans="1:15" ht="16.899999999999999" customHeight="1" x14ac:dyDescent="0.2">
      <c r="A390" s="77" t="s">
        <v>1178</v>
      </c>
      <c r="B390" s="71" t="s">
        <v>1179</v>
      </c>
      <c r="C390" s="63" t="s">
        <v>190</v>
      </c>
      <c r="D390" s="26">
        <f>+D372*D382/3</f>
        <v>20534627.618906487</v>
      </c>
      <c r="E390" s="26">
        <f t="shared" ref="E390:N390" si="55">+E372*E382/3*2</f>
        <v>39525012.681501128</v>
      </c>
      <c r="F390" s="26">
        <f t="shared" si="55"/>
        <v>39294227.773151815</v>
      </c>
      <c r="G390" s="26">
        <f t="shared" si="55"/>
        <v>0</v>
      </c>
      <c r="H390" s="26">
        <f t="shared" si="55"/>
        <v>0</v>
      </c>
      <c r="I390" s="26">
        <f t="shared" si="55"/>
        <v>0</v>
      </c>
      <c r="J390" s="26">
        <f t="shared" si="55"/>
        <v>0</v>
      </c>
      <c r="K390" s="26">
        <f t="shared" si="55"/>
        <v>0</v>
      </c>
      <c r="L390" s="26">
        <f t="shared" si="55"/>
        <v>0</v>
      </c>
      <c r="M390" s="26">
        <f t="shared" si="55"/>
        <v>0</v>
      </c>
      <c r="N390" s="26">
        <f t="shared" si="55"/>
        <v>0</v>
      </c>
      <c r="O390" s="3"/>
    </row>
    <row r="391" spans="1:15" ht="16.899999999999999" customHeight="1" x14ac:dyDescent="0.2">
      <c r="A391" s="77" t="s">
        <v>1180</v>
      </c>
      <c r="B391" s="71" t="s">
        <v>1181</v>
      </c>
      <c r="C391" s="63" t="s">
        <v>190</v>
      </c>
      <c r="D391" s="26">
        <f t="shared" ref="D391:N391" si="56">+D373*D378</f>
        <v>3687.1038399999998</v>
      </c>
      <c r="E391" s="26">
        <f t="shared" si="56"/>
        <v>3760.8771200000001</v>
      </c>
      <c r="F391" s="26">
        <f t="shared" si="56"/>
        <v>2753.4993199999999</v>
      </c>
      <c r="G391" s="26">
        <f t="shared" si="56"/>
        <v>0</v>
      </c>
      <c r="H391" s="26">
        <f t="shared" si="56"/>
        <v>0</v>
      </c>
      <c r="I391" s="26">
        <f t="shared" si="56"/>
        <v>0</v>
      </c>
      <c r="J391" s="26">
        <f t="shared" si="56"/>
        <v>0</v>
      </c>
      <c r="K391" s="26">
        <f t="shared" si="56"/>
        <v>0</v>
      </c>
      <c r="L391" s="26">
        <f t="shared" si="56"/>
        <v>0</v>
      </c>
      <c r="M391" s="26">
        <f t="shared" si="56"/>
        <v>0</v>
      </c>
      <c r="N391" s="26">
        <f t="shared" si="56"/>
        <v>0</v>
      </c>
      <c r="O391" s="3"/>
    </row>
    <row r="392" spans="1:15" ht="16.899999999999999" customHeight="1" x14ac:dyDescent="0.2">
      <c r="A392" s="77" t="s">
        <v>1182</v>
      </c>
      <c r="B392" s="71" t="s">
        <v>189</v>
      </c>
      <c r="C392" s="63" t="s">
        <v>190</v>
      </c>
      <c r="D392" s="26">
        <f t="shared" ref="D392:N392" si="57">SUM(D385:D391)</f>
        <v>143724387.81606624</v>
      </c>
      <c r="E392" s="26">
        <f t="shared" si="57"/>
        <v>150637749.25141984</v>
      </c>
      <c r="F392" s="26">
        <f t="shared" si="57"/>
        <v>150240635.34126601</v>
      </c>
      <c r="G392" s="26">
        <f t="shared" si="57"/>
        <v>0</v>
      </c>
      <c r="H392" s="26">
        <f t="shared" si="57"/>
        <v>0</v>
      </c>
      <c r="I392" s="26">
        <f t="shared" si="57"/>
        <v>0</v>
      </c>
      <c r="J392" s="26">
        <f t="shared" si="57"/>
        <v>0</v>
      </c>
      <c r="K392" s="26">
        <f t="shared" si="57"/>
        <v>0</v>
      </c>
      <c r="L392" s="26">
        <f t="shared" si="57"/>
        <v>0</v>
      </c>
      <c r="M392" s="26">
        <f t="shared" si="57"/>
        <v>0</v>
      </c>
      <c r="N392" s="26">
        <f t="shared" si="57"/>
        <v>0</v>
      </c>
      <c r="O392" s="3"/>
    </row>
    <row r="393" spans="1:15" ht="16.899999999999999" customHeight="1" x14ac:dyDescent="0.25">
      <c r="A393" s="154"/>
      <c r="B393" s="106"/>
      <c r="C393" s="110"/>
      <c r="D393" s="109"/>
      <c r="E393" s="109"/>
      <c r="F393" s="109"/>
      <c r="G393" s="150"/>
      <c r="H393" s="150"/>
      <c r="I393" s="150"/>
      <c r="J393" s="150"/>
      <c r="K393" s="150"/>
      <c r="L393" s="150"/>
      <c r="M393" s="150"/>
      <c r="N393" s="150"/>
    </row>
    <row r="394" spans="1:15" ht="17.649999999999999" customHeight="1" x14ac:dyDescent="0.25">
      <c r="A394" s="49"/>
      <c r="B394" s="128" t="s">
        <v>704</v>
      </c>
      <c r="C394" s="119"/>
    </row>
    <row r="395" spans="1:15" ht="16.899999999999999" customHeight="1" x14ac:dyDescent="0.2">
      <c r="A395" s="77" t="s">
        <v>1183</v>
      </c>
      <c r="B395" s="62" t="s">
        <v>706</v>
      </c>
      <c r="C395" s="63" t="s">
        <v>223</v>
      </c>
      <c r="D395" s="33">
        <v>11380900.856099799</v>
      </c>
      <c r="E395" s="33">
        <v>10360410.8612001</v>
      </c>
      <c r="F395" s="33">
        <v>11435223.807399901</v>
      </c>
      <c r="G395" s="15"/>
      <c r="H395" s="15"/>
      <c r="I395" s="15"/>
      <c r="J395" s="15"/>
      <c r="K395" s="15"/>
      <c r="L395" s="15"/>
      <c r="M395" s="15"/>
      <c r="N395" s="15"/>
      <c r="O395" s="3"/>
    </row>
    <row r="396" spans="1:15" ht="16.899999999999999" customHeight="1" x14ac:dyDescent="0.2">
      <c r="A396" s="77" t="s">
        <v>1184</v>
      </c>
      <c r="B396" s="62" t="s">
        <v>709</v>
      </c>
      <c r="C396" s="63" t="s">
        <v>190</v>
      </c>
      <c r="D396" s="131">
        <f t="shared" ref="D396:N396" si="58">D395/D392</f>
        <v>7.9185592849173952E-2</v>
      </c>
      <c r="E396" s="131">
        <f t="shared" si="58"/>
        <v>6.8776989251931792E-2</v>
      </c>
      <c r="F396" s="131">
        <f t="shared" si="58"/>
        <v>7.6112722642747183E-2</v>
      </c>
      <c r="G396" s="132" t="e">
        <f t="shared" si="58"/>
        <v>#DIV/0!</v>
      </c>
      <c r="H396" s="132" t="e">
        <f t="shared" si="58"/>
        <v>#DIV/0!</v>
      </c>
      <c r="I396" s="132" t="e">
        <f t="shared" si="58"/>
        <v>#DIV/0!</v>
      </c>
      <c r="J396" s="132" t="e">
        <f t="shared" si="58"/>
        <v>#DIV/0!</v>
      </c>
      <c r="K396" s="132" t="e">
        <f t="shared" si="58"/>
        <v>#DIV/0!</v>
      </c>
      <c r="L396" s="132" t="e">
        <f t="shared" si="58"/>
        <v>#DIV/0!</v>
      </c>
      <c r="M396" s="132" t="e">
        <f t="shared" si="58"/>
        <v>#DIV/0!</v>
      </c>
      <c r="N396" s="132" t="e">
        <f t="shared" si="58"/>
        <v>#DIV/0!</v>
      </c>
      <c r="O396" s="3"/>
    </row>
    <row r="397" spans="1:15" ht="16.899999999999999" customHeight="1" x14ac:dyDescent="0.2">
      <c r="A397" s="77" t="s">
        <v>1185</v>
      </c>
      <c r="B397" s="62" t="s">
        <v>712</v>
      </c>
      <c r="C397" s="63" t="s">
        <v>223</v>
      </c>
      <c r="D397" s="33">
        <v>9222526.1803993694</v>
      </c>
      <c r="E397" s="33">
        <f>9452089.45</f>
        <v>9452089.4499999993</v>
      </c>
      <c r="F397" s="33">
        <v>9144062.6661999896</v>
      </c>
      <c r="G397" s="15"/>
      <c r="H397" s="15"/>
      <c r="I397" s="15"/>
      <c r="J397" s="15"/>
      <c r="K397" s="15"/>
      <c r="L397" s="15"/>
      <c r="M397" s="15"/>
      <c r="N397" s="15"/>
      <c r="O397" s="3"/>
    </row>
    <row r="398" spans="1:15" ht="16.899999999999999" customHeight="1" x14ac:dyDescent="0.2">
      <c r="A398" s="77" t="s">
        <v>1186</v>
      </c>
      <c r="B398" s="62" t="s">
        <v>715</v>
      </c>
      <c r="C398" s="63" t="s">
        <v>190</v>
      </c>
      <c r="D398" s="131">
        <f t="shared" ref="D398:N398" si="59">D397/D392</f>
        <v>6.4168136810588167E-2</v>
      </c>
      <c r="E398" s="131">
        <f t="shared" si="59"/>
        <v>6.2747150013667027E-2</v>
      </c>
      <c r="F398" s="131">
        <f t="shared" si="59"/>
        <v>6.0862779536505499E-2</v>
      </c>
      <c r="G398" s="132" t="e">
        <f t="shared" si="59"/>
        <v>#DIV/0!</v>
      </c>
      <c r="H398" s="132" t="e">
        <f t="shared" si="59"/>
        <v>#DIV/0!</v>
      </c>
      <c r="I398" s="132" t="e">
        <f t="shared" si="59"/>
        <v>#DIV/0!</v>
      </c>
      <c r="J398" s="132" t="e">
        <f t="shared" si="59"/>
        <v>#DIV/0!</v>
      </c>
      <c r="K398" s="132" t="e">
        <f t="shared" si="59"/>
        <v>#DIV/0!</v>
      </c>
      <c r="L398" s="132" t="e">
        <f t="shared" si="59"/>
        <v>#DIV/0!</v>
      </c>
      <c r="M398" s="132" t="e">
        <f t="shared" si="59"/>
        <v>#DIV/0!</v>
      </c>
      <c r="N398" s="132" t="e">
        <f t="shared" si="59"/>
        <v>#DIV/0!</v>
      </c>
      <c r="O398" s="3"/>
    </row>
    <row r="399" spans="1:15" ht="16.899999999999999" customHeight="1" x14ac:dyDescent="0.2">
      <c r="A399" s="77" t="s">
        <v>1187</v>
      </c>
      <c r="B399" s="62" t="s">
        <v>347</v>
      </c>
      <c r="C399" s="63" t="s">
        <v>223</v>
      </c>
      <c r="D399" s="136">
        <v>1374479.8991000101</v>
      </c>
      <c r="E399" s="136">
        <v>1195923.0462</v>
      </c>
      <c r="F399" s="136">
        <v>1115746.4663</v>
      </c>
      <c r="G399" s="15"/>
      <c r="H399" s="15"/>
      <c r="I399" s="15"/>
      <c r="J399" s="15"/>
      <c r="K399" s="15"/>
      <c r="L399" s="15"/>
      <c r="M399" s="15"/>
      <c r="N399" s="15"/>
      <c r="O399" s="3"/>
    </row>
    <row r="400" spans="1:15" ht="16.899999999999999" customHeight="1" x14ac:dyDescent="0.2">
      <c r="A400" s="77" t="s">
        <v>1188</v>
      </c>
      <c r="B400" s="62" t="s">
        <v>350</v>
      </c>
      <c r="C400" s="63" t="s">
        <v>190</v>
      </c>
      <c r="D400" s="131">
        <f t="shared" ref="D400:N400" si="60">D399/D392</f>
        <v>9.5633032082142137E-3</v>
      </c>
      <c r="E400" s="131">
        <f t="shared" si="60"/>
        <v>7.9390660849821999E-3</v>
      </c>
      <c r="F400" s="131">
        <f t="shared" si="60"/>
        <v>7.4263960862893282E-3</v>
      </c>
      <c r="G400" s="132" t="e">
        <f t="shared" si="60"/>
        <v>#DIV/0!</v>
      </c>
      <c r="H400" s="132" t="e">
        <f t="shared" si="60"/>
        <v>#DIV/0!</v>
      </c>
      <c r="I400" s="132" t="e">
        <f t="shared" si="60"/>
        <v>#DIV/0!</v>
      </c>
      <c r="J400" s="132" t="e">
        <f t="shared" si="60"/>
        <v>#DIV/0!</v>
      </c>
      <c r="K400" s="132" t="e">
        <f t="shared" si="60"/>
        <v>#DIV/0!</v>
      </c>
      <c r="L400" s="132" t="e">
        <f t="shared" si="60"/>
        <v>#DIV/0!</v>
      </c>
      <c r="M400" s="132" t="e">
        <f t="shared" si="60"/>
        <v>#DIV/0!</v>
      </c>
      <c r="N400" s="132" t="e">
        <f t="shared" si="60"/>
        <v>#DIV/0!</v>
      </c>
      <c r="O400" s="3"/>
    </row>
    <row r="401" spans="1:15" ht="16.899999999999999" customHeight="1" x14ac:dyDescent="0.25">
      <c r="A401" s="150"/>
      <c r="B401" s="109"/>
      <c r="C401" s="110"/>
      <c r="D401" s="109"/>
      <c r="E401" s="109"/>
      <c r="F401" s="109"/>
      <c r="G401" s="150"/>
      <c r="H401" s="150"/>
      <c r="I401" s="150"/>
      <c r="J401" s="150"/>
      <c r="K401" s="150"/>
      <c r="L401" s="150"/>
      <c r="M401" s="150"/>
      <c r="N401" s="150"/>
    </row>
    <row r="402" spans="1:15" ht="20.100000000000001" customHeight="1" x14ac:dyDescent="0.25">
      <c r="B402" s="127" t="s">
        <v>719</v>
      </c>
    </row>
    <row r="403" spans="1:15" ht="17.649999999999999" customHeight="1" x14ac:dyDescent="0.25">
      <c r="A403" s="49"/>
      <c r="B403" s="128" t="s">
        <v>720</v>
      </c>
      <c r="C403" s="31" t="s">
        <v>159</v>
      </c>
      <c r="D403" s="31" t="str">
        <f>+$D$10</f>
        <v>2018-19 RF</v>
      </c>
      <c r="E403" s="31" t="str">
        <f>+$E$10</f>
        <v>2019-20 monthly</v>
      </c>
      <c r="F403" s="31" t="str">
        <f>+$F$10</f>
        <v>2019-20 RF</v>
      </c>
      <c r="G403" s="31" t="s">
        <v>829</v>
      </c>
      <c r="H403" s="31" t="s">
        <v>18</v>
      </c>
      <c r="I403" s="31" t="s">
        <v>830</v>
      </c>
      <c r="J403" s="31" t="s">
        <v>20</v>
      </c>
      <c r="K403" s="31" t="s">
        <v>831</v>
      </c>
      <c r="L403" s="31" t="s">
        <v>22</v>
      </c>
      <c r="M403" s="31" t="s">
        <v>832</v>
      </c>
      <c r="N403" s="31" t="s">
        <v>24</v>
      </c>
      <c r="O403" s="3"/>
    </row>
    <row r="404" spans="1:15" ht="17.649999999999999" customHeight="1" x14ac:dyDescent="0.2">
      <c r="A404" s="77" t="s">
        <v>1189</v>
      </c>
      <c r="B404" s="71" t="s">
        <v>722</v>
      </c>
      <c r="C404" s="129" t="s">
        <v>223</v>
      </c>
      <c r="D404" s="137">
        <v>104988.7628</v>
      </c>
      <c r="E404" s="137">
        <v>119492.874264596</v>
      </c>
      <c r="F404" s="137">
        <v>119492.874264596</v>
      </c>
      <c r="G404" s="161"/>
      <c r="H404" s="161"/>
      <c r="I404" s="161"/>
      <c r="J404" s="161"/>
      <c r="K404" s="161"/>
      <c r="L404" s="161"/>
      <c r="M404" s="161"/>
      <c r="N404" s="161"/>
      <c r="O404" s="3"/>
    </row>
    <row r="405" spans="1:15" ht="17.649999999999999" customHeight="1" x14ac:dyDescent="0.2">
      <c r="A405" s="77" t="s">
        <v>1190</v>
      </c>
      <c r="B405" s="71" t="s">
        <v>725</v>
      </c>
      <c r="C405" s="129" t="s">
        <v>223</v>
      </c>
      <c r="D405" s="137">
        <v>52038.506999999998</v>
      </c>
      <c r="E405" s="137">
        <v>57087.1253390204</v>
      </c>
      <c r="F405" s="137">
        <v>57087.1253390204</v>
      </c>
      <c r="G405" s="161"/>
      <c r="H405" s="161"/>
      <c r="I405" s="161"/>
      <c r="J405" s="161"/>
      <c r="K405" s="161"/>
      <c r="L405" s="161"/>
      <c r="M405" s="161"/>
      <c r="N405" s="161"/>
      <c r="O405" s="3"/>
    </row>
    <row r="406" spans="1:15" ht="17.649999999999999" customHeight="1" x14ac:dyDescent="0.2">
      <c r="A406" s="77" t="s">
        <v>1191</v>
      </c>
      <c r="B406" s="71" t="s">
        <v>728</v>
      </c>
      <c r="C406" s="129" t="s">
        <v>223</v>
      </c>
      <c r="D406" s="137">
        <v>27326.447899999999</v>
      </c>
      <c r="E406" s="137">
        <v>29400.131694045202</v>
      </c>
      <c r="F406" s="137">
        <v>29400.131694045202</v>
      </c>
      <c r="G406" s="161"/>
      <c r="H406" s="161"/>
      <c r="I406" s="161"/>
      <c r="J406" s="161"/>
      <c r="K406" s="161"/>
      <c r="L406" s="161"/>
      <c r="M406" s="161"/>
      <c r="N406" s="161"/>
      <c r="O406" s="3"/>
    </row>
    <row r="407" spans="1:15" ht="17.649999999999999" customHeight="1" x14ac:dyDescent="0.25">
      <c r="A407" s="154"/>
      <c r="B407" s="106"/>
      <c r="C407" s="110"/>
      <c r="D407" s="162"/>
      <c r="E407" s="162"/>
      <c r="F407" s="162"/>
      <c r="G407" s="150"/>
      <c r="H407" s="150"/>
      <c r="I407" s="150"/>
      <c r="J407" s="150"/>
      <c r="K407" s="150"/>
      <c r="L407" s="150"/>
      <c r="M407" s="150"/>
      <c r="N407" s="150"/>
    </row>
    <row r="408" spans="1:15" ht="17.649999999999999" customHeight="1" x14ac:dyDescent="0.25">
      <c r="A408" s="49"/>
      <c r="B408" s="128" t="s">
        <v>730</v>
      </c>
      <c r="C408" s="116"/>
    </row>
    <row r="409" spans="1:15" ht="17.649999999999999" customHeight="1" x14ac:dyDescent="0.2">
      <c r="A409" s="77" t="s">
        <v>1192</v>
      </c>
      <c r="B409" s="71" t="s">
        <v>732</v>
      </c>
      <c r="C409" s="129" t="s">
        <v>223</v>
      </c>
      <c r="D409" s="137">
        <v>18924506.3774422</v>
      </c>
      <c r="E409" s="137">
        <v>21441234.489016701</v>
      </c>
      <c r="F409" s="137">
        <v>21441234.489016701</v>
      </c>
      <c r="G409" s="161"/>
      <c r="H409" s="161"/>
      <c r="I409" s="161"/>
      <c r="J409" s="161"/>
      <c r="K409" s="161"/>
      <c r="L409" s="161"/>
      <c r="M409" s="161"/>
      <c r="N409" s="161"/>
      <c r="O409" s="3"/>
    </row>
    <row r="410" spans="1:15" ht="17.649999999999999" customHeight="1" x14ac:dyDescent="0.2">
      <c r="A410" s="77" t="s">
        <v>1193</v>
      </c>
      <c r="B410" s="71" t="s">
        <v>735</v>
      </c>
      <c r="C410" s="129" t="s">
        <v>223</v>
      </c>
      <c r="D410" s="137">
        <v>47693243.548422202</v>
      </c>
      <c r="E410" s="137">
        <v>51759075.3293586</v>
      </c>
      <c r="F410" s="137">
        <v>51759075.3293586</v>
      </c>
      <c r="G410" s="161"/>
      <c r="H410" s="161"/>
      <c r="I410" s="161"/>
      <c r="J410" s="161"/>
      <c r="K410" s="161"/>
      <c r="L410" s="161"/>
      <c r="M410" s="161"/>
      <c r="N410" s="161"/>
      <c r="O410" s="3"/>
    </row>
    <row r="411" spans="1:15" ht="17.649999999999999" customHeight="1" x14ac:dyDescent="0.2">
      <c r="A411" s="77" t="s">
        <v>1194</v>
      </c>
      <c r="B411" s="71" t="s">
        <v>738</v>
      </c>
      <c r="C411" s="129" t="s">
        <v>223</v>
      </c>
      <c r="D411" s="137">
        <v>15295161.029406199</v>
      </c>
      <c r="E411" s="137">
        <v>16038579.950910799</v>
      </c>
      <c r="F411" s="137">
        <v>16038579.950910799</v>
      </c>
      <c r="G411" s="161"/>
      <c r="H411" s="161"/>
      <c r="I411" s="161"/>
      <c r="J411" s="161"/>
      <c r="K411" s="161"/>
      <c r="L411" s="161"/>
      <c r="M411" s="161"/>
      <c r="N411" s="161"/>
      <c r="O411" s="3"/>
    </row>
    <row r="412" spans="1:15" ht="17.649999999999999" customHeight="1" x14ac:dyDescent="0.25">
      <c r="A412" s="154"/>
      <c r="B412" s="106"/>
      <c r="C412" s="110"/>
      <c r="D412" s="162"/>
      <c r="E412" s="162"/>
      <c r="F412" s="162"/>
      <c r="G412" s="150"/>
      <c r="H412" s="150"/>
      <c r="I412" s="150"/>
      <c r="J412" s="150"/>
      <c r="K412" s="150"/>
      <c r="L412" s="150"/>
      <c r="M412" s="150"/>
      <c r="N412" s="150"/>
    </row>
    <row r="413" spans="1:15" ht="17.649999999999999" customHeight="1" x14ac:dyDescent="0.25">
      <c r="A413" s="49"/>
      <c r="B413" s="128" t="s">
        <v>740</v>
      </c>
      <c r="C413" s="116"/>
    </row>
    <row r="414" spans="1:15" ht="17.649999999999999" customHeight="1" x14ac:dyDescent="0.2">
      <c r="A414" s="77" t="s">
        <v>1195</v>
      </c>
      <c r="B414" s="71" t="s">
        <v>742</v>
      </c>
      <c r="C414" s="129" t="s">
        <v>223</v>
      </c>
      <c r="D414" s="138">
        <v>9.7312999999999997E-2</v>
      </c>
      <c r="E414" s="138">
        <v>9.9259E-2</v>
      </c>
      <c r="F414" s="138">
        <v>9.9259E-2</v>
      </c>
      <c r="G414" s="161"/>
      <c r="H414" s="161"/>
      <c r="I414" s="161"/>
      <c r="J414" s="161"/>
      <c r="K414" s="161"/>
      <c r="L414" s="161"/>
      <c r="M414" s="161"/>
      <c r="N414" s="161"/>
      <c r="O414" s="3"/>
    </row>
    <row r="415" spans="1:15" ht="17.649999999999999" customHeight="1" x14ac:dyDescent="0.2">
      <c r="A415" s="77" t="s">
        <v>1196</v>
      </c>
      <c r="B415" s="71" t="s">
        <v>745</v>
      </c>
      <c r="C415" s="129" t="s">
        <v>223</v>
      </c>
      <c r="D415" s="138">
        <v>6.4785999999999996E-2</v>
      </c>
      <c r="E415" s="138">
        <v>6.6082000000000002E-2</v>
      </c>
      <c r="F415" s="138">
        <v>6.6082000000000002E-2</v>
      </c>
      <c r="G415" s="161"/>
      <c r="H415" s="161"/>
      <c r="I415" s="161"/>
      <c r="J415" s="161"/>
      <c r="K415" s="161"/>
      <c r="L415" s="161"/>
      <c r="M415" s="161"/>
      <c r="N415" s="161"/>
      <c r="O415" s="3"/>
    </row>
    <row r="416" spans="1:15" ht="17.649999999999999" customHeight="1" x14ac:dyDescent="0.2">
      <c r="A416" s="77" t="s">
        <v>1197</v>
      </c>
      <c r="B416" s="71" t="s">
        <v>748</v>
      </c>
      <c r="C416" s="129" t="s">
        <v>223</v>
      </c>
      <c r="D416" s="138">
        <v>0.24724499999999999</v>
      </c>
      <c r="E416" s="138">
        <v>0.25219000000000003</v>
      </c>
      <c r="F416" s="138">
        <v>0.25219000000000003</v>
      </c>
      <c r="G416" s="161"/>
      <c r="H416" s="161"/>
      <c r="I416" s="161"/>
      <c r="J416" s="161"/>
      <c r="K416" s="161"/>
      <c r="L416" s="161"/>
      <c r="M416" s="161"/>
      <c r="N416" s="161"/>
      <c r="O416" s="3"/>
    </row>
    <row r="417" spans="1:15" ht="17.649999999999999" customHeight="1" x14ac:dyDescent="0.2">
      <c r="A417" s="77" t="s">
        <v>1198</v>
      </c>
      <c r="B417" s="71" t="s">
        <v>751</v>
      </c>
      <c r="C417" s="129" t="s">
        <v>223</v>
      </c>
      <c r="D417" s="138">
        <v>0.211921</v>
      </c>
      <c r="E417" s="138">
        <v>0.21615899999999999</v>
      </c>
      <c r="F417" s="138">
        <v>0.21615899999999999</v>
      </c>
      <c r="G417" s="161"/>
      <c r="H417" s="161"/>
      <c r="I417" s="161"/>
      <c r="J417" s="161"/>
      <c r="K417" s="161"/>
      <c r="L417" s="161"/>
      <c r="M417" s="161"/>
      <c r="N417" s="161"/>
      <c r="O417" s="3"/>
    </row>
    <row r="418" spans="1:15" ht="17.649999999999999" customHeight="1" x14ac:dyDescent="0.25">
      <c r="A418" s="154"/>
      <c r="B418" s="106"/>
      <c r="C418" s="110"/>
      <c r="D418" s="162"/>
      <c r="E418" s="162"/>
      <c r="F418" s="162"/>
      <c r="G418" s="150"/>
      <c r="H418" s="150"/>
      <c r="I418" s="150"/>
      <c r="J418" s="150"/>
      <c r="K418" s="150"/>
      <c r="L418" s="150"/>
      <c r="M418" s="150"/>
      <c r="N418" s="150"/>
    </row>
    <row r="419" spans="1:15" ht="17.649999999999999" customHeight="1" x14ac:dyDescent="0.25">
      <c r="A419" s="49"/>
      <c r="B419" s="128" t="s">
        <v>752</v>
      </c>
      <c r="C419" s="116"/>
    </row>
    <row r="420" spans="1:15" ht="17.649999999999999" customHeight="1" x14ac:dyDescent="0.2">
      <c r="A420" s="77" t="s">
        <v>1199</v>
      </c>
      <c r="B420" s="71" t="s">
        <v>754</v>
      </c>
      <c r="C420" s="129" t="s">
        <v>223</v>
      </c>
      <c r="D420" s="138">
        <v>0.15687000000000001</v>
      </c>
      <c r="E420" s="138">
        <v>0.16000700000000001</v>
      </c>
      <c r="F420" s="138">
        <v>0.16000700000000001</v>
      </c>
      <c r="G420" s="161"/>
      <c r="H420" s="161"/>
      <c r="I420" s="161"/>
      <c r="J420" s="161"/>
      <c r="K420" s="161"/>
      <c r="L420" s="161"/>
      <c r="M420" s="161"/>
      <c r="N420" s="161"/>
      <c r="O420" s="3"/>
    </row>
    <row r="421" spans="1:15" ht="17.649999999999999" customHeight="1" x14ac:dyDescent="0.2">
      <c r="A421" s="77" t="s">
        <v>1200</v>
      </c>
      <c r="B421" s="71" t="s">
        <v>757</v>
      </c>
      <c r="C421" s="129" t="s">
        <v>223</v>
      </c>
      <c r="D421" s="138">
        <v>0.10462200000000001</v>
      </c>
      <c r="E421" s="138">
        <v>0.106714</v>
      </c>
      <c r="F421" s="138">
        <v>0.106714</v>
      </c>
      <c r="G421" s="161"/>
      <c r="H421" s="161"/>
      <c r="I421" s="161"/>
      <c r="J421" s="161"/>
      <c r="K421" s="161"/>
      <c r="L421" s="161"/>
      <c r="M421" s="161"/>
      <c r="N421" s="161"/>
      <c r="O421" s="3"/>
    </row>
    <row r="422" spans="1:15" ht="17.649999999999999" customHeight="1" x14ac:dyDescent="0.2">
      <c r="A422" s="77" t="s">
        <v>1201</v>
      </c>
      <c r="B422" s="71" t="s">
        <v>760</v>
      </c>
      <c r="C422" s="129" t="s">
        <v>223</v>
      </c>
      <c r="D422" s="138">
        <v>0.139823</v>
      </c>
      <c r="E422" s="138">
        <v>0.142619</v>
      </c>
      <c r="F422" s="138">
        <v>0.142619</v>
      </c>
      <c r="G422" s="161"/>
      <c r="H422" s="161"/>
      <c r="I422" s="161"/>
      <c r="J422" s="161"/>
      <c r="K422" s="161"/>
      <c r="L422" s="161"/>
      <c r="M422" s="161"/>
      <c r="N422" s="161"/>
      <c r="O422" s="3"/>
    </row>
    <row r="423" spans="1:15" ht="17.649999999999999" customHeight="1" x14ac:dyDescent="0.2">
      <c r="A423" s="77" t="s">
        <v>1202</v>
      </c>
      <c r="B423" s="71" t="s">
        <v>763</v>
      </c>
      <c r="C423" s="129" t="s">
        <v>223</v>
      </c>
      <c r="D423" s="138">
        <v>8.5500000000000007E-2</v>
      </c>
      <c r="E423" s="138">
        <v>8.7209999999999996E-2</v>
      </c>
      <c r="F423" s="138">
        <v>8.7209999999999996E-2</v>
      </c>
      <c r="G423" s="161"/>
      <c r="H423" s="161"/>
      <c r="I423" s="161"/>
      <c r="J423" s="161"/>
      <c r="K423" s="161"/>
      <c r="L423" s="161"/>
      <c r="M423" s="161"/>
      <c r="N423" s="161"/>
      <c r="O423" s="3"/>
    </row>
    <row r="424" spans="1:15" ht="17.649999999999999" customHeight="1" x14ac:dyDescent="0.25">
      <c r="A424" s="154"/>
      <c r="B424" s="106"/>
      <c r="C424" s="110"/>
      <c r="D424" s="162"/>
      <c r="E424" s="162"/>
      <c r="F424" s="162"/>
      <c r="G424" s="150"/>
      <c r="H424" s="150"/>
      <c r="I424" s="150"/>
      <c r="J424" s="150"/>
      <c r="K424" s="150"/>
      <c r="L424" s="150"/>
      <c r="M424" s="150"/>
      <c r="N424" s="150"/>
    </row>
    <row r="425" spans="1:15" ht="17.649999999999999" customHeight="1" x14ac:dyDescent="0.25">
      <c r="A425" s="49"/>
      <c r="B425" s="128" t="s">
        <v>481</v>
      </c>
      <c r="C425" s="114"/>
    </row>
    <row r="426" spans="1:15" ht="17.649999999999999" customHeight="1" x14ac:dyDescent="0.2">
      <c r="A426" s="77" t="s">
        <v>1203</v>
      </c>
      <c r="B426" s="71" t="s">
        <v>766</v>
      </c>
      <c r="C426" s="129" t="s">
        <v>223</v>
      </c>
      <c r="D426" s="137">
        <v>5062249.5273000002</v>
      </c>
      <c r="E426" s="137">
        <v>0</v>
      </c>
      <c r="F426" s="137">
        <v>0</v>
      </c>
      <c r="G426" s="161"/>
      <c r="H426" s="161"/>
      <c r="I426" s="161"/>
      <c r="J426" s="161"/>
      <c r="K426" s="161"/>
      <c r="L426" s="161"/>
      <c r="M426" s="161"/>
      <c r="N426" s="161"/>
      <c r="O426" s="3"/>
    </row>
    <row r="427" spans="1:15" ht="17.649999999999999" customHeight="1" x14ac:dyDescent="0.25">
      <c r="A427" s="154"/>
      <c r="B427" s="106"/>
      <c r="C427" s="110"/>
      <c r="D427" s="162"/>
      <c r="E427" s="162"/>
      <c r="F427" s="162"/>
      <c r="G427" s="150"/>
      <c r="H427" s="150"/>
      <c r="I427" s="150"/>
      <c r="J427" s="150"/>
      <c r="K427" s="150"/>
      <c r="L427" s="150"/>
      <c r="M427" s="150"/>
      <c r="N427" s="150"/>
    </row>
    <row r="428" spans="1:15" ht="17.649999999999999" customHeight="1" x14ac:dyDescent="0.25">
      <c r="A428" s="49"/>
      <c r="B428" s="128" t="s">
        <v>318</v>
      </c>
      <c r="C428" s="116"/>
    </row>
    <row r="429" spans="1:15" ht="17.649999999999999" customHeight="1" x14ac:dyDescent="0.2">
      <c r="A429" s="77" t="s">
        <v>1204</v>
      </c>
      <c r="B429" s="96" t="s">
        <v>769</v>
      </c>
      <c r="C429" s="97" t="s">
        <v>190</v>
      </c>
      <c r="D429" s="139">
        <f>(D404*(D414+D415)+(D405*D416)+(D406*D417))*365</f>
        <v>13021697.035758054</v>
      </c>
      <c r="E429" s="139">
        <f t="shared" ref="E429:N429" si="61">(E404*(E414+E415)+(E405*E416)+(E406*E417))*366</f>
        <v>14826285.409937266</v>
      </c>
      <c r="F429" s="139">
        <f t="shared" si="61"/>
        <v>14826285.409937266</v>
      </c>
      <c r="G429" s="139">
        <f t="shared" si="61"/>
        <v>0</v>
      </c>
      <c r="H429" s="139">
        <f t="shared" si="61"/>
        <v>0</v>
      </c>
      <c r="I429" s="139">
        <f t="shared" si="61"/>
        <v>0</v>
      </c>
      <c r="J429" s="139">
        <f t="shared" si="61"/>
        <v>0</v>
      </c>
      <c r="K429" s="139">
        <f t="shared" si="61"/>
        <v>0</v>
      </c>
      <c r="L429" s="139">
        <f t="shared" si="61"/>
        <v>0</v>
      </c>
      <c r="M429" s="139">
        <f t="shared" si="61"/>
        <v>0</v>
      </c>
      <c r="N429" s="139">
        <f t="shared" si="61"/>
        <v>0</v>
      </c>
      <c r="O429" s="3"/>
    </row>
    <row r="430" spans="1:15" ht="17.649999999999999" customHeight="1" x14ac:dyDescent="0.2">
      <c r="A430" s="77" t="s">
        <v>1205</v>
      </c>
      <c r="B430" s="140" t="s">
        <v>772</v>
      </c>
      <c r="C430" s="63" t="s">
        <v>190</v>
      </c>
      <c r="D430" s="139">
        <f t="shared" ref="D430:N430" si="62">(D409*(D420+D421)+(D410*D422)+(D411*D423))</f>
        <v>12924955.682335384</v>
      </c>
      <c r="E430" s="139">
        <f t="shared" si="62"/>
        <v>14499379.626061749</v>
      </c>
      <c r="F430" s="139">
        <f t="shared" si="62"/>
        <v>14499379.626061749</v>
      </c>
      <c r="G430" s="139">
        <f t="shared" si="62"/>
        <v>0</v>
      </c>
      <c r="H430" s="139">
        <f t="shared" si="62"/>
        <v>0</v>
      </c>
      <c r="I430" s="139">
        <f t="shared" si="62"/>
        <v>0</v>
      </c>
      <c r="J430" s="139">
        <f t="shared" si="62"/>
        <v>0</v>
      </c>
      <c r="K430" s="139">
        <f t="shared" si="62"/>
        <v>0</v>
      </c>
      <c r="L430" s="139">
        <f t="shared" si="62"/>
        <v>0</v>
      </c>
      <c r="M430" s="139">
        <f t="shared" si="62"/>
        <v>0</v>
      </c>
      <c r="N430" s="139">
        <f t="shared" si="62"/>
        <v>0</v>
      </c>
      <c r="O430" s="3"/>
    </row>
    <row r="431" spans="1:15" ht="17.649999999999999" customHeight="1" x14ac:dyDescent="0.2">
      <c r="A431" s="77" t="s">
        <v>1206</v>
      </c>
      <c r="B431" s="71" t="s">
        <v>495</v>
      </c>
      <c r="C431" s="63" t="s">
        <v>190</v>
      </c>
      <c r="D431" s="139">
        <f t="shared" ref="D431:N431" si="63">D426</f>
        <v>5062249.5273000002</v>
      </c>
      <c r="E431" s="139">
        <f t="shared" si="63"/>
        <v>0</v>
      </c>
      <c r="F431" s="139">
        <f t="shared" si="63"/>
        <v>0</v>
      </c>
      <c r="G431" s="139">
        <f t="shared" si="63"/>
        <v>0</v>
      </c>
      <c r="H431" s="139">
        <f t="shared" si="63"/>
        <v>0</v>
      </c>
      <c r="I431" s="139">
        <f t="shared" si="63"/>
        <v>0</v>
      </c>
      <c r="J431" s="139">
        <f t="shared" si="63"/>
        <v>0</v>
      </c>
      <c r="K431" s="139">
        <f t="shared" si="63"/>
        <v>0</v>
      </c>
      <c r="L431" s="139">
        <f t="shared" si="63"/>
        <v>0</v>
      </c>
      <c r="M431" s="139">
        <f t="shared" si="63"/>
        <v>0</v>
      </c>
      <c r="N431" s="139">
        <f t="shared" si="63"/>
        <v>0</v>
      </c>
      <c r="O431" s="3"/>
    </row>
    <row r="432" spans="1:15" ht="17.649999999999999" customHeight="1" x14ac:dyDescent="0.2">
      <c r="A432" s="77" t="s">
        <v>1207</v>
      </c>
      <c r="B432" s="71" t="s">
        <v>189</v>
      </c>
      <c r="C432" s="63" t="s">
        <v>190</v>
      </c>
      <c r="D432" s="139">
        <f t="shared" ref="D432:N432" si="64">SUM(D429:D431)</f>
        <v>31008902.24539344</v>
      </c>
      <c r="E432" s="139">
        <f t="shared" si="64"/>
        <v>29325665.035999015</v>
      </c>
      <c r="F432" s="139">
        <f t="shared" si="64"/>
        <v>29325665.035999015</v>
      </c>
      <c r="G432" s="139">
        <f t="shared" si="64"/>
        <v>0</v>
      </c>
      <c r="H432" s="139">
        <f t="shared" si="64"/>
        <v>0</v>
      </c>
      <c r="I432" s="139">
        <f t="shared" si="64"/>
        <v>0</v>
      </c>
      <c r="J432" s="139">
        <f t="shared" si="64"/>
        <v>0</v>
      </c>
      <c r="K432" s="139">
        <f t="shared" si="64"/>
        <v>0</v>
      </c>
      <c r="L432" s="139">
        <f t="shared" si="64"/>
        <v>0</v>
      </c>
      <c r="M432" s="139">
        <f t="shared" si="64"/>
        <v>0</v>
      </c>
      <c r="N432" s="139">
        <f t="shared" si="64"/>
        <v>0</v>
      </c>
      <c r="O432" s="3"/>
    </row>
    <row r="433" spans="1:15" ht="17.649999999999999" customHeight="1" x14ac:dyDescent="0.25">
      <c r="A433" s="154"/>
      <c r="B433" s="106"/>
      <c r="C433" s="110"/>
      <c r="D433" s="162"/>
      <c r="E433" s="162"/>
      <c r="F433" s="162"/>
      <c r="G433" s="150"/>
      <c r="H433" s="150"/>
      <c r="I433" s="150"/>
      <c r="J433" s="150"/>
      <c r="K433" s="150"/>
      <c r="L433" s="150"/>
      <c r="M433" s="150"/>
      <c r="N433" s="150"/>
    </row>
    <row r="434" spans="1:15" ht="17.649999999999999" customHeight="1" x14ac:dyDescent="0.25">
      <c r="A434" s="49"/>
      <c r="B434" s="128" t="s">
        <v>776</v>
      </c>
      <c r="C434" s="119"/>
    </row>
    <row r="435" spans="1:15" ht="17.649999999999999" customHeight="1" x14ac:dyDescent="0.2">
      <c r="A435" s="77" t="s">
        <v>1208</v>
      </c>
      <c r="B435" s="62" t="s">
        <v>778</v>
      </c>
      <c r="C435" s="63" t="s">
        <v>223</v>
      </c>
      <c r="D435" s="161"/>
      <c r="E435" s="161"/>
      <c r="F435" s="161"/>
      <c r="G435" s="161"/>
      <c r="H435" s="161"/>
      <c r="I435" s="161"/>
      <c r="J435" s="161"/>
      <c r="K435" s="161"/>
      <c r="L435" s="161"/>
      <c r="M435" s="161"/>
      <c r="N435" s="161"/>
      <c r="O435" s="3"/>
    </row>
    <row r="436" spans="1:15" ht="17.649999999999999" customHeight="1" x14ac:dyDescent="0.2">
      <c r="A436" s="77" t="s">
        <v>1209</v>
      </c>
      <c r="B436" s="62" t="s">
        <v>781</v>
      </c>
      <c r="C436" s="63" t="s">
        <v>190</v>
      </c>
      <c r="D436" s="141">
        <v>0</v>
      </c>
      <c r="E436" s="141">
        <v>0</v>
      </c>
      <c r="F436" s="141">
        <v>0</v>
      </c>
      <c r="G436" s="142">
        <v>0</v>
      </c>
      <c r="H436" s="142">
        <v>0</v>
      </c>
      <c r="I436" s="142">
        <v>0</v>
      </c>
      <c r="J436" s="142">
        <v>0</v>
      </c>
      <c r="K436" s="142">
        <v>0</v>
      </c>
      <c r="L436" s="142">
        <v>0</v>
      </c>
      <c r="M436" s="142">
        <v>0</v>
      </c>
      <c r="N436" s="142">
        <v>0</v>
      </c>
      <c r="O436" s="3"/>
    </row>
    <row r="437" spans="1:15" ht="17.649999999999999" customHeight="1" x14ac:dyDescent="0.2">
      <c r="A437" s="77" t="s">
        <v>1210</v>
      </c>
      <c r="B437" s="62" t="s">
        <v>784</v>
      </c>
      <c r="C437" s="63" t="s">
        <v>223</v>
      </c>
      <c r="D437" s="161"/>
      <c r="E437" s="161"/>
      <c r="F437" s="161"/>
      <c r="G437" s="161"/>
      <c r="H437" s="161"/>
      <c r="I437" s="161"/>
      <c r="J437" s="161"/>
      <c r="K437" s="161"/>
      <c r="L437" s="161"/>
      <c r="M437" s="161"/>
      <c r="N437" s="161"/>
      <c r="O437" s="3"/>
    </row>
    <row r="438" spans="1:15" ht="17.649999999999999" customHeight="1" x14ac:dyDescent="0.2">
      <c r="A438" s="77" t="s">
        <v>1211</v>
      </c>
      <c r="B438" s="62" t="s">
        <v>787</v>
      </c>
      <c r="C438" s="63" t="s">
        <v>190</v>
      </c>
      <c r="D438" s="141">
        <v>0</v>
      </c>
      <c r="E438" s="141">
        <v>0</v>
      </c>
      <c r="F438" s="141">
        <v>0</v>
      </c>
      <c r="G438" s="142">
        <v>0</v>
      </c>
      <c r="H438" s="142">
        <v>0</v>
      </c>
      <c r="I438" s="142">
        <v>0</v>
      </c>
      <c r="J438" s="142">
        <v>0</v>
      </c>
      <c r="K438" s="142">
        <v>0</v>
      </c>
      <c r="L438" s="142">
        <v>0</v>
      </c>
      <c r="M438" s="142">
        <v>0</v>
      </c>
      <c r="N438" s="142">
        <v>0</v>
      </c>
      <c r="O438" s="3"/>
    </row>
    <row r="439" spans="1:15" ht="16.899999999999999" customHeight="1" x14ac:dyDescent="0.25">
      <c r="A439" s="150"/>
      <c r="B439" s="109"/>
      <c r="C439" s="110"/>
      <c r="D439" s="109"/>
      <c r="E439" s="109"/>
      <c r="F439" s="109"/>
      <c r="G439" s="150"/>
      <c r="H439" s="150"/>
      <c r="I439" s="150"/>
      <c r="J439" s="150"/>
      <c r="K439" s="150"/>
      <c r="L439" s="150"/>
      <c r="M439" s="150"/>
      <c r="N439" s="150"/>
    </row>
    <row r="440" spans="1:15" ht="20.100000000000001" customHeight="1" x14ac:dyDescent="0.25">
      <c r="B440" s="127" t="s">
        <v>791</v>
      </c>
    </row>
    <row r="441" spans="1:15" ht="17.649999999999999" customHeight="1" x14ac:dyDescent="0.2">
      <c r="A441" s="49"/>
      <c r="B441" s="24" t="s">
        <v>647</v>
      </c>
      <c r="C441" s="31" t="s">
        <v>159</v>
      </c>
      <c r="D441" s="31" t="str">
        <f>+$D$10</f>
        <v>2018-19 RF</v>
      </c>
      <c r="E441" s="31" t="str">
        <f>+$E$10</f>
        <v>2019-20 monthly</v>
      </c>
      <c r="F441" s="31" t="str">
        <f>+$F$10</f>
        <v>2019-20 RF</v>
      </c>
      <c r="G441" s="31" t="s">
        <v>829</v>
      </c>
      <c r="H441" s="31" t="s">
        <v>18</v>
      </c>
      <c r="I441" s="31" t="s">
        <v>830</v>
      </c>
      <c r="J441" s="31" t="s">
        <v>20</v>
      </c>
      <c r="K441" s="31" t="s">
        <v>831</v>
      </c>
      <c r="L441" s="31" t="s">
        <v>22</v>
      </c>
      <c r="M441" s="31" t="s">
        <v>832</v>
      </c>
      <c r="N441" s="31" t="s">
        <v>24</v>
      </c>
      <c r="O441" s="3"/>
    </row>
    <row r="442" spans="1:15" ht="16.899999999999999" customHeight="1" x14ac:dyDescent="0.2">
      <c r="A442" s="77" t="s">
        <v>1212</v>
      </c>
      <c r="B442" s="71" t="s">
        <v>793</v>
      </c>
      <c r="C442" s="129" t="s">
        <v>223</v>
      </c>
      <c r="D442" s="34">
        <v>9553.3397260273996</v>
      </c>
      <c r="E442" s="34">
        <v>9485.2568306010908</v>
      </c>
      <c r="F442" s="34">
        <v>9479.3278688524606</v>
      </c>
      <c r="G442" s="15"/>
      <c r="H442" s="15"/>
      <c r="I442" s="15"/>
      <c r="J442" s="15"/>
      <c r="K442" s="15"/>
      <c r="L442" s="15"/>
      <c r="M442" s="15"/>
      <c r="N442" s="15"/>
      <c r="O442" s="3"/>
    </row>
    <row r="443" spans="1:15" ht="16.899999999999999" customHeight="1" x14ac:dyDescent="0.2">
      <c r="A443" s="77" t="s">
        <v>1213</v>
      </c>
      <c r="B443" s="71" t="s">
        <v>796</v>
      </c>
      <c r="C443" s="129" t="s">
        <v>223</v>
      </c>
      <c r="D443" s="34">
        <v>1212.36164383562</v>
      </c>
      <c r="E443" s="34">
        <v>1204.8032786885201</v>
      </c>
      <c r="F443" s="34">
        <v>1206.9726775956301</v>
      </c>
      <c r="G443" s="15"/>
      <c r="H443" s="15"/>
      <c r="I443" s="15"/>
      <c r="J443" s="15"/>
      <c r="K443" s="15"/>
      <c r="L443" s="15"/>
      <c r="M443" s="15"/>
      <c r="N443" s="15"/>
      <c r="O443" s="3"/>
    </row>
    <row r="444" spans="1:15" ht="16.899999999999999" customHeight="1" x14ac:dyDescent="0.25">
      <c r="A444" s="77"/>
      <c r="B444" s="96"/>
      <c r="C444" s="110"/>
      <c r="D444" s="109"/>
      <c r="E444" s="109"/>
      <c r="F444" s="109"/>
      <c r="G444" s="150"/>
      <c r="H444" s="150"/>
      <c r="I444" s="150"/>
      <c r="J444" s="150"/>
      <c r="K444" s="150"/>
      <c r="L444" s="150"/>
      <c r="M444" s="150"/>
      <c r="N444" s="150"/>
    </row>
    <row r="445" spans="1:15" ht="17.649999999999999" customHeight="1" x14ac:dyDescent="0.25">
      <c r="A445" s="49"/>
      <c r="B445" s="128" t="s">
        <v>684</v>
      </c>
      <c r="C445" s="116"/>
    </row>
    <row r="446" spans="1:15" ht="16.899999999999999" customHeight="1" x14ac:dyDescent="0.2">
      <c r="A446" s="77" t="s">
        <v>1214</v>
      </c>
      <c r="B446" s="71" t="s">
        <v>799</v>
      </c>
      <c r="C446" s="129" t="s">
        <v>223</v>
      </c>
      <c r="D446" s="34">
        <v>123.92</v>
      </c>
      <c r="E446" s="34">
        <v>126.4</v>
      </c>
      <c r="F446" s="34">
        <v>126.4</v>
      </c>
      <c r="G446" s="15"/>
      <c r="H446" s="15"/>
      <c r="I446" s="15"/>
      <c r="J446" s="15"/>
      <c r="K446" s="15"/>
      <c r="L446" s="15"/>
      <c r="M446" s="15"/>
      <c r="N446" s="15"/>
      <c r="O446" s="3"/>
    </row>
    <row r="447" spans="1:15" ht="16.899999999999999" customHeight="1" x14ac:dyDescent="0.2">
      <c r="A447" s="77" t="s">
        <v>1215</v>
      </c>
      <c r="B447" s="71" t="s">
        <v>802</v>
      </c>
      <c r="C447" s="129" t="s">
        <v>223</v>
      </c>
      <c r="D447" s="34">
        <v>80.75</v>
      </c>
      <c r="E447" s="34">
        <v>82.37</v>
      </c>
      <c r="F447" s="34">
        <v>82.37</v>
      </c>
      <c r="G447" s="15"/>
      <c r="H447" s="15"/>
      <c r="I447" s="15"/>
      <c r="J447" s="15"/>
      <c r="K447" s="15"/>
      <c r="L447" s="15"/>
      <c r="M447" s="15"/>
      <c r="N447" s="15"/>
      <c r="O447" s="3"/>
    </row>
    <row r="448" spans="1:15" ht="16.899999999999999" customHeight="1" x14ac:dyDescent="0.25">
      <c r="A448" s="154"/>
      <c r="B448" s="106"/>
      <c r="C448" s="110"/>
      <c r="D448" s="109"/>
      <c r="E448" s="109"/>
      <c r="F448" s="109"/>
      <c r="G448" s="150"/>
      <c r="H448" s="150"/>
      <c r="I448" s="150"/>
      <c r="J448" s="150"/>
      <c r="K448" s="150"/>
      <c r="L448" s="150"/>
      <c r="M448" s="150"/>
      <c r="N448" s="150"/>
    </row>
    <row r="449" spans="1:15" ht="17.649999999999999" customHeight="1" x14ac:dyDescent="0.25">
      <c r="A449" s="49"/>
      <c r="B449" s="128" t="s">
        <v>318</v>
      </c>
      <c r="C449" s="116"/>
    </row>
    <row r="450" spans="1:15" ht="16.899999999999999" customHeight="1" x14ac:dyDescent="0.2">
      <c r="A450" s="77" t="s">
        <v>1216</v>
      </c>
      <c r="B450" s="71" t="s">
        <v>805</v>
      </c>
      <c r="C450" s="63" t="s">
        <v>190</v>
      </c>
      <c r="D450" s="26">
        <f t="shared" ref="D450:N450" si="65">+D442*D446</f>
        <v>1183849.8588493154</v>
      </c>
      <c r="E450" s="26">
        <f t="shared" si="65"/>
        <v>1198936.463387978</v>
      </c>
      <c r="F450" s="26">
        <f t="shared" si="65"/>
        <v>1198187.0426229511</v>
      </c>
      <c r="G450" s="134">
        <f t="shared" si="65"/>
        <v>0</v>
      </c>
      <c r="H450" s="134">
        <f t="shared" si="65"/>
        <v>0</v>
      </c>
      <c r="I450" s="134">
        <f t="shared" si="65"/>
        <v>0</v>
      </c>
      <c r="J450" s="134">
        <f t="shared" si="65"/>
        <v>0</v>
      </c>
      <c r="K450" s="134">
        <f t="shared" si="65"/>
        <v>0</v>
      </c>
      <c r="L450" s="134">
        <f t="shared" si="65"/>
        <v>0</v>
      </c>
      <c r="M450" s="134">
        <f t="shared" si="65"/>
        <v>0</v>
      </c>
      <c r="N450" s="134">
        <f t="shared" si="65"/>
        <v>0</v>
      </c>
      <c r="O450" s="3"/>
    </row>
    <row r="451" spans="1:15" ht="16.899999999999999" customHeight="1" x14ac:dyDescent="0.2">
      <c r="A451" s="77" t="s">
        <v>1217</v>
      </c>
      <c r="B451" s="71" t="s">
        <v>808</v>
      </c>
      <c r="C451" s="63" t="s">
        <v>190</v>
      </c>
      <c r="D451" s="26">
        <f t="shared" ref="D451:N451" si="66">+D443*D447</f>
        <v>97898.202739726315</v>
      </c>
      <c r="E451" s="26">
        <f t="shared" si="66"/>
        <v>99239.646065573412</v>
      </c>
      <c r="F451" s="26">
        <f t="shared" si="66"/>
        <v>99418.339453552064</v>
      </c>
      <c r="G451" s="134">
        <f t="shared" si="66"/>
        <v>0</v>
      </c>
      <c r="H451" s="134">
        <f t="shared" si="66"/>
        <v>0</v>
      </c>
      <c r="I451" s="134">
        <f t="shared" si="66"/>
        <v>0</v>
      </c>
      <c r="J451" s="134">
        <f t="shared" si="66"/>
        <v>0</v>
      </c>
      <c r="K451" s="134">
        <f t="shared" si="66"/>
        <v>0</v>
      </c>
      <c r="L451" s="134">
        <f t="shared" si="66"/>
        <v>0</v>
      </c>
      <c r="M451" s="134">
        <f t="shared" si="66"/>
        <v>0</v>
      </c>
      <c r="N451" s="134">
        <f t="shared" si="66"/>
        <v>0</v>
      </c>
      <c r="O451" s="3"/>
    </row>
    <row r="452" spans="1:15" ht="16.899999999999999" customHeight="1" x14ac:dyDescent="0.2">
      <c r="A452" s="77" t="s">
        <v>1218</v>
      </c>
      <c r="B452" s="71" t="s">
        <v>189</v>
      </c>
      <c r="C452" s="63" t="s">
        <v>190</v>
      </c>
      <c r="D452" s="26">
        <f t="shared" ref="D452:N452" si="67">SUM(D450:D451)</f>
        <v>1281748.0615890417</v>
      </c>
      <c r="E452" s="26">
        <f t="shared" si="67"/>
        <v>1298176.1094535515</v>
      </c>
      <c r="F452" s="26">
        <f t="shared" si="67"/>
        <v>1297605.3820765032</v>
      </c>
      <c r="G452" s="26">
        <f t="shared" si="67"/>
        <v>0</v>
      </c>
      <c r="H452" s="26">
        <f t="shared" si="67"/>
        <v>0</v>
      </c>
      <c r="I452" s="26">
        <f t="shared" si="67"/>
        <v>0</v>
      </c>
      <c r="J452" s="26">
        <f t="shared" si="67"/>
        <v>0</v>
      </c>
      <c r="K452" s="26">
        <f t="shared" si="67"/>
        <v>0</v>
      </c>
      <c r="L452" s="26">
        <f t="shared" si="67"/>
        <v>0</v>
      </c>
      <c r="M452" s="26">
        <f t="shared" si="67"/>
        <v>0</v>
      </c>
      <c r="N452" s="26">
        <f t="shared" si="67"/>
        <v>0</v>
      </c>
      <c r="O452" s="3"/>
    </row>
    <row r="453" spans="1:15" ht="16.899999999999999" customHeight="1" x14ac:dyDescent="0.25">
      <c r="A453" s="154"/>
      <c r="B453" s="106"/>
      <c r="C453" s="110"/>
      <c r="D453" s="109"/>
      <c r="E453" s="109"/>
      <c r="F453" s="109"/>
      <c r="G453" s="150"/>
      <c r="H453" s="150"/>
      <c r="I453" s="150"/>
      <c r="J453" s="150"/>
      <c r="K453" s="150"/>
      <c r="L453" s="150"/>
      <c r="M453" s="150"/>
      <c r="N453" s="150"/>
    </row>
    <row r="454" spans="1:15" ht="17.649999999999999" customHeight="1" x14ac:dyDescent="0.25">
      <c r="A454" s="49"/>
      <c r="B454" s="128" t="s">
        <v>811</v>
      </c>
      <c r="C454" s="119"/>
    </row>
    <row r="455" spans="1:15" ht="16.899999999999999" customHeight="1" x14ac:dyDescent="0.2">
      <c r="A455" s="77" t="s">
        <v>1219</v>
      </c>
      <c r="B455" s="62" t="s">
        <v>813</v>
      </c>
      <c r="C455" s="63" t="s">
        <v>223</v>
      </c>
      <c r="D455" s="34">
        <v>985.19619999999998</v>
      </c>
      <c r="E455" s="34">
        <v>937.12450000000001</v>
      </c>
      <c r="F455" s="34">
        <v>1233.0935999999999</v>
      </c>
      <c r="G455" s="15"/>
      <c r="H455" s="15"/>
      <c r="I455" s="15"/>
      <c r="J455" s="15"/>
      <c r="K455" s="15"/>
      <c r="L455" s="15"/>
      <c r="M455" s="15"/>
      <c r="N455" s="15"/>
      <c r="O455" s="3"/>
    </row>
    <row r="456" spans="1:15" ht="16.899999999999999" customHeight="1" x14ac:dyDescent="0.2">
      <c r="A456" s="77" t="s">
        <v>1220</v>
      </c>
      <c r="B456" s="62" t="s">
        <v>816</v>
      </c>
      <c r="C456" s="63" t="s">
        <v>190</v>
      </c>
      <c r="D456" s="131">
        <f t="shared" ref="D456:N456" si="68">D455/D452</f>
        <v>7.6863482732995685E-4</v>
      </c>
      <c r="E456" s="131">
        <f t="shared" si="68"/>
        <v>7.2187778928890398E-4</v>
      </c>
      <c r="F456" s="131">
        <f t="shared" si="68"/>
        <v>9.5028397464468907E-4</v>
      </c>
      <c r="G456" s="132" t="e">
        <f t="shared" si="68"/>
        <v>#DIV/0!</v>
      </c>
      <c r="H456" s="132" t="e">
        <f t="shared" si="68"/>
        <v>#DIV/0!</v>
      </c>
      <c r="I456" s="132" t="e">
        <f t="shared" si="68"/>
        <v>#DIV/0!</v>
      </c>
      <c r="J456" s="132" t="e">
        <f t="shared" si="68"/>
        <v>#DIV/0!</v>
      </c>
      <c r="K456" s="132" t="e">
        <f t="shared" si="68"/>
        <v>#DIV/0!</v>
      </c>
      <c r="L456" s="132" t="e">
        <f t="shared" si="68"/>
        <v>#DIV/0!</v>
      </c>
      <c r="M456" s="132" t="e">
        <f t="shared" si="68"/>
        <v>#DIV/0!</v>
      </c>
      <c r="N456" s="132" t="e">
        <f t="shared" si="68"/>
        <v>#DIV/0!</v>
      </c>
      <c r="O456" s="3"/>
    </row>
    <row r="457" spans="1:15" ht="16.899999999999999" customHeight="1" x14ac:dyDescent="0.2">
      <c r="A457" s="77" t="s">
        <v>1221</v>
      </c>
      <c r="B457" s="62" t="s">
        <v>819</v>
      </c>
      <c r="C457" s="63" t="s">
        <v>223</v>
      </c>
      <c r="D457" s="34">
        <v>37465.5361999999</v>
      </c>
      <c r="E457" s="34">
        <v>36246.013400000098</v>
      </c>
      <c r="F457" s="34">
        <v>35550.169399999999</v>
      </c>
      <c r="G457" s="15"/>
      <c r="H457" s="15"/>
      <c r="I457" s="15"/>
      <c r="J457" s="15"/>
      <c r="K457" s="15"/>
      <c r="L457" s="15"/>
      <c r="M457" s="15"/>
      <c r="N457" s="15"/>
      <c r="O457" s="3"/>
    </row>
    <row r="458" spans="1:15" ht="16.899999999999999" customHeight="1" x14ac:dyDescent="0.2">
      <c r="A458" s="77" t="s">
        <v>1222</v>
      </c>
      <c r="B458" s="62" t="s">
        <v>822</v>
      </c>
      <c r="C458" s="63" t="s">
        <v>190</v>
      </c>
      <c r="D458" s="131">
        <f t="shared" ref="D458:N458" si="69">D457/D452</f>
        <v>2.9230031488054024E-2</v>
      </c>
      <c r="E458" s="131">
        <f t="shared" si="69"/>
        <v>2.792072133822994E-2</v>
      </c>
      <c r="F458" s="131">
        <f t="shared" si="69"/>
        <v>2.7396749343864896E-2</v>
      </c>
      <c r="G458" s="132" t="e">
        <f t="shared" si="69"/>
        <v>#DIV/0!</v>
      </c>
      <c r="H458" s="132" t="e">
        <f t="shared" si="69"/>
        <v>#DIV/0!</v>
      </c>
      <c r="I458" s="132" t="e">
        <f t="shared" si="69"/>
        <v>#DIV/0!</v>
      </c>
      <c r="J458" s="132" t="e">
        <f t="shared" si="69"/>
        <v>#DIV/0!</v>
      </c>
      <c r="K458" s="132" t="e">
        <f t="shared" si="69"/>
        <v>#DIV/0!</v>
      </c>
      <c r="L458" s="132" t="e">
        <f t="shared" si="69"/>
        <v>#DIV/0!</v>
      </c>
      <c r="M458" s="132" t="e">
        <f t="shared" si="69"/>
        <v>#DIV/0!</v>
      </c>
      <c r="N458" s="132" t="e">
        <f t="shared" si="69"/>
        <v>#DIV/0!</v>
      </c>
      <c r="O458" s="3"/>
    </row>
    <row r="459" spans="1:15" ht="16.899999999999999" customHeight="1" x14ac:dyDescent="0.2">
      <c r="A459" s="77" t="s">
        <v>1223</v>
      </c>
      <c r="B459" s="62" t="s">
        <v>347</v>
      </c>
      <c r="C459" s="63" t="s">
        <v>223</v>
      </c>
      <c r="D459" s="34">
        <v>247.84</v>
      </c>
      <c r="E459" s="34">
        <v>295.27850000000001</v>
      </c>
      <c r="F459" s="34">
        <v>252.8</v>
      </c>
      <c r="G459" s="15"/>
      <c r="H459" s="15"/>
      <c r="I459" s="15"/>
      <c r="J459" s="15"/>
      <c r="K459" s="15"/>
      <c r="L459" s="15"/>
      <c r="M459" s="15"/>
      <c r="N459" s="15"/>
      <c r="O459" s="3"/>
    </row>
    <row r="460" spans="1:15" ht="16.899999999999999" customHeight="1" x14ac:dyDescent="0.2">
      <c r="A460" s="77" t="s">
        <v>1224</v>
      </c>
      <c r="B460" s="62" t="s">
        <v>350</v>
      </c>
      <c r="C460" s="63" t="s">
        <v>190</v>
      </c>
      <c r="D460" s="131">
        <f t="shared" ref="D460:N460" si="70">D459/D452</f>
        <v>1.9336093217316156E-4</v>
      </c>
      <c r="E460" s="131">
        <f t="shared" si="70"/>
        <v>2.2745642740590354E-4</v>
      </c>
      <c r="F460" s="131">
        <f t="shared" si="70"/>
        <v>1.9482040032498541E-4</v>
      </c>
      <c r="G460" s="132" t="e">
        <f t="shared" si="70"/>
        <v>#DIV/0!</v>
      </c>
      <c r="H460" s="132" t="e">
        <f t="shared" si="70"/>
        <v>#DIV/0!</v>
      </c>
      <c r="I460" s="132" t="e">
        <f t="shared" si="70"/>
        <v>#DIV/0!</v>
      </c>
      <c r="J460" s="132" t="e">
        <f t="shared" si="70"/>
        <v>#DIV/0!</v>
      </c>
      <c r="K460" s="132" t="e">
        <f t="shared" si="70"/>
        <v>#DIV/0!</v>
      </c>
      <c r="L460" s="132" t="e">
        <f t="shared" si="70"/>
        <v>#DIV/0!</v>
      </c>
      <c r="M460" s="132" t="e">
        <f t="shared" si="70"/>
        <v>#DIV/0!</v>
      </c>
      <c r="N460" s="132" t="e">
        <f t="shared" si="70"/>
        <v>#DIV/0!</v>
      </c>
      <c r="O460" s="3"/>
    </row>
    <row r="461" spans="1:15" ht="17.649999999999999" customHeight="1" x14ac:dyDescent="0.25">
      <c r="A461" s="150"/>
      <c r="B461" s="124"/>
      <c r="C461" s="124"/>
      <c r="D461" s="124"/>
      <c r="E461" s="124"/>
      <c r="F461" s="124"/>
      <c r="G461" s="163"/>
      <c r="H461" s="150"/>
      <c r="I461" s="150"/>
      <c r="J461" s="150"/>
      <c r="K461" s="150"/>
      <c r="L461" s="150"/>
      <c r="M461" s="150"/>
      <c r="N461" s="150"/>
    </row>
    <row r="462" spans="1:15" ht="16.899999999999999" customHeight="1" x14ac:dyDescent="0.25">
      <c r="B462" s="53"/>
      <c r="C462" s="58"/>
      <c r="D462" s="58"/>
      <c r="E462" s="58"/>
      <c r="F462" s="58"/>
      <c r="G462" s="164"/>
      <c r="H462" s="165"/>
    </row>
    <row r="463" spans="1:15" ht="16.899999999999999" customHeight="1" x14ac:dyDescent="0.25">
      <c r="B463" s="41" t="s">
        <v>148</v>
      </c>
      <c r="E463" s="42" t="s">
        <v>151</v>
      </c>
      <c r="H463" s="165"/>
    </row>
    <row r="464" spans="1:15" ht="16.899999999999999" customHeight="1" x14ac:dyDescent="0.25">
      <c r="B464" s="56"/>
      <c r="H464" s="165"/>
    </row>
    <row r="465" spans="2:8" ht="16.899999999999999" customHeight="1" x14ac:dyDescent="0.25">
      <c r="B465" s="41" t="s">
        <v>150</v>
      </c>
      <c r="E465" s="42" t="s">
        <v>151</v>
      </c>
      <c r="H465" s="165"/>
    </row>
    <row r="466" spans="2:8" ht="16.899999999999999" customHeight="1" x14ac:dyDescent="0.25">
      <c r="B466" s="56"/>
      <c r="H466" s="165"/>
    </row>
    <row r="467" spans="2:8" ht="16.899999999999999" customHeight="1" x14ac:dyDescent="0.25">
      <c r="B467" s="41" t="s">
        <v>1466</v>
      </c>
      <c r="E467" s="42" t="s">
        <v>826</v>
      </c>
      <c r="H467" s="165"/>
    </row>
    <row r="468" spans="2:8" ht="17.649999999999999" customHeight="1" x14ac:dyDescent="0.25">
      <c r="B468" s="57"/>
      <c r="H468" s="165"/>
    </row>
    <row r="469" spans="2:8" ht="16.899999999999999" customHeight="1" x14ac:dyDescent="0.25">
      <c r="B469" s="126"/>
      <c r="C469" s="126"/>
      <c r="D469" s="126"/>
      <c r="E469" s="126"/>
      <c r="F469" s="126"/>
      <c r="G469" s="166"/>
    </row>
    <row r="470" spans="2:8" ht="16.899999999999999" customHeight="1" x14ac:dyDescent="0.2"/>
    <row r="471" spans="2:8" ht="16.899999999999999" customHeight="1" x14ac:dyDescent="0.2"/>
    <row r="472" spans="2:8" ht="16.899999999999999" customHeight="1" x14ac:dyDescent="0.2"/>
    <row r="473" spans="2:8" ht="16.899999999999999" customHeight="1" x14ac:dyDescent="0.2"/>
    <row r="474" spans="2:8" ht="16.899999999999999" customHeight="1" x14ac:dyDescent="0.2"/>
    <row r="475" spans="2:8" ht="16.899999999999999" customHeight="1" x14ac:dyDescent="0.2"/>
    <row r="476" spans="2:8" ht="16.899999999999999" customHeight="1" x14ac:dyDescent="0.2"/>
    <row r="477" spans="2:8" ht="16.899999999999999" customHeight="1" x14ac:dyDescent="0.2"/>
    <row r="478" spans="2:8" ht="16.899999999999999" customHeight="1" x14ac:dyDescent="0.2"/>
    <row r="479" spans="2:8" ht="16.899999999999999" customHeight="1" x14ac:dyDescent="0.2"/>
    <row r="480" spans="2:8" ht="16.899999999999999" customHeight="1" x14ac:dyDescent="0.2"/>
    <row r="481" ht="16.899999999999999" customHeight="1" x14ac:dyDescent="0.2"/>
    <row r="482" ht="16.899999999999999" customHeight="1" x14ac:dyDescent="0.2"/>
    <row r="483" ht="16.899999999999999" customHeight="1" x14ac:dyDescent="0.2"/>
    <row r="484" ht="16.899999999999999" customHeight="1" x14ac:dyDescent="0.2"/>
    <row r="485" ht="16.899999999999999" customHeight="1" x14ac:dyDescent="0.2"/>
    <row r="486" ht="16.899999999999999" customHeight="1" x14ac:dyDescent="0.2"/>
    <row r="487" ht="16.899999999999999" customHeight="1" x14ac:dyDescent="0.2"/>
    <row r="488" ht="16.899999999999999" customHeight="1" x14ac:dyDescent="0.2"/>
    <row r="489" ht="16.899999999999999" customHeight="1" x14ac:dyDescent="0.2"/>
    <row r="490" ht="16.899999999999999" customHeight="1" x14ac:dyDescent="0.2"/>
    <row r="491" ht="16.899999999999999" customHeight="1" x14ac:dyDescent="0.2"/>
    <row r="492" ht="16.899999999999999" customHeight="1" x14ac:dyDescent="0.2"/>
    <row r="493" ht="16.899999999999999" customHeight="1" x14ac:dyDescent="0.2"/>
    <row r="494" ht="16.899999999999999" customHeight="1" x14ac:dyDescent="0.2"/>
    <row r="495" ht="16.899999999999999" customHeight="1" x14ac:dyDescent="0.2"/>
    <row r="496" ht="16.899999999999999" customHeight="1" x14ac:dyDescent="0.2"/>
    <row r="497" ht="16.899999999999999" customHeight="1" x14ac:dyDescent="0.2"/>
    <row r="498" ht="16.899999999999999" customHeight="1" x14ac:dyDescent="0.2"/>
    <row r="499" ht="16.899999999999999" customHeight="1" x14ac:dyDescent="0.2"/>
    <row r="500" ht="16.899999999999999" customHeight="1" x14ac:dyDescent="0.2"/>
    <row r="501" ht="16.899999999999999" customHeight="1" x14ac:dyDescent="0.2"/>
    <row r="502" ht="16.899999999999999" customHeight="1" x14ac:dyDescent="0.2"/>
    <row r="503" ht="16.899999999999999" customHeight="1" x14ac:dyDescent="0.2"/>
    <row r="504" ht="16.899999999999999" customHeight="1" x14ac:dyDescent="0.2"/>
    <row r="505" ht="16.899999999999999" customHeight="1" x14ac:dyDescent="0.2"/>
    <row r="506" ht="16.899999999999999" customHeight="1" x14ac:dyDescent="0.2"/>
    <row r="507" ht="16.899999999999999" customHeight="1" x14ac:dyDescent="0.2"/>
    <row r="508" ht="16.899999999999999" customHeight="1" x14ac:dyDescent="0.2"/>
    <row r="509" ht="16.899999999999999" customHeight="1" x14ac:dyDescent="0.2"/>
    <row r="510" ht="16.899999999999999" customHeight="1" x14ac:dyDescent="0.2"/>
    <row r="511" ht="16.899999999999999" customHeight="1" x14ac:dyDescent="0.2"/>
    <row r="512" ht="16.899999999999999" customHeight="1" x14ac:dyDescent="0.2"/>
    <row r="513" ht="16.899999999999999" customHeight="1" x14ac:dyDescent="0.2"/>
    <row r="514" ht="16.899999999999999" customHeight="1" x14ac:dyDescent="0.2"/>
    <row r="515" ht="16.899999999999999" customHeight="1" x14ac:dyDescent="0.2"/>
    <row r="516" ht="16.899999999999999" customHeight="1" x14ac:dyDescent="0.2"/>
    <row r="517" ht="16.899999999999999" customHeight="1" x14ac:dyDescent="0.2"/>
    <row r="518" ht="16.899999999999999" customHeight="1" x14ac:dyDescent="0.2"/>
    <row r="519" ht="16.899999999999999" customHeight="1" x14ac:dyDescent="0.2"/>
    <row r="520" ht="16.899999999999999" customHeight="1" x14ac:dyDescent="0.2"/>
    <row r="521" ht="16.899999999999999" customHeight="1" x14ac:dyDescent="0.2"/>
    <row r="522" ht="16.899999999999999" customHeight="1" x14ac:dyDescent="0.2"/>
    <row r="523" ht="16.899999999999999" customHeight="1" x14ac:dyDescent="0.2"/>
    <row r="524" ht="16.899999999999999" customHeight="1" x14ac:dyDescent="0.2"/>
    <row r="525" ht="16.899999999999999" customHeight="1" x14ac:dyDescent="0.2"/>
    <row r="526" ht="16.899999999999999" customHeight="1" x14ac:dyDescent="0.2"/>
    <row r="527" ht="16.899999999999999" customHeight="1" x14ac:dyDescent="0.2"/>
    <row r="528" ht="16.899999999999999" customHeight="1" x14ac:dyDescent="0.2"/>
    <row r="529" ht="16.899999999999999" customHeight="1" x14ac:dyDescent="0.2"/>
    <row r="530" ht="16.899999999999999" customHeight="1" x14ac:dyDescent="0.2"/>
    <row r="531" ht="16.899999999999999" customHeight="1" x14ac:dyDescent="0.2"/>
    <row r="532" ht="16.899999999999999" customHeight="1" x14ac:dyDescent="0.2"/>
    <row r="533" ht="16.899999999999999" customHeight="1" x14ac:dyDescent="0.2"/>
    <row r="534" ht="16.899999999999999" customHeight="1" x14ac:dyDescent="0.2"/>
    <row r="535" ht="16.899999999999999" customHeight="1" x14ac:dyDescent="0.2"/>
    <row r="536" ht="16.899999999999999" customHeight="1" x14ac:dyDescent="0.2"/>
    <row r="537" ht="16.899999999999999" customHeight="1" x14ac:dyDescent="0.2"/>
    <row r="538" ht="16.899999999999999" customHeight="1" x14ac:dyDescent="0.2"/>
    <row r="539" ht="16.899999999999999" customHeight="1" x14ac:dyDescent="0.2"/>
    <row r="540" ht="16.899999999999999" customHeight="1" x14ac:dyDescent="0.2"/>
    <row r="541" ht="16.899999999999999" customHeight="1" x14ac:dyDescent="0.2"/>
    <row r="542" ht="16.899999999999999" customHeight="1" x14ac:dyDescent="0.2"/>
    <row r="543" ht="16.899999999999999" customHeight="1" x14ac:dyDescent="0.2"/>
    <row r="544" ht="16.899999999999999" customHeight="1" x14ac:dyDescent="0.2"/>
    <row r="545" ht="16.899999999999999" customHeight="1" x14ac:dyDescent="0.2"/>
    <row r="546" ht="16.899999999999999" customHeight="1" x14ac:dyDescent="0.2"/>
    <row r="547" ht="16.899999999999999" customHeight="1" x14ac:dyDescent="0.2"/>
    <row r="548" ht="16.899999999999999" customHeight="1" x14ac:dyDescent="0.2"/>
    <row r="549" ht="16.899999999999999" customHeight="1" x14ac:dyDescent="0.2"/>
    <row r="550" ht="16.899999999999999" customHeight="1" x14ac:dyDescent="0.2"/>
    <row r="551" ht="16.899999999999999" customHeight="1" x14ac:dyDescent="0.2"/>
    <row r="552" ht="16.899999999999999" customHeight="1" x14ac:dyDescent="0.2"/>
    <row r="553" ht="16.899999999999999" customHeight="1" x14ac:dyDescent="0.2"/>
    <row r="554" ht="16.899999999999999" customHeight="1" x14ac:dyDescent="0.2"/>
    <row r="555" ht="16.899999999999999" customHeight="1" x14ac:dyDescent="0.2"/>
    <row r="556" ht="16.899999999999999" customHeight="1" x14ac:dyDescent="0.2"/>
    <row r="557" ht="16.899999999999999" customHeight="1" x14ac:dyDescent="0.2"/>
    <row r="558" ht="16.899999999999999" customHeight="1" x14ac:dyDescent="0.2"/>
    <row r="559" ht="16.899999999999999" customHeight="1" x14ac:dyDescent="0.2"/>
    <row r="560" ht="16.899999999999999" customHeight="1" x14ac:dyDescent="0.2"/>
    <row r="561" ht="16.899999999999999" customHeight="1" x14ac:dyDescent="0.2"/>
    <row r="562" ht="16.899999999999999" customHeight="1" x14ac:dyDescent="0.2"/>
    <row r="563" ht="16.899999999999999" customHeight="1" x14ac:dyDescent="0.2"/>
    <row r="564" ht="16.899999999999999" customHeight="1" x14ac:dyDescent="0.2"/>
    <row r="565" ht="16.899999999999999" customHeight="1" x14ac:dyDescent="0.2"/>
    <row r="566" ht="16.899999999999999" customHeight="1" x14ac:dyDescent="0.2"/>
    <row r="567" ht="16.899999999999999" customHeight="1" x14ac:dyDescent="0.2"/>
  </sheetData>
  <pageMargins left="0.75" right="0.75" top="1" bottom="1" header="0.5" footer="0.5"/>
  <pageSetup paperSize="9" orientation="portrait" r:id="rId1"/>
  <headerFooter>
    <oddFooter>&amp;L_x000D_&amp;1#&amp;"Calibri"&amp;11&amp;K000000 SW Internal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133"/>
  <sheetViews>
    <sheetView zoomScaleNormal="100" workbookViewId="0">
      <selection sqref="A1:XFD1048576"/>
    </sheetView>
  </sheetViews>
  <sheetFormatPr defaultColWidth="13.7109375" defaultRowHeight="12.75" x14ac:dyDescent="0.2"/>
  <cols>
    <col min="1" max="1" width="10.7109375" customWidth="1"/>
    <col min="2" max="2" width="20" customWidth="1"/>
    <col min="3" max="3" width="57" bestFit="1" customWidth="1"/>
    <col min="4" max="4" width="8.7109375" customWidth="1"/>
    <col min="5" max="5" width="9.28515625" customWidth="1"/>
    <col min="6" max="6" width="13.42578125" customWidth="1"/>
    <col min="7" max="7" width="13.7109375" customWidth="1"/>
    <col min="8" max="14" width="15" customWidth="1"/>
    <col min="15" max="15" width="13.42578125" customWidth="1"/>
    <col min="16" max="16" width="16.42578125" customWidth="1"/>
    <col min="17" max="17" width="9.5703125" customWidth="1"/>
    <col min="18" max="18" width="2" customWidth="1"/>
    <col min="19" max="19" width="12.5703125" customWidth="1"/>
    <col min="20" max="25" width="11.28515625" customWidth="1"/>
    <col min="26" max="26" width="11.7109375" customWidth="1"/>
    <col min="27" max="27" width="11.28515625" customWidth="1"/>
    <col min="28" max="28" width="9.28515625" customWidth="1"/>
    <col min="29" max="29" width="8.7109375" customWidth="1"/>
    <col min="30" max="30" width="13.7109375" customWidth="1"/>
    <col min="31" max="37" width="15" customWidth="1"/>
    <col min="38" max="38" width="13.42578125" customWidth="1"/>
    <col min="39" max="39" width="16.42578125" customWidth="1"/>
    <col min="40" max="40" width="9.5703125" customWidth="1"/>
    <col min="41" max="41" width="2" customWidth="1"/>
    <col min="42" max="42" width="12.5703125" customWidth="1"/>
    <col min="43" max="48" width="11.28515625" customWidth="1"/>
    <col min="49" max="49" width="11.7109375" customWidth="1"/>
    <col min="50" max="50" width="11.28515625" customWidth="1"/>
    <col min="51" max="51" width="9.28515625" customWidth="1"/>
    <col min="52" max="52" width="11.28515625" customWidth="1"/>
    <col min="53" max="53" width="24" customWidth="1"/>
  </cols>
  <sheetData>
    <row r="1" spans="1:54" ht="22.5" customHeight="1" x14ac:dyDescent="0.3">
      <c r="A1" s="493" t="s">
        <v>0</v>
      </c>
      <c r="B1" s="478"/>
      <c r="C1" s="478"/>
    </row>
    <row r="2" spans="1:54" ht="22.5" customHeight="1" x14ac:dyDescent="0.2"/>
    <row r="3" spans="1:54" ht="23.25" customHeight="1" x14ac:dyDescent="0.3">
      <c r="A3" s="479" t="s">
        <v>1</v>
      </c>
      <c r="B3" s="478"/>
      <c r="C3" s="478"/>
    </row>
    <row r="4" spans="1:54" ht="16.899999999999999" customHeight="1" x14ac:dyDescent="0.3">
      <c r="A4" s="43"/>
      <c r="B4" s="43"/>
      <c r="C4" s="43"/>
      <c r="D4" s="203"/>
      <c r="E4" s="204"/>
      <c r="F4" s="205"/>
      <c r="G4" s="40"/>
      <c r="H4" s="40"/>
      <c r="I4" s="40"/>
      <c r="J4" s="40"/>
      <c r="K4" s="40"/>
      <c r="L4" s="40"/>
      <c r="M4" s="40"/>
      <c r="N4" s="40"/>
      <c r="O4" s="206"/>
      <c r="P4" s="206"/>
      <c r="Q4" s="206"/>
      <c r="R4" s="206"/>
      <c r="S4" s="206"/>
      <c r="T4" s="206"/>
      <c r="U4" s="206"/>
      <c r="V4" s="206"/>
      <c r="W4" s="206"/>
      <c r="X4" s="206"/>
      <c r="Y4" s="207"/>
      <c r="Z4" s="206"/>
      <c r="AA4" s="206"/>
      <c r="AB4" s="206"/>
      <c r="AC4" s="206"/>
      <c r="AD4" s="40"/>
      <c r="AE4" s="40"/>
      <c r="AF4" s="40"/>
      <c r="AG4" s="40"/>
      <c r="AH4" s="40"/>
      <c r="AI4" s="40"/>
      <c r="AJ4" s="40"/>
      <c r="AK4" s="40"/>
      <c r="AL4" s="206"/>
      <c r="AM4" s="206"/>
      <c r="AN4" s="206"/>
      <c r="AO4" s="206"/>
      <c r="AP4" s="206"/>
      <c r="AQ4" s="206"/>
      <c r="AR4" s="206"/>
      <c r="AS4" s="206"/>
      <c r="AT4" s="206"/>
      <c r="AU4" s="206"/>
      <c r="AV4" s="207"/>
      <c r="AW4" s="206"/>
      <c r="AX4" s="206"/>
      <c r="AY4" s="206"/>
    </row>
    <row r="5" spans="1:54" ht="16.899999999999999" customHeight="1" x14ac:dyDescent="0.2"/>
    <row r="6" spans="1:54" ht="22.5" customHeight="1" x14ac:dyDescent="0.3">
      <c r="A6" s="480" t="s">
        <v>2</v>
      </c>
      <c r="B6" s="497"/>
      <c r="C6" s="497"/>
      <c r="D6" s="497"/>
      <c r="E6" s="481"/>
      <c r="F6" s="208"/>
    </row>
    <row r="7" spans="1:54" ht="23.25" customHeight="1" x14ac:dyDescent="0.3">
      <c r="A7" s="494" t="s">
        <v>1225</v>
      </c>
      <c r="B7" s="495"/>
      <c r="C7" s="495"/>
      <c r="D7" s="495"/>
      <c r="E7" s="496"/>
      <c r="F7" s="208"/>
    </row>
    <row r="8" spans="1:54" ht="18.399999999999999" customHeight="1" x14ac:dyDescent="0.25">
      <c r="A8" s="209"/>
      <c r="B8" s="209"/>
      <c r="C8" s="210"/>
      <c r="D8" s="211"/>
      <c r="E8" s="211"/>
    </row>
    <row r="9" spans="1:54" ht="18.399999999999999" customHeight="1" x14ac:dyDescent="0.25">
      <c r="A9" s="507" t="s">
        <v>4</v>
      </c>
      <c r="B9" s="504" t="s">
        <v>1226</v>
      </c>
      <c r="C9" s="504" t="s">
        <v>1227</v>
      </c>
      <c r="D9" s="504" t="s">
        <v>1228</v>
      </c>
      <c r="E9" s="501" t="s">
        <v>159</v>
      </c>
      <c r="F9" s="212"/>
      <c r="G9" s="513" t="s">
        <v>1768</v>
      </c>
      <c r="H9" s="514"/>
      <c r="I9" s="514"/>
      <c r="J9" s="514"/>
      <c r="K9" s="514"/>
      <c r="L9" s="514"/>
      <c r="M9" s="514"/>
      <c r="N9" s="514"/>
      <c r="O9" s="514"/>
      <c r="P9" s="514"/>
      <c r="Q9" s="514"/>
      <c r="R9" s="514"/>
      <c r="S9" s="514"/>
      <c r="T9" s="514"/>
      <c r="U9" s="514"/>
      <c r="V9" s="514"/>
      <c r="W9" s="514"/>
      <c r="X9" s="514"/>
      <c r="Y9" s="514"/>
      <c r="Z9" s="514"/>
      <c r="AA9" s="514"/>
      <c r="AB9" s="515"/>
      <c r="AC9" s="213"/>
      <c r="AD9" s="513" t="s">
        <v>1539</v>
      </c>
      <c r="AE9" s="514"/>
      <c r="AF9" s="514"/>
      <c r="AG9" s="514"/>
      <c r="AH9" s="514"/>
      <c r="AI9" s="514"/>
      <c r="AJ9" s="514"/>
      <c r="AK9" s="514"/>
      <c r="AL9" s="514"/>
      <c r="AM9" s="514"/>
      <c r="AN9" s="514"/>
      <c r="AO9" s="514"/>
      <c r="AP9" s="514"/>
      <c r="AQ9" s="514"/>
      <c r="AR9" s="514"/>
      <c r="AS9" s="514"/>
      <c r="AT9" s="514"/>
      <c r="AU9" s="514"/>
      <c r="AV9" s="514"/>
      <c r="AW9" s="514"/>
      <c r="AX9" s="514"/>
      <c r="AY9" s="515"/>
      <c r="AZ9" s="214"/>
      <c r="BA9" s="438" t="s">
        <v>166</v>
      </c>
      <c r="BB9" s="56"/>
    </row>
    <row r="10" spans="1:54" ht="18.399999999999999" customHeight="1" x14ac:dyDescent="0.25">
      <c r="A10" s="508"/>
      <c r="B10" s="505"/>
      <c r="C10" s="505"/>
      <c r="D10" s="505"/>
      <c r="E10" s="502"/>
      <c r="F10" s="212"/>
      <c r="G10" s="498" t="s">
        <v>1229</v>
      </c>
      <c r="H10" s="499"/>
      <c r="I10" s="499"/>
      <c r="J10" s="499"/>
      <c r="K10" s="499"/>
      <c r="L10" s="499"/>
      <c r="M10" s="499"/>
      <c r="N10" s="499"/>
      <c r="O10" s="499"/>
      <c r="P10" s="499"/>
      <c r="Q10" s="500"/>
      <c r="R10" s="215"/>
      <c r="S10" s="498" t="s">
        <v>1230</v>
      </c>
      <c r="T10" s="499"/>
      <c r="U10" s="499"/>
      <c r="V10" s="499"/>
      <c r="W10" s="499"/>
      <c r="X10" s="499"/>
      <c r="Y10" s="499"/>
      <c r="Z10" s="499"/>
      <c r="AA10" s="499"/>
      <c r="AB10" s="500"/>
      <c r="AC10" s="213"/>
      <c r="AD10" s="498" t="s">
        <v>1229</v>
      </c>
      <c r="AE10" s="499"/>
      <c r="AF10" s="499"/>
      <c r="AG10" s="499"/>
      <c r="AH10" s="499"/>
      <c r="AI10" s="499"/>
      <c r="AJ10" s="499"/>
      <c r="AK10" s="499"/>
      <c r="AL10" s="499"/>
      <c r="AM10" s="499"/>
      <c r="AN10" s="500"/>
      <c r="AO10" s="215"/>
      <c r="AP10" s="498" t="s">
        <v>1230</v>
      </c>
      <c r="AQ10" s="499"/>
      <c r="AR10" s="499"/>
      <c r="AS10" s="499"/>
      <c r="AT10" s="499"/>
      <c r="AU10" s="499"/>
      <c r="AV10" s="499"/>
      <c r="AW10" s="499"/>
      <c r="AX10" s="499"/>
      <c r="AY10" s="500"/>
      <c r="AZ10" s="101"/>
      <c r="BA10" s="411"/>
    </row>
    <row r="11" spans="1:54" ht="18.399999999999999" customHeight="1" x14ac:dyDescent="0.25">
      <c r="A11" s="509"/>
      <c r="B11" s="506"/>
      <c r="C11" s="506"/>
      <c r="D11" s="506"/>
      <c r="E11" s="503"/>
      <c r="F11" s="217"/>
      <c r="G11" s="168" t="s">
        <v>1231</v>
      </c>
      <c r="H11" s="169" t="s">
        <v>1232</v>
      </c>
      <c r="I11" s="169" t="s">
        <v>1233</v>
      </c>
      <c r="J11" s="169" t="s">
        <v>1234</v>
      </c>
      <c r="K11" s="169" t="s">
        <v>1235</v>
      </c>
      <c r="L11" s="169" t="s">
        <v>1236</v>
      </c>
      <c r="M11" s="169" t="s">
        <v>1237</v>
      </c>
      <c r="N11" s="169" t="s">
        <v>1238</v>
      </c>
      <c r="O11" s="169" t="s">
        <v>1239</v>
      </c>
      <c r="P11" s="169" t="s">
        <v>1240</v>
      </c>
      <c r="Q11" s="170" t="s">
        <v>1241</v>
      </c>
      <c r="R11" s="218"/>
      <c r="S11" s="168" t="s">
        <v>1231</v>
      </c>
      <c r="T11" s="169" t="s">
        <v>1232</v>
      </c>
      <c r="U11" s="169" t="s">
        <v>1233</v>
      </c>
      <c r="V11" s="169" t="s">
        <v>1234</v>
      </c>
      <c r="W11" s="169" t="s">
        <v>1235</v>
      </c>
      <c r="X11" s="169" t="s">
        <v>1236</v>
      </c>
      <c r="Y11" s="169" t="s">
        <v>1237</v>
      </c>
      <c r="Z11" s="169" t="s">
        <v>1238</v>
      </c>
      <c r="AA11" s="169" t="s">
        <v>1239</v>
      </c>
      <c r="AB11" s="170" t="s">
        <v>1240</v>
      </c>
      <c r="AC11" s="218"/>
      <c r="AD11" s="168" t="s">
        <v>1231</v>
      </c>
      <c r="AE11" s="169" t="s">
        <v>1232</v>
      </c>
      <c r="AF11" s="169" t="s">
        <v>1233</v>
      </c>
      <c r="AG11" s="169" t="s">
        <v>1234</v>
      </c>
      <c r="AH11" s="169" t="s">
        <v>1235</v>
      </c>
      <c r="AI11" s="169" t="s">
        <v>1236</v>
      </c>
      <c r="AJ11" s="169" t="s">
        <v>1237</v>
      </c>
      <c r="AK11" s="169" t="s">
        <v>1238</v>
      </c>
      <c r="AL11" s="169" t="s">
        <v>1239</v>
      </c>
      <c r="AM11" s="169" t="s">
        <v>1240</v>
      </c>
      <c r="AN11" s="170" t="s">
        <v>1241</v>
      </c>
      <c r="AO11" s="218"/>
      <c r="AP11" s="168" t="s">
        <v>1231</v>
      </c>
      <c r="AQ11" s="169" t="s">
        <v>1232</v>
      </c>
      <c r="AR11" s="169" t="s">
        <v>1233</v>
      </c>
      <c r="AS11" s="169" t="s">
        <v>1234</v>
      </c>
      <c r="AT11" s="169" t="s">
        <v>1235</v>
      </c>
      <c r="AU11" s="169" t="s">
        <v>1236</v>
      </c>
      <c r="AV11" s="169" t="s">
        <v>1237</v>
      </c>
      <c r="AW11" s="169" t="s">
        <v>1238</v>
      </c>
      <c r="AX11" s="169" t="s">
        <v>1239</v>
      </c>
      <c r="AY11" s="170" t="s">
        <v>1240</v>
      </c>
      <c r="AZ11" s="101"/>
    </row>
    <row r="12" spans="1:54" ht="17.649999999999999" customHeight="1" x14ac:dyDescent="0.2">
      <c r="A12" s="219"/>
      <c r="B12" s="219"/>
      <c r="C12" s="219"/>
      <c r="D12" s="220"/>
      <c r="E12" s="220"/>
      <c r="G12" s="171">
        <v>1</v>
      </c>
      <c r="H12" s="171">
        <v>2</v>
      </c>
      <c r="I12" s="171">
        <v>3</v>
      </c>
      <c r="J12" s="171">
        <v>4</v>
      </c>
      <c r="K12" s="171">
        <v>5</v>
      </c>
      <c r="L12" s="171">
        <v>6</v>
      </c>
      <c r="M12" s="171">
        <v>7</v>
      </c>
      <c r="N12" s="171">
        <v>8</v>
      </c>
      <c r="O12" s="171">
        <v>9</v>
      </c>
      <c r="P12" s="171">
        <v>10</v>
      </c>
      <c r="Q12" s="171">
        <v>11</v>
      </c>
      <c r="R12" s="104"/>
      <c r="S12" s="171">
        <v>12</v>
      </c>
      <c r="T12" s="171">
        <v>13</v>
      </c>
      <c r="U12" s="171">
        <v>14</v>
      </c>
      <c r="V12" s="171">
        <v>15</v>
      </c>
      <c r="W12" s="171">
        <v>16</v>
      </c>
      <c r="X12" s="171">
        <v>17</v>
      </c>
      <c r="Y12" s="171">
        <v>18</v>
      </c>
      <c r="Z12" s="171">
        <v>19</v>
      </c>
      <c r="AA12" s="171">
        <v>20</v>
      </c>
      <c r="AB12" s="171">
        <v>21</v>
      </c>
      <c r="AC12" s="104"/>
      <c r="AD12" s="171">
        <v>22</v>
      </c>
      <c r="AE12" s="171">
        <v>23</v>
      </c>
      <c r="AF12" s="171">
        <v>24</v>
      </c>
      <c r="AG12" s="171">
        <v>25</v>
      </c>
      <c r="AH12" s="171">
        <v>26</v>
      </c>
      <c r="AI12" s="171">
        <v>27</v>
      </c>
      <c r="AJ12" s="171">
        <v>28</v>
      </c>
      <c r="AK12" s="171">
        <v>29</v>
      </c>
      <c r="AL12" s="171">
        <v>30</v>
      </c>
      <c r="AM12" s="171">
        <v>31</v>
      </c>
      <c r="AN12" s="171">
        <v>32</v>
      </c>
      <c r="AO12" s="104"/>
      <c r="AP12" s="171">
        <v>33</v>
      </c>
      <c r="AQ12" s="171">
        <v>34</v>
      </c>
      <c r="AR12" s="171">
        <v>35</v>
      </c>
      <c r="AS12" s="171">
        <v>36</v>
      </c>
      <c r="AT12" s="171">
        <v>37</v>
      </c>
      <c r="AU12" s="171">
        <v>38</v>
      </c>
      <c r="AV12" s="171">
        <v>39</v>
      </c>
      <c r="AW12" s="171">
        <v>40</v>
      </c>
      <c r="AX12" s="171">
        <v>41</v>
      </c>
      <c r="AY12" s="171">
        <v>42</v>
      </c>
      <c r="AZ12" s="46"/>
    </row>
    <row r="13" spans="1:54" ht="18.399999999999999" customHeight="1" x14ac:dyDescent="0.25">
      <c r="A13" s="510" t="s">
        <v>1242</v>
      </c>
      <c r="B13" s="511"/>
      <c r="C13" s="511"/>
      <c r="D13" s="511"/>
      <c r="E13" s="512"/>
      <c r="F13" s="101"/>
      <c r="G13" s="106"/>
      <c r="H13" s="106"/>
      <c r="I13" s="106"/>
      <c r="J13" s="106"/>
      <c r="K13" s="106"/>
      <c r="L13" s="106"/>
      <c r="M13" s="106"/>
      <c r="N13" s="106"/>
      <c r="O13" s="106"/>
      <c r="P13" s="106"/>
      <c r="Q13" s="106"/>
      <c r="S13" s="106"/>
      <c r="T13" s="106"/>
      <c r="U13" s="106"/>
      <c r="V13" s="106"/>
      <c r="W13" s="106"/>
      <c r="X13" s="106"/>
      <c r="Y13" s="106"/>
      <c r="Z13" s="106"/>
      <c r="AA13" s="106"/>
      <c r="AB13" s="106"/>
      <c r="AD13" s="106"/>
      <c r="AE13" s="106"/>
      <c r="AF13" s="106"/>
      <c r="AG13" s="106"/>
      <c r="AH13" s="106"/>
      <c r="AI13" s="106"/>
      <c r="AJ13" s="106"/>
      <c r="AK13" s="106"/>
      <c r="AL13" s="106"/>
      <c r="AM13" s="106"/>
      <c r="AN13" s="106"/>
      <c r="AP13" s="106"/>
      <c r="AQ13" s="106"/>
      <c r="AR13" s="106"/>
      <c r="AS13" s="106"/>
      <c r="AT13" s="106"/>
      <c r="AU13" s="106"/>
      <c r="AV13" s="106"/>
      <c r="AW13" s="106"/>
      <c r="AX13" s="106"/>
      <c r="AY13" s="106"/>
    </row>
    <row r="14" spans="1:54" ht="17.649999999999999" customHeight="1" x14ac:dyDescent="0.2">
      <c r="A14" s="173" t="s">
        <v>1243</v>
      </c>
      <c r="B14" s="173" t="s">
        <v>1244</v>
      </c>
      <c r="C14" s="173" t="s">
        <v>1245</v>
      </c>
      <c r="D14" s="174" t="s">
        <v>1246</v>
      </c>
      <c r="E14" s="175" t="s">
        <v>1247</v>
      </c>
      <c r="F14" s="221"/>
      <c r="G14" s="176">
        <v>231</v>
      </c>
      <c r="H14" s="176">
        <v>104386.2586</v>
      </c>
      <c r="I14" s="176">
        <v>210355.18470000001</v>
      </c>
      <c r="J14" s="176">
        <v>187782.32199999999</v>
      </c>
      <c r="K14" s="176">
        <v>201276.353</v>
      </c>
      <c r="L14" s="176">
        <v>235712.44099999999</v>
      </c>
      <c r="M14" s="176">
        <v>159845.47390000001</v>
      </c>
      <c r="N14" s="176">
        <v>106023.2518</v>
      </c>
      <c r="O14" s="176">
        <v>10317.6494</v>
      </c>
      <c r="P14" s="177">
        <f t="shared" ref="P14:P20" si="0">SUM(G14:O14)</f>
        <v>1215929.9343999999</v>
      </c>
      <c r="Q14" s="178">
        <f t="shared" ref="Q14:Q20" si="1">IFERROR(P14/$P$30,"")</f>
        <v>0.45580086295690858</v>
      </c>
      <c r="R14" s="221"/>
      <c r="S14" s="179" t="s">
        <v>1248</v>
      </c>
      <c r="T14" s="179" t="s">
        <v>1248</v>
      </c>
      <c r="U14" s="179" t="s">
        <v>1248</v>
      </c>
      <c r="V14" s="179" t="s">
        <v>1248</v>
      </c>
      <c r="W14" s="179" t="s">
        <v>1248</v>
      </c>
      <c r="X14" s="179" t="s">
        <v>1248</v>
      </c>
      <c r="Y14" s="179" t="s">
        <v>1248</v>
      </c>
      <c r="Z14" s="179" t="s">
        <v>1249</v>
      </c>
      <c r="AA14" s="179" t="s">
        <v>1249</v>
      </c>
      <c r="AB14" s="179" t="s">
        <v>1249</v>
      </c>
      <c r="AC14" s="221"/>
      <c r="AD14" s="176">
        <v>233.07900000000001</v>
      </c>
      <c r="AE14" s="176">
        <v>105325.7349</v>
      </c>
      <c r="AF14" s="176">
        <v>212248.38140000001</v>
      </c>
      <c r="AG14" s="176">
        <v>189472.36290000001</v>
      </c>
      <c r="AH14" s="176">
        <v>203087.84020000001</v>
      </c>
      <c r="AI14" s="176">
        <v>237833.8529</v>
      </c>
      <c r="AJ14" s="176">
        <v>161284.08319999999</v>
      </c>
      <c r="AK14" s="176">
        <v>106977.4611</v>
      </c>
      <c r="AL14" s="176">
        <v>10410.5083</v>
      </c>
      <c r="AM14" s="177">
        <f t="shared" ref="AM14:AM20" si="2">SUM(AD14:AL14)</f>
        <v>1226873.3039000002</v>
      </c>
      <c r="AN14" s="178">
        <f t="shared" ref="AN14:AN20" si="3">IFERROR(AM14/$AM$30,"")</f>
        <v>0.45580086290552047</v>
      </c>
      <c r="AO14" s="221"/>
      <c r="AP14" s="179" t="s">
        <v>1250</v>
      </c>
      <c r="AQ14" s="179" t="s">
        <v>1250</v>
      </c>
      <c r="AR14" s="179" t="s">
        <v>1250</v>
      </c>
      <c r="AS14" s="179" t="s">
        <v>1250</v>
      </c>
      <c r="AT14" s="179" t="s">
        <v>1250</v>
      </c>
      <c r="AU14" s="179" t="s">
        <v>1250</v>
      </c>
      <c r="AV14" s="179" t="s">
        <v>1250</v>
      </c>
      <c r="AW14" s="179" t="s">
        <v>1250</v>
      </c>
      <c r="AX14" s="179" t="s">
        <v>1250</v>
      </c>
      <c r="AY14" s="179" t="s">
        <v>1250</v>
      </c>
      <c r="AZ14" s="47"/>
      <c r="BA14" s="439" t="s">
        <v>1251</v>
      </c>
    </row>
    <row r="15" spans="1:54" ht="17.649999999999999" customHeight="1" x14ac:dyDescent="0.2">
      <c r="A15" s="10" t="s">
        <v>1252</v>
      </c>
      <c r="B15" s="10" t="s">
        <v>1244</v>
      </c>
      <c r="C15" s="10" t="s">
        <v>1253</v>
      </c>
      <c r="D15" s="180" t="s">
        <v>1246</v>
      </c>
      <c r="E15" s="181" t="s">
        <v>1247</v>
      </c>
      <c r="F15" s="221"/>
      <c r="G15" s="176">
        <v>0</v>
      </c>
      <c r="H15" s="176">
        <v>2152.6262000000002</v>
      </c>
      <c r="I15" s="176">
        <v>2660.9283999999998</v>
      </c>
      <c r="J15" s="176">
        <v>3020.2527</v>
      </c>
      <c r="K15" s="176">
        <v>2876.1325999999999</v>
      </c>
      <c r="L15" s="176">
        <v>3063.4852999999998</v>
      </c>
      <c r="M15" s="176">
        <v>1676.6116</v>
      </c>
      <c r="N15" s="176">
        <v>1175.3033</v>
      </c>
      <c r="O15" s="176">
        <v>258.33960000000002</v>
      </c>
      <c r="P15" s="177">
        <f t="shared" si="0"/>
        <v>16883.679700000001</v>
      </c>
      <c r="Q15" s="178">
        <f t="shared" si="1"/>
        <v>6.3289796224528577E-3</v>
      </c>
      <c r="R15" s="221"/>
      <c r="S15" s="179" t="s">
        <v>1249</v>
      </c>
      <c r="T15" s="179" t="s">
        <v>1249</v>
      </c>
      <c r="U15" s="179" t="s">
        <v>1249</v>
      </c>
      <c r="V15" s="179" t="s">
        <v>1249</v>
      </c>
      <c r="W15" s="179" t="s">
        <v>1249</v>
      </c>
      <c r="X15" s="179" t="s">
        <v>1249</v>
      </c>
      <c r="Y15" s="179" t="s">
        <v>1249</v>
      </c>
      <c r="Z15" s="179" t="s">
        <v>1249</v>
      </c>
      <c r="AA15" s="179" t="s">
        <v>1249</v>
      </c>
      <c r="AB15" s="179" t="s">
        <v>1249</v>
      </c>
      <c r="AC15" s="221"/>
      <c r="AD15" s="176">
        <v>0</v>
      </c>
      <c r="AE15" s="176">
        <v>2171.9998000000001</v>
      </c>
      <c r="AF15" s="176">
        <v>2684.8766999999998</v>
      </c>
      <c r="AG15" s="176">
        <v>3047.4349999999999</v>
      </c>
      <c r="AH15" s="176">
        <v>2902.0178000000001</v>
      </c>
      <c r="AI15" s="176">
        <v>3091.0567000000001</v>
      </c>
      <c r="AJ15" s="176">
        <v>1691.7011</v>
      </c>
      <c r="AK15" s="176">
        <v>1185.8811000000001</v>
      </c>
      <c r="AL15" s="176">
        <v>260.66469999999998</v>
      </c>
      <c r="AM15" s="177">
        <f t="shared" si="2"/>
        <v>17035.632900000001</v>
      </c>
      <c r="AN15" s="178">
        <f t="shared" si="3"/>
        <v>6.3289796519971969E-3</v>
      </c>
      <c r="AO15" s="221"/>
      <c r="AP15" s="179" t="s">
        <v>1250</v>
      </c>
      <c r="AQ15" s="179" t="s">
        <v>1250</v>
      </c>
      <c r="AR15" s="179" t="s">
        <v>1250</v>
      </c>
      <c r="AS15" s="179" t="s">
        <v>1250</v>
      </c>
      <c r="AT15" s="179" t="s">
        <v>1250</v>
      </c>
      <c r="AU15" s="179" t="s">
        <v>1250</v>
      </c>
      <c r="AV15" s="179" t="s">
        <v>1250</v>
      </c>
      <c r="AW15" s="179" t="s">
        <v>1250</v>
      </c>
      <c r="AX15" s="179" t="s">
        <v>1250</v>
      </c>
      <c r="AY15" s="179" t="s">
        <v>1250</v>
      </c>
      <c r="AZ15" s="47"/>
      <c r="BA15" s="439" t="s">
        <v>1254</v>
      </c>
    </row>
    <row r="16" spans="1:54" ht="17.649999999999999" customHeight="1" x14ac:dyDescent="0.2">
      <c r="A16" s="10" t="s">
        <v>1255</v>
      </c>
      <c r="B16" s="10" t="s">
        <v>1244</v>
      </c>
      <c r="C16" s="10" t="s">
        <v>1256</v>
      </c>
      <c r="D16" s="180" t="s">
        <v>1246</v>
      </c>
      <c r="E16" s="181" t="s">
        <v>1247</v>
      </c>
      <c r="F16" s="221"/>
      <c r="G16" s="176">
        <v>0</v>
      </c>
      <c r="H16" s="176">
        <v>8421.8233</v>
      </c>
      <c r="I16" s="176">
        <v>8192.3909999999996</v>
      </c>
      <c r="J16" s="176">
        <v>5599.0464000000002</v>
      </c>
      <c r="K16" s="176">
        <v>4661.1971999999996</v>
      </c>
      <c r="L16" s="176">
        <v>3612.1354000000001</v>
      </c>
      <c r="M16" s="176">
        <v>1749.3960999999999</v>
      </c>
      <c r="N16" s="176">
        <v>1157.4449</v>
      </c>
      <c r="O16" s="176">
        <v>224.01089999999999</v>
      </c>
      <c r="P16" s="177">
        <f t="shared" si="0"/>
        <v>33617.445200000002</v>
      </c>
      <c r="Q16" s="178">
        <f t="shared" si="1"/>
        <v>1.2601762732428858E-2</v>
      </c>
      <c r="R16" s="221"/>
      <c r="S16" s="179" t="s">
        <v>1249</v>
      </c>
      <c r="T16" s="179" t="s">
        <v>1249</v>
      </c>
      <c r="U16" s="179" t="s">
        <v>1249</v>
      </c>
      <c r="V16" s="179" t="s">
        <v>1249</v>
      </c>
      <c r="W16" s="179" t="s">
        <v>1249</v>
      </c>
      <c r="X16" s="179" t="s">
        <v>1249</v>
      </c>
      <c r="Y16" s="179" t="s">
        <v>1249</v>
      </c>
      <c r="Z16" s="179" t="s">
        <v>1249</v>
      </c>
      <c r="AA16" s="179" t="s">
        <v>1249</v>
      </c>
      <c r="AB16" s="179" t="s">
        <v>1249</v>
      </c>
      <c r="AC16" s="221"/>
      <c r="AD16" s="176">
        <v>0</v>
      </c>
      <c r="AE16" s="176">
        <v>8497.6196999999993</v>
      </c>
      <c r="AF16" s="176">
        <v>8266.1226000000006</v>
      </c>
      <c r="AG16" s="176">
        <v>5649.4377999999997</v>
      </c>
      <c r="AH16" s="176">
        <v>4703.1480000000001</v>
      </c>
      <c r="AI16" s="176">
        <v>3644.6446999999998</v>
      </c>
      <c r="AJ16" s="176">
        <v>1765.1406999999999</v>
      </c>
      <c r="AK16" s="176">
        <v>1167.8619000000001</v>
      </c>
      <c r="AL16" s="176">
        <v>226.02699999999999</v>
      </c>
      <c r="AM16" s="177">
        <f t="shared" si="2"/>
        <v>33920.002400000005</v>
      </c>
      <c r="AN16" s="178">
        <f t="shared" si="3"/>
        <v>1.260176280185611E-2</v>
      </c>
      <c r="AO16" s="221"/>
      <c r="AP16" s="179" t="s">
        <v>1250</v>
      </c>
      <c r="AQ16" s="179" t="s">
        <v>1250</v>
      </c>
      <c r="AR16" s="179" t="s">
        <v>1250</v>
      </c>
      <c r="AS16" s="179" t="s">
        <v>1250</v>
      </c>
      <c r="AT16" s="179" t="s">
        <v>1250</v>
      </c>
      <c r="AU16" s="179" t="s">
        <v>1250</v>
      </c>
      <c r="AV16" s="179" t="s">
        <v>1250</v>
      </c>
      <c r="AW16" s="179" t="s">
        <v>1250</v>
      </c>
      <c r="AX16" s="179" t="s">
        <v>1250</v>
      </c>
      <c r="AY16" s="179" t="s">
        <v>1250</v>
      </c>
      <c r="AZ16" s="47"/>
      <c r="BA16" s="439" t="s">
        <v>1257</v>
      </c>
    </row>
    <row r="17" spans="1:53" ht="17.649999999999999" customHeight="1" x14ac:dyDescent="0.2">
      <c r="A17" s="10" t="s">
        <v>1258</v>
      </c>
      <c r="B17" s="10" t="s">
        <v>1244</v>
      </c>
      <c r="C17" s="10" t="s">
        <v>1259</v>
      </c>
      <c r="D17" s="180" t="s">
        <v>1246</v>
      </c>
      <c r="E17" s="181" t="s">
        <v>1247</v>
      </c>
      <c r="F17" s="221"/>
      <c r="G17" s="176">
        <v>43.936300000000003</v>
      </c>
      <c r="H17" s="176">
        <v>31766.2513</v>
      </c>
      <c r="I17" s="176">
        <v>27634.981400000001</v>
      </c>
      <c r="J17" s="176">
        <v>14775.358</v>
      </c>
      <c r="K17" s="176">
        <v>7875.4706999999999</v>
      </c>
      <c r="L17" s="176">
        <v>5111.4623000000001</v>
      </c>
      <c r="M17" s="176">
        <v>2021.2163</v>
      </c>
      <c r="N17" s="176">
        <v>742.48770000000002</v>
      </c>
      <c r="O17" s="176">
        <v>37.7273</v>
      </c>
      <c r="P17" s="177">
        <f t="shared" si="0"/>
        <v>90008.891300000003</v>
      </c>
      <c r="Q17" s="178">
        <f t="shared" si="1"/>
        <v>3.3740538140940586E-2</v>
      </c>
      <c r="R17" s="221"/>
      <c r="S17" s="179" t="s">
        <v>1260</v>
      </c>
      <c r="T17" s="179" t="s">
        <v>1260</v>
      </c>
      <c r="U17" s="179" t="s">
        <v>1260</v>
      </c>
      <c r="V17" s="179" t="s">
        <v>1260</v>
      </c>
      <c r="W17" s="179" t="s">
        <v>1260</v>
      </c>
      <c r="X17" s="179" t="s">
        <v>1260</v>
      </c>
      <c r="Y17" s="179" t="s">
        <v>1260</v>
      </c>
      <c r="Z17" s="179" t="s">
        <v>1260</v>
      </c>
      <c r="AA17" s="179" t="s">
        <v>1260</v>
      </c>
      <c r="AB17" s="179" t="s">
        <v>1260</v>
      </c>
      <c r="AC17" s="221"/>
      <c r="AD17" s="176">
        <v>44.331699999999998</v>
      </c>
      <c r="AE17" s="176">
        <v>32052.1476</v>
      </c>
      <c r="AF17" s="176">
        <v>27883.696199999998</v>
      </c>
      <c r="AG17" s="176">
        <v>14908.3362</v>
      </c>
      <c r="AH17" s="176">
        <v>7946.3499000000002</v>
      </c>
      <c r="AI17" s="176">
        <v>5157.4655000000002</v>
      </c>
      <c r="AJ17" s="176">
        <v>2039.4073000000001</v>
      </c>
      <c r="AK17" s="176">
        <v>749.17010000000005</v>
      </c>
      <c r="AL17" s="176">
        <v>38.066800000000001</v>
      </c>
      <c r="AM17" s="177">
        <f t="shared" si="2"/>
        <v>90818.971300000019</v>
      </c>
      <c r="AN17" s="178">
        <f t="shared" si="3"/>
        <v>3.3740538126588622E-2</v>
      </c>
      <c r="AO17" s="221"/>
      <c r="AP17" s="179" t="s">
        <v>1250</v>
      </c>
      <c r="AQ17" s="179" t="s">
        <v>1250</v>
      </c>
      <c r="AR17" s="179" t="s">
        <v>1250</v>
      </c>
      <c r="AS17" s="179" t="s">
        <v>1250</v>
      </c>
      <c r="AT17" s="179" t="s">
        <v>1250</v>
      </c>
      <c r="AU17" s="179" t="s">
        <v>1250</v>
      </c>
      <c r="AV17" s="179" t="s">
        <v>1250</v>
      </c>
      <c r="AW17" s="179" t="s">
        <v>1250</v>
      </c>
      <c r="AX17" s="179" t="s">
        <v>1250</v>
      </c>
      <c r="AY17" s="179" t="s">
        <v>1250</v>
      </c>
      <c r="AZ17" s="47"/>
      <c r="BA17" s="439" t="s">
        <v>1261</v>
      </c>
    </row>
    <row r="18" spans="1:53" ht="17.649999999999999" customHeight="1" x14ac:dyDescent="0.2">
      <c r="A18" s="10" t="s">
        <v>1262</v>
      </c>
      <c r="B18" s="10" t="s">
        <v>1244</v>
      </c>
      <c r="C18" s="10" t="s">
        <v>1263</v>
      </c>
      <c r="D18" s="180" t="s">
        <v>1246</v>
      </c>
      <c r="E18" s="181" t="s">
        <v>1247</v>
      </c>
      <c r="F18" s="221"/>
      <c r="G18" s="176">
        <v>78.408299999999997</v>
      </c>
      <c r="H18" s="176">
        <v>45445.470800000003</v>
      </c>
      <c r="I18" s="176">
        <v>38808.837</v>
      </c>
      <c r="J18" s="176">
        <v>21093.028900000001</v>
      </c>
      <c r="K18" s="176">
        <v>9997.7042999999994</v>
      </c>
      <c r="L18" s="176">
        <v>4281.9742999999999</v>
      </c>
      <c r="M18" s="176">
        <v>1342.2058</v>
      </c>
      <c r="N18" s="176">
        <v>534.57550000000003</v>
      </c>
      <c r="O18" s="176">
        <v>25.555599999999998</v>
      </c>
      <c r="P18" s="177">
        <f t="shared" si="0"/>
        <v>121607.76050000002</v>
      </c>
      <c r="Q18" s="178">
        <f t="shared" si="1"/>
        <v>4.5585621843834648E-2</v>
      </c>
      <c r="R18" s="221"/>
      <c r="S18" s="179" t="s">
        <v>1260</v>
      </c>
      <c r="T18" s="179" t="s">
        <v>1260</v>
      </c>
      <c r="U18" s="179" t="s">
        <v>1260</v>
      </c>
      <c r="V18" s="179" t="s">
        <v>1260</v>
      </c>
      <c r="W18" s="179" t="s">
        <v>1260</v>
      </c>
      <c r="X18" s="179" t="s">
        <v>1260</v>
      </c>
      <c r="Y18" s="179" t="s">
        <v>1260</v>
      </c>
      <c r="Z18" s="179" t="s">
        <v>1260</v>
      </c>
      <c r="AA18" s="179" t="s">
        <v>1260</v>
      </c>
      <c r="AB18" s="179" t="s">
        <v>1260</v>
      </c>
      <c r="AC18" s="221"/>
      <c r="AD18" s="176">
        <v>79.114000000000004</v>
      </c>
      <c r="AE18" s="176">
        <v>45854.480100000001</v>
      </c>
      <c r="AF18" s="176">
        <v>39158.116499999996</v>
      </c>
      <c r="AG18" s="176">
        <v>21282.8662</v>
      </c>
      <c r="AH18" s="176">
        <v>10087.6836</v>
      </c>
      <c r="AI18" s="176">
        <v>4320.5120999999999</v>
      </c>
      <c r="AJ18" s="176">
        <v>1354.2855999999999</v>
      </c>
      <c r="AK18" s="176">
        <v>539.38670000000002</v>
      </c>
      <c r="AL18" s="176">
        <v>25.785599999999999</v>
      </c>
      <c r="AM18" s="177">
        <f t="shared" si="2"/>
        <v>122702.2304</v>
      </c>
      <c r="AN18" s="178">
        <f t="shared" si="3"/>
        <v>4.5585621855955341E-2</v>
      </c>
      <c r="AO18" s="221"/>
      <c r="AP18" s="179" t="s">
        <v>1250</v>
      </c>
      <c r="AQ18" s="179" t="s">
        <v>1250</v>
      </c>
      <c r="AR18" s="179" t="s">
        <v>1250</v>
      </c>
      <c r="AS18" s="179" t="s">
        <v>1250</v>
      </c>
      <c r="AT18" s="179" t="s">
        <v>1250</v>
      </c>
      <c r="AU18" s="179" t="s">
        <v>1250</v>
      </c>
      <c r="AV18" s="179" t="s">
        <v>1250</v>
      </c>
      <c r="AW18" s="179" t="s">
        <v>1250</v>
      </c>
      <c r="AX18" s="179" t="s">
        <v>1250</v>
      </c>
      <c r="AY18" s="179" t="s">
        <v>1250</v>
      </c>
      <c r="AZ18" s="47"/>
      <c r="BA18" s="439" t="s">
        <v>1264</v>
      </c>
    </row>
    <row r="19" spans="1:53" ht="17.649999999999999" customHeight="1" x14ac:dyDescent="0.2">
      <c r="A19" s="10" t="s">
        <v>1265</v>
      </c>
      <c r="B19" s="10" t="s">
        <v>1266</v>
      </c>
      <c r="C19" s="10" t="s">
        <v>1267</v>
      </c>
      <c r="D19" s="180" t="s">
        <v>1246</v>
      </c>
      <c r="E19" s="181" t="s">
        <v>1247</v>
      </c>
      <c r="F19" s="221"/>
      <c r="G19" s="176">
        <v>149</v>
      </c>
      <c r="H19" s="176">
        <v>148982</v>
      </c>
      <c r="I19" s="176">
        <v>180324</v>
      </c>
      <c r="J19" s="176">
        <v>128676</v>
      </c>
      <c r="K19" s="176">
        <v>104250</v>
      </c>
      <c r="L19" s="176">
        <v>84317</v>
      </c>
      <c r="M19" s="176">
        <v>38784</v>
      </c>
      <c r="N19" s="176">
        <v>20591</v>
      </c>
      <c r="O19" s="176">
        <v>1557</v>
      </c>
      <c r="P19" s="177">
        <f t="shared" si="0"/>
        <v>707630</v>
      </c>
      <c r="Q19" s="178">
        <f t="shared" si="1"/>
        <v>0.26526064991841297</v>
      </c>
      <c r="R19" s="221"/>
      <c r="S19" s="179" t="s">
        <v>1249</v>
      </c>
      <c r="T19" s="179" t="s">
        <v>1249</v>
      </c>
      <c r="U19" s="179" t="s">
        <v>1249</v>
      </c>
      <c r="V19" s="179" t="s">
        <v>1249</v>
      </c>
      <c r="W19" s="179" t="s">
        <v>1249</v>
      </c>
      <c r="X19" s="179" t="s">
        <v>1249</v>
      </c>
      <c r="Y19" s="179" t="s">
        <v>1249</v>
      </c>
      <c r="Z19" s="179" t="s">
        <v>1249</v>
      </c>
      <c r="AA19" s="179" t="s">
        <v>1249</v>
      </c>
      <c r="AB19" s="179" t="s">
        <v>1249</v>
      </c>
      <c r="AC19" s="221"/>
      <c r="AD19" s="176">
        <v>150.34100000000001</v>
      </c>
      <c r="AE19" s="176">
        <v>150322.83799999999</v>
      </c>
      <c r="AF19" s="176">
        <v>181946.916</v>
      </c>
      <c r="AG19" s="176">
        <v>129834.084</v>
      </c>
      <c r="AH19" s="176">
        <v>105188.25</v>
      </c>
      <c r="AI19" s="176">
        <v>85075.853000000003</v>
      </c>
      <c r="AJ19" s="176">
        <v>39133.055999999997</v>
      </c>
      <c r="AK19" s="176">
        <v>20776.319</v>
      </c>
      <c r="AL19" s="176">
        <v>1571.0129999999999</v>
      </c>
      <c r="AM19" s="177">
        <f t="shared" si="2"/>
        <v>713998.67</v>
      </c>
      <c r="AN19" s="178">
        <f t="shared" si="3"/>
        <v>0.26526064986896153</v>
      </c>
      <c r="AO19" s="221"/>
      <c r="AP19" s="179" t="s">
        <v>1250</v>
      </c>
      <c r="AQ19" s="179" t="s">
        <v>1250</v>
      </c>
      <c r="AR19" s="179" t="s">
        <v>1250</v>
      </c>
      <c r="AS19" s="179" t="s">
        <v>1250</v>
      </c>
      <c r="AT19" s="179" t="s">
        <v>1250</v>
      </c>
      <c r="AU19" s="179" t="s">
        <v>1250</v>
      </c>
      <c r="AV19" s="179" t="s">
        <v>1250</v>
      </c>
      <c r="AW19" s="179" t="s">
        <v>1250</v>
      </c>
      <c r="AX19" s="179" t="s">
        <v>1250</v>
      </c>
      <c r="AY19" s="179" t="s">
        <v>1250</v>
      </c>
      <c r="AZ19" s="47"/>
      <c r="BA19" s="439" t="s">
        <v>1268</v>
      </c>
    </row>
    <row r="20" spans="1:53" ht="17.649999999999999" customHeight="1" x14ac:dyDescent="0.2">
      <c r="A20" s="10" t="s">
        <v>1269</v>
      </c>
      <c r="B20" s="10" t="s">
        <v>1266</v>
      </c>
      <c r="C20" s="10" t="s">
        <v>1270</v>
      </c>
      <c r="D20" s="180" t="s">
        <v>1246</v>
      </c>
      <c r="E20" s="181" t="s">
        <v>1247</v>
      </c>
      <c r="F20" s="221"/>
      <c r="G20" s="176">
        <v>25.063700000000001</v>
      </c>
      <c r="H20" s="176">
        <v>22620.870999999999</v>
      </c>
      <c r="I20" s="176">
        <v>17499.457699999999</v>
      </c>
      <c r="J20" s="176">
        <v>9145.1864000000005</v>
      </c>
      <c r="K20" s="176">
        <v>4304.0883999999996</v>
      </c>
      <c r="L20" s="176">
        <v>2708.5232000000001</v>
      </c>
      <c r="M20" s="176">
        <v>854.54570000000001</v>
      </c>
      <c r="N20" s="176">
        <v>238.91900000000001</v>
      </c>
      <c r="O20" s="176">
        <v>6.2727000000000004</v>
      </c>
      <c r="P20" s="177">
        <f t="shared" si="0"/>
        <v>57402.927800000005</v>
      </c>
      <c r="Q20" s="178">
        <f t="shared" si="1"/>
        <v>2.1517937248912194E-2</v>
      </c>
      <c r="R20" s="221"/>
      <c r="S20" s="179" t="s">
        <v>1260</v>
      </c>
      <c r="T20" s="179" t="s">
        <v>1260</v>
      </c>
      <c r="U20" s="179" t="s">
        <v>1260</v>
      </c>
      <c r="V20" s="179" t="s">
        <v>1260</v>
      </c>
      <c r="W20" s="179" t="s">
        <v>1260</v>
      </c>
      <c r="X20" s="179" t="s">
        <v>1260</v>
      </c>
      <c r="Y20" s="179" t="s">
        <v>1260</v>
      </c>
      <c r="Z20" s="179" t="s">
        <v>1260</v>
      </c>
      <c r="AA20" s="179" t="s">
        <v>1260</v>
      </c>
      <c r="AB20" s="179" t="s">
        <v>1260</v>
      </c>
      <c r="AC20" s="221"/>
      <c r="AD20" s="176">
        <v>25.289300000000001</v>
      </c>
      <c r="AE20" s="176">
        <v>22824.458900000001</v>
      </c>
      <c r="AF20" s="176">
        <v>17656.952799999999</v>
      </c>
      <c r="AG20" s="176">
        <v>9227.4930999999997</v>
      </c>
      <c r="AH20" s="176">
        <v>4342.8252000000002</v>
      </c>
      <c r="AI20" s="176">
        <v>2732.8998999999999</v>
      </c>
      <c r="AJ20" s="176">
        <v>862.23670000000004</v>
      </c>
      <c r="AK20" s="176">
        <v>241.0692</v>
      </c>
      <c r="AL20" s="176">
        <v>6.3292000000000002</v>
      </c>
      <c r="AM20" s="177">
        <f t="shared" si="2"/>
        <v>57919.554299999996</v>
      </c>
      <c r="AN20" s="178">
        <f t="shared" si="3"/>
        <v>2.151793730055352E-2</v>
      </c>
      <c r="AO20" s="221"/>
      <c r="AP20" s="179" t="s">
        <v>1250</v>
      </c>
      <c r="AQ20" s="179" t="s">
        <v>1250</v>
      </c>
      <c r="AR20" s="179" t="s">
        <v>1250</v>
      </c>
      <c r="AS20" s="179" t="s">
        <v>1250</v>
      </c>
      <c r="AT20" s="179" t="s">
        <v>1250</v>
      </c>
      <c r="AU20" s="179" t="s">
        <v>1250</v>
      </c>
      <c r="AV20" s="179" t="s">
        <v>1250</v>
      </c>
      <c r="AW20" s="179" t="s">
        <v>1250</v>
      </c>
      <c r="AX20" s="179" t="s">
        <v>1250</v>
      </c>
      <c r="AY20" s="179" t="s">
        <v>1250</v>
      </c>
      <c r="AZ20" s="47"/>
      <c r="BA20" s="439" t="s">
        <v>1271</v>
      </c>
    </row>
    <row r="21" spans="1:53" ht="17.649999999999999" customHeight="1" x14ac:dyDescent="0.2">
      <c r="A21" s="10" t="s">
        <v>1272</v>
      </c>
      <c r="B21" s="10" t="s">
        <v>1273</v>
      </c>
      <c r="C21" s="10" t="s">
        <v>1274</v>
      </c>
      <c r="D21" s="180" t="s">
        <v>1275</v>
      </c>
      <c r="E21" s="181" t="s">
        <v>1247</v>
      </c>
      <c r="F21" s="221"/>
      <c r="G21" s="182">
        <v>0.31275180000000002</v>
      </c>
      <c r="H21" s="182">
        <v>0.41052559999999999</v>
      </c>
      <c r="I21" s="182">
        <v>0.40097120000000003</v>
      </c>
      <c r="J21" s="182">
        <v>0.40384589999999998</v>
      </c>
      <c r="K21" s="182">
        <v>0.4079699</v>
      </c>
      <c r="L21" s="182">
        <v>0.3110581</v>
      </c>
      <c r="M21" s="182">
        <v>0.3374258</v>
      </c>
      <c r="N21" s="182">
        <v>0.344171</v>
      </c>
      <c r="O21" s="182">
        <v>0.1319565</v>
      </c>
      <c r="P21" s="183"/>
      <c r="Q21" s="183"/>
      <c r="R21" s="221"/>
      <c r="S21" s="179" t="s">
        <v>1260</v>
      </c>
      <c r="T21" s="179" t="s">
        <v>1260</v>
      </c>
      <c r="U21" s="179" t="s">
        <v>1260</v>
      </c>
      <c r="V21" s="179" t="s">
        <v>1260</v>
      </c>
      <c r="W21" s="179" t="s">
        <v>1260</v>
      </c>
      <c r="X21" s="179" t="s">
        <v>1260</v>
      </c>
      <c r="Y21" s="179" t="s">
        <v>1260</v>
      </c>
      <c r="Z21" s="179" t="s">
        <v>1260</v>
      </c>
      <c r="AA21" s="179" t="s">
        <v>1260</v>
      </c>
      <c r="AB21" s="179" t="s">
        <v>1260</v>
      </c>
      <c r="AC21" s="221"/>
      <c r="AD21" s="182">
        <v>0.31275180000000002</v>
      </c>
      <c r="AE21" s="182">
        <v>0.41052559999999999</v>
      </c>
      <c r="AF21" s="182">
        <v>0.40097120000000003</v>
      </c>
      <c r="AG21" s="182">
        <v>0.40384589999999998</v>
      </c>
      <c r="AH21" s="182">
        <v>0.4079699</v>
      </c>
      <c r="AI21" s="182">
        <v>0.3110581</v>
      </c>
      <c r="AJ21" s="182">
        <v>0.3374258</v>
      </c>
      <c r="AK21" s="182">
        <v>0.344171</v>
      </c>
      <c r="AL21" s="182">
        <v>0.1319565</v>
      </c>
      <c r="AM21" s="183"/>
      <c r="AN21" s="183"/>
      <c r="AO21" s="221"/>
      <c r="AP21" s="179" t="s">
        <v>1250</v>
      </c>
      <c r="AQ21" s="179" t="s">
        <v>1250</v>
      </c>
      <c r="AR21" s="179" t="s">
        <v>1250</v>
      </c>
      <c r="AS21" s="179" t="s">
        <v>1250</v>
      </c>
      <c r="AT21" s="179" t="s">
        <v>1250</v>
      </c>
      <c r="AU21" s="179" t="s">
        <v>1250</v>
      </c>
      <c r="AV21" s="179" t="s">
        <v>1250</v>
      </c>
      <c r="AW21" s="179" t="s">
        <v>1250</v>
      </c>
      <c r="AX21" s="179" t="s">
        <v>1250</v>
      </c>
      <c r="AY21" s="179" t="s">
        <v>1250</v>
      </c>
      <c r="AZ21" s="47"/>
      <c r="BA21" s="439" t="s">
        <v>1276</v>
      </c>
    </row>
    <row r="22" spans="1:53" ht="17.649999999999999" customHeight="1" x14ac:dyDescent="0.2">
      <c r="A22" s="10" t="s">
        <v>1277</v>
      </c>
      <c r="B22" s="10" t="s">
        <v>1266</v>
      </c>
      <c r="C22" s="10" t="s">
        <v>1278</v>
      </c>
      <c r="D22" s="180" t="s">
        <v>1246</v>
      </c>
      <c r="E22" s="181" t="s">
        <v>1247</v>
      </c>
      <c r="F22" s="221"/>
      <c r="G22" s="177">
        <f t="shared" ref="G22:O22" si="4">G20*G21</f>
        <v>7.8387172896600008</v>
      </c>
      <c r="H22" s="177">
        <f t="shared" si="4"/>
        <v>9286.4466397975993</v>
      </c>
      <c r="I22" s="177">
        <f t="shared" si="4"/>
        <v>7016.7785533182405</v>
      </c>
      <c r="J22" s="177">
        <f t="shared" si="4"/>
        <v>3693.24603237576</v>
      </c>
      <c r="K22" s="177">
        <f t="shared" si="4"/>
        <v>1755.9385141391599</v>
      </c>
      <c r="L22" s="177">
        <f t="shared" si="4"/>
        <v>842.50808039792003</v>
      </c>
      <c r="M22" s="177">
        <f t="shared" si="4"/>
        <v>288.34576645906003</v>
      </c>
      <c r="N22" s="177">
        <f t="shared" si="4"/>
        <v>82.228991149000009</v>
      </c>
      <c r="O22" s="177">
        <f t="shared" si="4"/>
        <v>0.82772353755000005</v>
      </c>
      <c r="P22" s="177">
        <f t="shared" ref="P22:P29" si="5">SUM(G22:O22)</f>
        <v>22974.159018463954</v>
      </c>
      <c r="Q22" s="178">
        <f t="shared" ref="Q22:Q30" si="6">IFERROR(P22/$P$30,"")</f>
        <v>8.6120435150667963E-3</v>
      </c>
      <c r="R22" s="221"/>
      <c r="S22" s="179" t="s">
        <v>1260</v>
      </c>
      <c r="T22" s="179" t="s">
        <v>1260</v>
      </c>
      <c r="U22" s="179" t="s">
        <v>1260</v>
      </c>
      <c r="V22" s="179" t="s">
        <v>1260</v>
      </c>
      <c r="W22" s="179" t="s">
        <v>1260</v>
      </c>
      <c r="X22" s="179" t="s">
        <v>1260</v>
      </c>
      <c r="Y22" s="179" t="s">
        <v>1260</v>
      </c>
      <c r="Z22" s="179" t="s">
        <v>1260</v>
      </c>
      <c r="AA22" s="179" t="s">
        <v>1260</v>
      </c>
      <c r="AB22" s="179" t="s">
        <v>1260</v>
      </c>
      <c r="AC22" s="221"/>
      <c r="AD22" s="177">
        <f t="shared" ref="AD22:AL22" si="7">AD20*AD21</f>
        <v>7.9092740957400007</v>
      </c>
      <c r="AE22" s="177">
        <f t="shared" si="7"/>
        <v>9370.02468459784</v>
      </c>
      <c r="AF22" s="177">
        <f t="shared" si="7"/>
        <v>7079.9295525593598</v>
      </c>
      <c r="AG22" s="177">
        <f t="shared" si="7"/>
        <v>3726.4852557132895</v>
      </c>
      <c r="AH22" s="177">
        <f t="shared" si="7"/>
        <v>1771.74196256148</v>
      </c>
      <c r="AI22" s="177">
        <f t="shared" si="7"/>
        <v>850.09065038418998</v>
      </c>
      <c r="AJ22" s="177">
        <f t="shared" si="7"/>
        <v>290.94090828686001</v>
      </c>
      <c r="AK22" s="177">
        <f t="shared" si="7"/>
        <v>82.9690276332</v>
      </c>
      <c r="AL22" s="177">
        <f t="shared" si="7"/>
        <v>0.83517907980000006</v>
      </c>
      <c r="AM22" s="177">
        <f t="shared" ref="AM22:AM29" si="8">SUM(AD22:AL22)</f>
        <v>23180.926494911761</v>
      </c>
      <c r="AN22" s="178">
        <f t="shared" ref="AN22:AN30" si="9">IFERROR(AM22/$AM$30,"")</f>
        <v>8.6120435302840578E-3</v>
      </c>
      <c r="AO22" s="221"/>
      <c r="AP22" s="179" t="s">
        <v>1250</v>
      </c>
      <c r="AQ22" s="179" t="s">
        <v>1250</v>
      </c>
      <c r="AR22" s="179" t="s">
        <v>1250</v>
      </c>
      <c r="AS22" s="179" t="s">
        <v>1250</v>
      </c>
      <c r="AT22" s="179" t="s">
        <v>1250</v>
      </c>
      <c r="AU22" s="179" t="s">
        <v>1250</v>
      </c>
      <c r="AV22" s="179" t="s">
        <v>1250</v>
      </c>
      <c r="AW22" s="179" t="s">
        <v>1250</v>
      </c>
      <c r="AX22" s="179" t="s">
        <v>1250</v>
      </c>
      <c r="AY22" s="179" t="s">
        <v>1250</v>
      </c>
      <c r="AZ22" s="47"/>
      <c r="BA22" s="439" t="s">
        <v>1279</v>
      </c>
    </row>
    <row r="23" spans="1:53" ht="17.649999999999999" customHeight="1" x14ac:dyDescent="0.2">
      <c r="A23" s="10" t="s">
        <v>1280</v>
      </c>
      <c r="B23" s="10" t="s">
        <v>1266</v>
      </c>
      <c r="C23" s="10" t="s">
        <v>1281</v>
      </c>
      <c r="D23" s="180" t="s">
        <v>1246</v>
      </c>
      <c r="E23" s="181" t="s">
        <v>1247</v>
      </c>
      <c r="F23" s="221"/>
      <c r="G23" s="177">
        <f t="shared" ref="G23:O23" si="10">G20-G22</f>
        <v>17.224982710340001</v>
      </c>
      <c r="H23" s="177">
        <f t="shared" si="10"/>
        <v>13334.4243602024</v>
      </c>
      <c r="I23" s="177">
        <f t="shared" si="10"/>
        <v>10482.679146681759</v>
      </c>
      <c r="J23" s="177">
        <f t="shared" si="10"/>
        <v>5451.94036762424</v>
      </c>
      <c r="K23" s="177">
        <f t="shared" si="10"/>
        <v>2548.1498858608397</v>
      </c>
      <c r="L23" s="177">
        <f t="shared" si="10"/>
        <v>1866.0151196020802</v>
      </c>
      <c r="M23" s="177">
        <f t="shared" si="10"/>
        <v>566.19993354094004</v>
      </c>
      <c r="N23" s="177">
        <f t="shared" si="10"/>
        <v>156.69000885100002</v>
      </c>
      <c r="O23" s="177">
        <f t="shared" si="10"/>
        <v>5.4449764624500006</v>
      </c>
      <c r="P23" s="177">
        <f t="shared" si="5"/>
        <v>34428.768781536055</v>
      </c>
      <c r="Q23" s="178">
        <f t="shared" si="6"/>
        <v>1.2905893733845401E-2</v>
      </c>
      <c r="R23" s="221"/>
      <c r="S23" s="179" t="s">
        <v>1260</v>
      </c>
      <c r="T23" s="179" t="s">
        <v>1260</v>
      </c>
      <c r="U23" s="179" t="s">
        <v>1260</v>
      </c>
      <c r="V23" s="179" t="s">
        <v>1260</v>
      </c>
      <c r="W23" s="179" t="s">
        <v>1260</v>
      </c>
      <c r="X23" s="179" t="s">
        <v>1260</v>
      </c>
      <c r="Y23" s="179" t="s">
        <v>1260</v>
      </c>
      <c r="Z23" s="179" t="s">
        <v>1260</v>
      </c>
      <c r="AA23" s="179" t="s">
        <v>1260</v>
      </c>
      <c r="AB23" s="179" t="s">
        <v>1260</v>
      </c>
      <c r="AC23" s="221"/>
      <c r="AD23" s="177">
        <f t="shared" ref="AD23:AL23" si="11">AD20-AD22</f>
        <v>17.380025904260002</v>
      </c>
      <c r="AE23" s="177">
        <f t="shared" si="11"/>
        <v>13454.434215402161</v>
      </c>
      <c r="AF23" s="177">
        <f t="shared" si="11"/>
        <v>10577.02324744064</v>
      </c>
      <c r="AG23" s="177">
        <f t="shared" si="11"/>
        <v>5501.0078442867107</v>
      </c>
      <c r="AH23" s="177">
        <f t="shared" si="11"/>
        <v>2571.08323743852</v>
      </c>
      <c r="AI23" s="177">
        <f t="shared" si="11"/>
        <v>1882.8092496158099</v>
      </c>
      <c r="AJ23" s="177">
        <f t="shared" si="11"/>
        <v>571.29579171314003</v>
      </c>
      <c r="AK23" s="177">
        <f t="shared" si="11"/>
        <v>158.1001723668</v>
      </c>
      <c r="AL23" s="177">
        <f t="shared" si="11"/>
        <v>5.4940209202000005</v>
      </c>
      <c r="AM23" s="177">
        <f t="shared" si="8"/>
        <v>34738.627805088254</v>
      </c>
      <c r="AN23" s="178">
        <f t="shared" si="9"/>
        <v>1.290589377026947E-2</v>
      </c>
      <c r="AO23" s="221"/>
      <c r="AP23" s="179" t="s">
        <v>1250</v>
      </c>
      <c r="AQ23" s="179" t="s">
        <v>1250</v>
      </c>
      <c r="AR23" s="179" t="s">
        <v>1250</v>
      </c>
      <c r="AS23" s="179" t="s">
        <v>1250</v>
      </c>
      <c r="AT23" s="179" t="s">
        <v>1250</v>
      </c>
      <c r="AU23" s="179" t="s">
        <v>1250</v>
      </c>
      <c r="AV23" s="179" t="s">
        <v>1250</v>
      </c>
      <c r="AW23" s="179" t="s">
        <v>1250</v>
      </c>
      <c r="AX23" s="179" t="s">
        <v>1250</v>
      </c>
      <c r="AY23" s="179" t="s">
        <v>1250</v>
      </c>
      <c r="AZ23" s="47"/>
      <c r="BA23" s="439" t="s">
        <v>1282</v>
      </c>
    </row>
    <row r="24" spans="1:53" ht="17.649999999999999" customHeight="1" x14ac:dyDescent="0.2">
      <c r="A24" s="10" t="s">
        <v>1283</v>
      </c>
      <c r="B24" s="10" t="s">
        <v>1266</v>
      </c>
      <c r="C24" s="10" t="s">
        <v>1284</v>
      </c>
      <c r="D24" s="180" t="s">
        <v>1246</v>
      </c>
      <c r="E24" s="181" t="s">
        <v>1247</v>
      </c>
      <c r="F24" s="221"/>
      <c r="G24" s="176">
        <v>141.5917</v>
      </c>
      <c r="H24" s="176">
        <v>120451.69869999999</v>
      </c>
      <c r="I24" s="176">
        <v>79249.219899999996</v>
      </c>
      <c r="J24" s="176">
        <v>36268.8056</v>
      </c>
      <c r="K24" s="176">
        <v>13436.053900000001</v>
      </c>
      <c r="L24" s="176">
        <v>4947.9784</v>
      </c>
      <c r="M24" s="176">
        <v>1192.5505000000001</v>
      </c>
      <c r="N24" s="176">
        <v>362.01780000000002</v>
      </c>
      <c r="O24" s="176">
        <v>11.4444</v>
      </c>
      <c r="P24" s="177">
        <f t="shared" si="5"/>
        <v>256061.3609</v>
      </c>
      <c r="Q24" s="178">
        <f t="shared" si="6"/>
        <v>9.5986607423833498E-2</v>
      </c>
      <c r="R24" s="221"/>
      <c r="S24" s="179" t="s">
        <v>1249</v>
      </c>
      <c r="T24" s="179" t="s">
        <v>1249</v>
      </c>
      <c r="U24" s="179" t="s">
        <v>1249</v>
      </c>
      <c r="V24" s="179" t="s">
        <v>1249</v>
      </c>
      <c r="W24" s="179" t="s">
        <v>1249</v>
      </c>
      <c r="X24" s="179" t="s">
        <v>1249</v>
      </c>
      <c r="Y24" s="179" t="s">
        <v>1249</v>
      </c>
      <c r="Z24" s="179" t="s">
        <v>1249</v>
      </c>
      <c r="AA24" s="179" t="s">
        <v>1249</v>
      </c>
      <c r="AB24" s="179" t="s">
        <v>1249</v>
      </c>
      <c r="AC24" s="221"/>
      <c r="AD24" s="176">
        <v>142.86600000000001</v>
      </c>
      <c r="AE24" s="176">
        <v>121535.764</v>
      </c>
      <c r="AF24" s="176">
        <v>79962.462899999999</v>
      </c>
      <c r="AG24" s="176">
        <v>36595.224800000004</v>
      </c>
      <c r="AH24" s="176">
        <v>13556.978300000001</v>
      </c>
      <c r="AI24" s="176">
        <v>4992.5101999999997</v>
      </c>
      <c r="AJ24" s="176">
        <v>1203.2835</v>
      </c>
      <c r="AK24" s="176">
        <v>365.27600000000001</v>
      </c>
      <c r="AL24" s="176">
        <v>11.5474</v>
      </c>
      <c r="AM24" s="177">
        <f t="shared" si="8"/>
        <v>258365.91309999998</v>
      </c>
      <c r="AN24" s="178">
        <f t="shared" si="9"/>
        <v>9.5986607388069273E-2</v>
      </c>
      <c r="AO24" s="221"/>
      <c r="AP24" s="179" t="s">
        <v>1250</v>
      </c>
      <c r="AQ24" s="179" t="s">
        <v>1250</v>
      </c>
      <c r="AR24" s="179" t="s">
        <v>1250</v>
      </c>
      <c r="AS24" s="179" t="s">
        <v>1250</v>
      </c>
      <c r="AT24" s="179" t="s">
        <v>1250</v>
      </c>
      <c r="AU24" s="179" t="s">
        <v>1250</v>
      </c>
      <c r="AV24" s="179" t="s">
        <v>1250</v>
      </c>
      <c r="AW24" s="179" t="s">
        <v>1250</v>
      </c>
      <c r="AX24" s="179" t="s">
        <v>1250</v>
      </c>
      <c r="AY24" s="179" t="s">
        <v>1250</v>
      </c>
      <c r="AZ24" s="47"/>
      <c r="BA24" s="439" t="s">
        <v>1285</v>
      </c>
    </row>
    <row r="25" spans="1:53" ht="17.649999999999999" customHeight="1" x14ac:dyDescent="0.2">
      <c r="A25" s="10" t="s">
        <v>1286</v>
      </c>
      <c r="B25" s="10" t="s">
        <v>1287</v>
      </c>
      <c r="C25" s="10" t="s">
        <v>1288</v>
      </c>
      <c r="D25" s="180" t="s">
        <v>1246</v>
      </c>
      <c r="E25" s="181" t="s">
        <v>1247</v>
      </c>
      <c r="F25" s="221"/>
      <c r="G25" s="176">
        <v>1</v>
      </c>
      <c r="H25" s="176">
        <v>912</v>
      </c>
      <c r="I25" s="176">
        <v>635</v>
      </c>
      <c r="J25" s="176">
        <v>415</v>
      </c>
      <c r="K25" s="176">
        <v>309</v>
      </c>
      <c r="L25" s="176">
        <v>263</v>
      </c>
      <c r="M25" s="176">
        <v>140</v>
      </c>
      <c r="N25" s="176">
        <v>86</v>
      </c>
      <c r="O25" s="176">
        <v>16</v>
      </c>
      <c r="P25" s="177">
        <f t="shared" si="5"/>
        <v>2777</v>
      </c>
      <c r="Q25" s="178">
        <f t="shared" si="6"/>
        <v>1.0409802083340626E-3</v>
      </c>
      <c r="R25" s="221"/>
      <c r="S25" s="179" t="s">
        <v>1249</v>
      </c>
      <c r="T25" s="179" t="s">
        <v>1249</v>
      </c>
      <c r="U25" s="179" t="s">
        <v>1249</v>
      </c>
      <c r="V25" s="179" t="s">
        <v>1249</v>
      </c>
      <c r="W25" s="179" t="s">
        <v>1249</v>
      </c>
      <c r="X25" s="179" t="s">
        <v>1249</v>
      </c>
      <c r="Y25" s="179" t="s">
        <v>1249</v>
      </c>
      <c r="Z25" s="179" t="s">
        <v>1249</v>
      </c>
      <c r="AA25" s="179" t="s">
        <v>1249</v>
      </c>
      <c r="AB25" s="179" t="s">
        <v>1249</v>
      </c>
      <c r="AC25" s="221"/>
      <c r="AD25" s="176">
        <v>1.0089999999999999</v>
      </c>
      <c r="AE25" s="176">
        <v>920.20799999999997</v>
      </c>
      <c r="AF25" s="176">
        <v>640.71500000000003</v>
      </c>
      <c r="AG25" s="176">
        <v>418.73500000000001</v>
      </c>
      <c r="AH25" s="176">
        <v>311.78100000000001</v>
      </c>
      <c r="AI25" s="176">
        <v>265.36700000000002</v>
      </c>
      <c r="AJ25" s="176">
        <v>141.26</v>
      </c>
      <c r="AK25" s="176">
        <v>86.774000000000001</v>
      </c>
      <c r="AL25" s="176">
        <v>16.143999999999998</v>
      </c>
      <c r="AM25" s="177">
        <f t="shared" si="8"/>
        <v>2801.9929999999995</v>
      </c>
      <c r="AN25" s="178">
        <f t="shared" si="9"/>
        <v>1.0409802081399969E-3</v>
      </c>
      <c r="AO25" s="221"/>
      <c r="AP25" s="179" t="s">
        <v>1250</v>
      </c>
      <c r="AQ25" s="179" t="s">
        <v>1250</v>
      </c>
      <c r="AR25" s="179" t="s">
        <v>1250</v>
      </c>
      <c r="AS25" s="179" t="s">
        <v>1250</v>
      </c>
      <c r="AT25" s="179" t="s">
        <v>1250</v>
      </c>
      <c r="AU25" s="179" t="s">
        <v>1250</v>
      </c>
      <c r="AV25" s="179" t="s">
        <v>1250</v>
      </c>
      <c r="AW25" s="179" t="s">
        <v>1250</v>
      </c>
      <c r="AX25" s="179" t="s">
        <v>1250</v>
      </c>
      <c r="AY25" s="179" t="s">
        <v>1250</v>
      </c>
      <c r="AZ25" s="47"/>
      <c r="BA25" s="439" t="s">
        <v>1289</v>
      </c>
    </row>
    <row r="26" spans="1:53" ht="17.649999999999999" customHeight="1" x14ac:dyDescent="0.2">
      <c r="A26" s="10" t="s">
        <v>1290</v>
      </c>
      <c r="B26" s="10" t="s">
        <v>1287</v>
      </c>
      <c r="C26" s="10" t="s">
        <v>1291</v>
      </c>
      <c r="D26" s="180" t="s">
        <v>1246</v>
      </c>
      <c r="E26" s="181" t="s">
        <v>1247</v>
      </c>
      <c r="F26" s="221"/>
      <c r="G26" s="176">
        <v>0</v>
      </c>
      <c r="H26" s="176">
        <v>7</v>
      </c>
      <c r="I26" s="176">
        <v>13</v>
      </c>
      <c r="J26" s="176">
        <v>10</v>
      </c>
      <c r="K26" s="176">
        <v>9</v>
      </c>
      <c r="L26" s="176">
        <v>8</v>
      </c>
      <c r="M26" s="176">
        <v>3</v>
      </c>
      <c r="N26" s="176">
        <v>0</v>
      </c>
      <c r="O26" s="176">
        <v>0</v>
      </c>
      <c r="P26" s="177">
        <f t="shared" si="5"/>
        <v>50</v>
      </c>
      <c r="Q26" s="178">
        <f t="shared" si="6"/>
        <v>1.8742891759705844E-5</v>
      </c>
      <c r="R26" s="221"/>
      <c r="S26" s="179" t="s">
        <v>1249</v>
      </c>
      <c r="T26" s="179" t="s">
        <v>1249</v>
      </c>
      <c r="U26" s="179" t="s">
        <v>1249</v>
      </c>
      <c r="V26" s="179" t="s">
        <v>1249</v>
      </c>
      <c r="W26" s="179" t="s">
        <v>1249</v>
      </c>
      <c r="X26" s="179" t="s">
        <v>1249</v>
      </c>
      <c r="Y26" s="179" t="s">
        <v>1249</v>
      </c>
      <c r="Z26" s="179" t="s">
        <v>1249</v>
      </c>
      <c r="AA26" s="179" t="s">
        <v>1249</v>
      </c>
      <c r="AB26" s="179" t="s">
        <v>1249</v>
      </c>
      <c r="AC26" s="221"/>
      <c r="AD26" s="176">
        <v>0</v>
      </c>
      <c r="AE26" s="176">
        <v>7.0629999999999997</v>
      </c>
      <c r="AF26" s="176">
        <v>13.117000000000001</v>
      </c>
      <c r="AG26" s="176">
        <v>10.09</v>
      </c>
      <c r="AH26" s="176">
        <v>9.0809999999999995</v>
      </c>
      <c r="AI26" s="176">
        <v>8.0719999999999992</v>
      </c>
      <c r="AJ26" s="176">
        <v>3.0270000000000001</v>
      </c>
      <c r="AK26" s="176">
        <v>0</v>
      </c>
      <c r="AL26" s="176">
        <v>0</v>
      </c>
      <c r="AM26" s="177">
        <f t="shared" si="8"/>
        <v>50.45</v>
      </c>
      <c r="AN26" s="178">
        <f t="shared" si="9"/>
        <v>1.8742891756211688E-5</v>
      </c>
      <c r="AO26" s="221"/>
      <c r="AP26" s="179" t="s">
        <v>1250</v>
      </c>
      <c r="AQ26" s="179" t="s">
        <v>1250</v>
      </c>
      <c r="AR26" s="179" t="s">
        <v>1250</v>
      </c>
      <c r="AS26" s="179" t="s">
        <v>1250</v>
      </c>
      <c r="AT26" s="179" t="s">
        <v>1250</v>
      </c>
      <c r="AU26" s="179" t="s">
        <v>1250</v>
      </c>
      <c r="AV26" s="179" t="s">
        <v>1250</v>
      </c>
      <c r="AW26" s="179" t="s">
        <v>1250</v>
      </c>
      <c r="AX26" s="179" t="s">
        <v>1250</v>
      </c>
      <c r="AY26" s="179" t="s">
        <v>1250</v>
      </c>
      <c r="AZ26" s="47"/>
      <c r="BA26" s="439" t="s">
        <v>1292</v>
      </c>
    </row>
    <row r="27" spans="1:53" ht="17.649999999999999" customHeight="1" x14ac:dyDescent="0.2">
      <c r="A27" s="10" t="s">
        <v>1293</v>
      </c>
      <c r="B27" s="10" t="s">
        <v>1287</v>
      </c>
      <c r="C27" s="10" t="s">
        <v>1294</v>
      </c>
      <c r="D27" s="180" t="s">
        <v>1246</v>
      </c>
      <c r="E27" s="181" t="s">
        <v>1247</v>
      </c>
      <c r="F27" s="221"/>
      <c r="G27" s="176">
        <v>1</v>
      </c>
      <c r="H27" s="176">
        <v>34</v>
      </c>
      <c r="I27" s="176">
        <v>48</v>
      </c>
      <c r="J27" s="176">
        <v>49</v>
      </c>
      <c r="K27" s="176">
        <v>33</v>
      </c>
      <c r="L27" s="176">
        <v>11</v>
      </c>
      <c r="M27" s="176">
        <v>5</v>
      </c>
      <c r="N27" s="176">
        <v>0</v>
      </c>
      <c r="O27" s="176">
        <v>0</v>
      </c>
      <c r="P27" s="177">
        <f t="shared" si="5"/>
        <v>181</v>
      </c>
      <c r="Q27" s="178">
        <f t="shared" si="6"/>
        <v>6.7849268170135167E-5</v>
      </c>
      <c r="R27" s="221"/>
      <c r="S27" s="179" t="s">
        <v>1249</v>
      </c>
      <c r="T27" s="179" t="s">
        <v>1249</v>
      </c>
      <c r="U27" s="179" t="s">
        <v>1249</v>
      </c>
      <c r="V27" s="179" t="s">
        <v>1249</v>
      </c>
      <c r="W27" s="179" t="s">
        <v>1249</v>
      </c>
      <c r="X27" s="179" t="s">
        <v>1249</v>
      </c>
      <c r="Y27" s="179" t="s">
        <v>1249</v>
      </c>
      <c r="Z27" s="179" t="s">
        <v>1249</v>
      </c>
      <c r="AA27" s="179" t="s">
        <v>1249</v>
      </c>
      <c r="AB27" s="179" t="s">
        <v>1249</v>
      </c>
      <c r="AC27" s="221"/>
      <c r="AD27" s="176">
        <v>1.0089999999999999</v>
      </c>
      <c r="AE27" s="176">
        <v>34.305999999999997</v>
      </c>
      <c r="AF27" s="176">
        <v>48.432000000000002</v>
      </c>
      <c r="AG27" s="176">
        <v>49.441000000000003</v>
      </c>
      <c r="AH27" s="176">
        <v>33.296999999999997</v>
      </c>
      <c r="AI27" s="176">
        <v>11.099</v>
      </c>
      <c r="AJ27" s="176">
        <v>5.0449999999999999</v>
      </c>
      <c r="AK27" s="176">
        <v>0</v>
      </c>
      <c r="AL27" s="176">
        <v>0</v>
      </c>
      <c r="AM27" s="177">
        <f t="shared" si="8"/>
        <v>182.62899999999996</v>
      </c>
      <c r="AN27" s="178">
        <f t="shared" si="9"/>
        <v>6.7849268157486295E-5</v>
      </c>
      <c r="AO27" s="221"/>
      <c r="AP27" s="179" t="s">
        <v>1250</v>
      </c>
      <c r="AQ27" s="179" t="s">
        <v>1250</v>
      </c>
      <c r="AR27" s="179" t="s">
        <v>1250</v>
      </c>
      <c r="AS27" s="179" t="s">
        <v>1250</v>
      </c>
      <c r="AT27" s="179" t="s">
        <v>1250</v>
      </c>
      <c r="AU27" s="179" t="s">
        <v>1250</v>
      </c>
      <c r="AV27" s="179" t="s">
        <v>1250</v>
      </c>
      <c r="AW27" s="179" t="s">
        <v>1250</v>
      </c>
      <c r="AX27" s="179" t="s">
        <v>1250</v>
      </c>
      <c r="AY27" s="179" t="s">
        <v>1250</v>
      </c>
      <c r="AZ27" s="47"/>
      <c r="BA27" s="439" t="s">
        <v>1295</v>
      </c>
    </row>
    <row r="28" spans="1:53" ht="17.649999999999999" customHeight="1" x14ac:dyDescent="0.2">
      <c r="A28" s="10" t="s">
        <v>1296</v>
      </c>
      <c r="B28" s="10" t="s">
        <v>1297</v>
      </c>
      <c r="C28" s="10" t="s">
        <v>1298</v>
      </c>
      <c r="D28" s="180" t="s">
        <v>1246</v>
      </c>
      <c r="E28" s="181" t="s">
        <v>1247</v>
      </c>
      <c r="F28" s="221"/>
      <c r="G28" s="176">
        <v>5.3441999999999998</v>
      </c>
      <c r="H28" s="176">
        <v>35700.712599999999</v>
      </c>
      <c r="I28" s="176">
        <v>21873.419699999999</v>
      </c>
      <c r="J28" s="176">
        <v>15323.091700000001</v>
      </c>
      <c r="K28" s="176">
        <v>12662.438899999999</v>
      </c>
      <c r="L28" s="176">
        <v>12036.4709</v>
      </c>
      <c r="M28" s="176">
        <v>5285.8211000000001</v>
      </c>
      <c r="N28" s="176">
        <v>2466.8768</v>
      </c>
      <c r="O28" s="176">
        <v>494.71420000000001</v>
      </c>
      <c r="P28" s="177">
        <f t="shared" si="5"/>
        <v>105848.89009999999</v>
      </c>
      <c r="Q28" s="178">
        <f t="shared" si="6"/>
        <v>3.9678285800585987E-2</v>
      </c>
      <c r="R28" s="221"/>
      <c r="S28" s="179" t="s">
        <v>1249</v>
      </c>
      <c r="T28" s="179" t="s">
        <v>1249</v>
      </c>
      <c r="U28" s="179" t="s">
        <v>1249</v>
      </c>
      <c r="V28" s="179" t="s">
        <v>1249</v>
      </c>
      <c r="W28" s="179" t="s">
        <v>1249</v>
      </c>
      <c r="X28" s="179" t="s">
        <v>1249</v>
      </c>
      <c r="Y28" s="179" t="s">
        <v>1249</v>
      </c>
      <c r="Z28" s="179" t="s">
        <v>1249</v>
      </c>
      <c r="AA28" s="179" t="s">
        <v>1249</v>
      </c>
      <c r="AB28" s="179" t="s">
        <v>1249</v>
      </c>
      <c r="AC28" s="221"/>
      <c r="AD28" s="176">
        <v>5.3921999999999999</v>
      </c>
      <c r="AE28" s="176">
        <v>36022.019</v>
      </c>
      <c r="AF28" s="176">
        <v>22070.2804</v>
      </c>
      <c r="AG28" s="176">
        <v>15460.9995</v>
      </c>
      <c r="AH28" s="176">
        <v>12776.400799999999</v>
      </c>
      <c r="AI28" s="176">
        <v>12144.799199999999</v>
      </c>
      <c r="AJ28" s="176">
        <v>5333.3935000000001</v>
      </c>
      <c r="AK28" s="176">
        <v>2489.0787</v>
      </c>
      <c r="AL28" s="176">
        <v>499.16660000000002</v>
      </c>
      <c r="AM28" s="177">
        <f t="shared" si="8"/>
        <v>106801.52990000001</v>
      </c>
      <c r="AN28" s="178">
        <f t="shared" si="9"/>
        <v>3.9678285714836593E-2</v>
      </c>
      <c r="AO28" s="221"/>
      <c r="AP28" s="179" t="s">
        <v>1250</v>
      </c>
      <c r="AQ28" s="179" t="s">
        <v>1250</v>
      </c>
      <c r="AR28" s="179" t="s">
        <v>1250</v>
      </c>
      <c r="AS28" s="179" t="s">
        <v>1250</v>
      </c>
      <c r="AT28" s="179" t="s">
        <v>1250</v>
      </c>
      <c r="AU28" s="179" t="s">
        <v>1250</v>
      </c>
      <c r="AV28" s="179" t="s">
        <v>1250</v>
      </c>
      <c r="AW28" s="179" t="s">
        <v>1250</v>
      </c>
      <c r="AX28" s="179" t="s">
        <v>1250</v>
      </c>
      <c r="AY28" s="179" t="s">
        <v>1250</v>
      </c>
      <c r="AZ28" s="47"/>
      <c r="BA28" s="439" t="s">
        <v>1299</v>
      </c>
    </row>
    <row r="29" spans="1:53" ht="17.649999999999999" customHeight="1" x14ac:dyDescent="0.2">
      <c r="A29" s="10" t="s">
        <v>1300</v>
      </c>
      <c r="B29" s="10" t="s">
        <v>1301</v>
      </c>
      <c r="C29" s="10" t="s">
        <v>1302</v>
      </c>
      <c r="D29" s="180" t="s">
        <v>1246</v>
      </c>
      <c r="E29" s="181" t="s">
        <v>1247</v>
      </c>
      <c r="F29" s="221"/>
      <c r="G29" s="176">
        <v>6.6558000000000002</v>
      </c>
      <c r="H29" s="176">
        <v>20578.287400000001</v>
      </c>
      <c r="I29" s="176">
        <v>13598.5803</v>
      </c>
      <c r="J29" s="176">
        <v>8739.9082999999991</v>
      </c>
      <c r="K29" s="176">
        <v>6617.5610999999999</v>
      </c>
      <c r="L29" s="176">
        <v>5858.5290999999997</v>
      </c>
      <c r="M29" s="176">
        <v>2595.1788999999999</v>
      </c>
      <c r="N29" s="176">
        <v>1418.1232</v>
      </c>
      <c r="O29" s="176">
        <v>266.28579999999999</v>
      </c>
      <c r="P29" s="177">
        <f t="shared" si="5"/>
        <v>59679.109900000003</v>
      </c>
      <c r="Q29" s="178">
        <f t="shared" si="6"/>
        <v>2.2371181943425793E-2</v>
      </c>
      <c r="R29" s="221"/>
      <c r="S29" s="179" t="s">
        <v>1249</v>
      </c>
      <c r="T29" s="179" t="s">
        <v>1249</v>
      </c>
      <c r="U29" s="179" t="s">
        <v>1249</v>
      </c>
      <c r="V29" s="179" t="s">
        <v>1249</v>
      </c>
      <c r="W29" s="179" t="s">
        <v>1249</v>
      </c>
      <c r="X29" s="179" t="s">
        <v>1249</v>
      </c>
      <c r="Y29" s="179" t="s">
        <v>1249</v>
      </c>
      <c r="Z29" s="179" t="s">
        <v>1249</v>
      </c>
      <c r="AA29" s="179" t="s">
        <v>1249</v>
      </c>
      <c r="AB29" s="179" t="s">
        <v>1249</v>
      </c>
      <c r="AC29" s="221"/>
      <c r="AD29" s="176">
        <v>6.7157999999999998</v>
      </c>
      <c r="AE29" s="176">
        <v>20763.491999999998</v>
      </c>
      <c r="AF29" s="176">
        <v>13720.9676</v>
      </c>
      <c r="AG29" s="176">
        <v>8818.5674999999992</v>
      </c>
      <c r="AH29" s="176">
        <v>6677.1192000000001</v>
      </c>
      <c r="AI29" s="176">
        <v>5911.2557999999999</v>
      </c>
      <c r="AJ29" s="176">
        <v>2618.5355</v>
      </c>
      <c r="AK29" s="176">
        <v>1430.8862999999999</v>
      </c>
      <c r="AL29" s="176">
        <v>268.68239999999997</v>
      </c>
      <c r="AM29" s="177">
        <f t="shared" si="8"/>
        <v>60216.222099999992</v>
      </c>
      <c r="AN29" s="178">
        <f t="shared" si="9"/>
        <v>2.2371182017607568E-2</v>
      </c>
      <c r="AO29" s="221"/>
      <c r="AP29" s="179" t="s">
        <v>1250</v>
      </c>
      <c r="AQ29" s="179" t="s">
        <v>1250</v>
      </c>
      <c r="AR29" s="179" t="s">
        <v>1250</v>
      </c>
      <c r="AS29" s="179" t="s">
        <v>1250</v>
      </c>
      <c r="AT29" s="179" t="s">
        <v>1250</v>
      </c>
      <c r="AU29" s="179" t="s">
        <v>1250</v>
      </c>
      <c r="AV29" s="179" t="s">
        <v>1250</v>
      </c>
      <c r="AW29" s="179" t="s">
        <v>1250</v>
      </c>
      <c r="AX29" s="179" t="s">
        <v>1250</v>
      </c>
      <c r="AY29" s="179" t="s">
        <v>1250</v>
      </c>
      <c r="AZ29" s="47"/>
      <c r="BA29" s="439" t="s">
        <v>1303</v>
      </c>
    </row>
    <row r="30" spans="1:53" ht="17.649999999999999" customHeight="1" x14ac:dyDescent="0.2">
      <c r="A30" s="10" t="s">
        <v>1304</v>
      </c>
      <c r="B30" s="10"/>
      <c r="C30" s="10" t="s">
        <v>1305</v>
      </c>
      <c r="D30" s="180" t="s">
        <v>1246</v>
      </c>
      <c r="E30" s="180" t="s">
        <v>190</v>
      </c>
      <c r="F30" s="221"/>
      <c r="G30" s="177">
        <f t="shared" ref="G30:P30" si="12">SUM(G14:G29)-G20-G21</f>
        <v>683</v>
      </c>
      <c r="H30" s="177">
        <f t="shared" si="12"/>
        <v>541458.99990000005</v>
      </c>
      <c r="I30" s="177">
        <f t="shared" si="12"/>
        <v>600893.00010000006</v>
      </c>
      <c r="J30" s="177">
        <f t="shared" si="12"/>
        <v>430897.00000000006</v>
      </c>
      <c r="K30" s="177">
        <f t="shared" si="12"/>
        <v>368308.0001</v>
      </c>
      <c r="L30" s="177">
        <f t="shared" si="12"/>
        <v>361931.9999</v>
      </c>
      <c r="M30" s="177">
        <f t="shared" si="12"/>
        <v>215494.99990000005</v>
      </c>
      <c r="N30" s="177">
        <f t="shared" si="12"/>
        <v>134796</v>
      </c>
      <c r="O30" s="177">
        <f t="shared" si="12"/>
        <v>13214.999899999999</v>
      </c>
      <c r="P30" s="177">
        <f t="shared" si="12"/>
        <v>2667677.9998000003</v>
      </c>
      <c r="Q30" s="178">
        <f t="shared" si="6"/>
        <v>1</v>
      </c>
      <c r="R30" s="221"/>
      <c r="S30" s="179" t="s">
        <v>1249</v>
      </c>
      <c r="T30" s="179" t="s">
        <v>1249</v>
      </c>
      <c r="U30" s="179" t="s">
        <v>1249</v>
      </c>
      <c r="V30" s="179" t="s">
        <v>1249</v>
      </c>
      <c r="W30" s="179" t="s">
        <v>1249</v>
      </c>
      <c r="X30" s="179" t="s">
        <v>1249</v>
      </c>
      <c r="Y30" s="179" t="s">
        <v>1249</v>
      </c>
      <c r="Z30" s="179" t="s">
        <v>1249</v>
      </c>
      <c r="AA30" s="179" t="s">
        <v>1249</v>
      </c>
      <c r="AB30" s="179" t="s">
        <v>1249</v>
      </c>
      <c r="AC30" s="221"/>
      <c r="AD30" s="177">
        <f t="shared" ref="AD30:AM30" si="13">SUM(AD14:AD29)-AD20-AD21</f>
        <v>689.14700000000005</v>
      </c>
      <c r="AE30" s="177">
        <f t="shared" si="13"/>
        <v>546332.13100000017</v>
      </c>
      <c r="AF30" s="177">
        <f t="shared" si="13"/>
        <v>606301.03709999996</v>
      </c>
      <c r="AG30" s="177">
        <f t="shared" si="13"/>
        <v>434775.07300000003</v>
      </c>
      <c r="AH30" s="177">
        <f t="shared" si="13"/>
        <v>371622.77200000006</v>
      </c>
      <c r="AI30" s="177">
        <f t="shared" si="13"/>
        <v>365189.38799999998</v>
      </c>
      <c r="AJ30" s="177">
        <f t="shared" si="13"/>
        <v>217434.45510000002</v>
      </c>
      <c r="AK30" s="177">
        <f t="shared" si="13"/>
        <v>136009.16410000005</v>
      </c>
      <c r="AL30" s="177">
        <f t="shared" si="13"/>
        <v>13333.934999999999</v>
      </c>
      <c r="AM30" s="177">
        <f t="shared" si="13"/>
        <v>2691687.1023000004</v>
      </c>
      <c r="AN30" s="178">
        <f t="shared" si="9"/>
        <v>1</v>
      </c>
      <c r="AO30" s="221"/>
      <c r="AP30" s="179" t="s">
        <v>1250</v>
      </c>
      <c r="AQ30" s="179" t="s">
        <v>1250</v>
      </c>
      <c r="AR30" s="179" t="s">
        <v>1250</v>
      </c>
      <c r="AS30" s="179" t="s">
        <v>1250</v>
      </c>
      <c r="AT30" s="179" t="s">
        <v>1250</v>
      </c>
      <c r="AU30" s="179" t="s">
        <v>1250</v>
      </c>
      <c r="AV30" s="179" t="s">
        <v>1250</v>
      </c>
      <c r="AW30" s="179" t="s">
        <v>1250</v>
      </c>
      <c r="AX30" s="179" t="s">
        <v>1250</v>
      </c>
      <c r="AY30" s="179" t="s">
        <v>1250</v>
      </c>
      <c r="AZ30" s="47"/>
      <c r="BA30" s="439" t="s">
        <v>1306</v>
      </c>
    </row>
    <row r="31" spans="1:53" ht="16.899999999999999" customHeight="1" x14ac:dyDescent="0.2">
      <c r="A31" s="10" t="s">
        <v>1307</v>
      </c>
      <c r="B31" s="10"/>
      <c r="C31" s="10" t="s">
        <v>1308</v>
      </c>
      <c r="D31" s="180" t="s">
        <v>1275</v>
      </c>
      <c r="E31" s="180" t="s">
        <v>190</v>
      </c>
      <c r="F31" s="221"/>
      <c r="G31" s="178">
        <f t="shared" ref="G31:P31" si="14">IFERROR(G30/$P$30,"")</f>
        <v>2.5602790143758184E-4</v>
      </c>
      <c r="H31" s="178">
        <f t="shared" si="14"/>
        <v>0.20297014854888559</v>
      </c>
      <c r="I31" s="178">
        <f t="shared" si="14"/>
        <v>0.2252494492007843</v>
      </c>
      <c r="J31" s="178">
        <f t="shared" si="14"/>
        <v>0.16152511661163943</v>
      </c>
      <c r="K31" s="178">
        <f t="shared" si="14"/>
        <v>0.1380631396021606</v>
      </c>
      <c r="L31" s="178">
        <f t="shared" si="14"/>
        <v>0.13567304596999133</v>
      </c>
      <c r="M31" s="178">
        <f t="shared" si="14"/>
        <v>8.0779989157670457E-2</v>
      </c>
      <c r="N31" s="178">
        <f t="shared" si="14"/>
        <v>5.0529336752826184E-2</v>
      </c>
      <c r="O31" s="178">
        <f t="shared" si="14"/>
        <v>4.9537462546044714E-3</v>
      </c>
      <c r="P31" s="178">
        <f t="shared" si="14"/>
        <v>1</v>
      </c>
      <c r="Q31" s="222"/>
      <c r="S31" s="40"/>
      <c r="T31" s="40"/>
      <c r="U31" s="40"/>
      <c r="V31" s="40"/>
      <c r="W31" s="40"/>
      <c r="X31" s="40"/>
      <c r="Y31" s="40"/>
      <c r="Z31" s="40"/>
      <c r="AA31" s="40"/>
      <c r="AB31" s="40"/>
      <c r="AD31" s="178">
        <f t="shared" ref="AD31:AM31" si="15">IFERROR(AD30/$AM$30,"")</f>
        <v>2.5602790138985168E-4</v>
      </c>
      <c r="AE31" s="178">
        <f t="shared" si="15"/>
        <v>0.20297014854853254</v>
      </c>
      <c r="AF31" s="178">
        <f t="shared" si="15"/>
        <v>0.2252494491584576</v>
      </c>
      <c r="AG31" s="178">
        <f t="shared" si="15"/>
        <v>0.16152511658152696</v>
      </c>
      <c r="AH31" s="178">
        <f t="shared" si="15"/>
        <v>0.13806313953893629</v>
      </c>
      <c r="AI31" s="178">
        <f t="shared" si="15"/>
        <v>0.13567304598218416</v>
      </c>
      <c r="AJ31" s="178">
        <f t="shared" si="15"/>
        <v>8.0779989217248174E-2</v>
      </c>
      <c r="AK31" s="178">
        <f t="shared" si="15"/>
        <v>5.0529336780557647E-2</v>
      </c>
      <c r="AL31" s="178">
        <f t="shared" si="15"/>
        <v>4.9537462911667489E-3</v>
      </c>
      <c r="AM31" s="178">
        <f t="shared" si="15"/>
        <v>1</v>
      </c>
      <c r="AN31" s="222"/>
      <c r="AP31" s="40"/>
      <c r="AQ31" s="40"/>
      <c r="AR31" s="40"/>
      <c r="AS31" s="40"/>
      <c r="AT31" s="40"/>
      <c r="AU31" s="40"/>
      <c r="AV31" s="40"/>
      <c r="AW31" s="40"/>
      <c r="AX31" s="40"/>
      <c r="AY31" s="40"/>
      <c r="BA31" s="439" t="s">
        <v>1309</v>
      </c>
    </row>
    <row r="32" spans="1:53" ht="17.649999999999999" customHeight="1" x14ac:dyDescent="0.2">
      <c r="A32" s="223"/>
      <c r="B32" s="223"/>
      <c r="C32" s="223"/>
      <c r="D32" s="224"/>
      <c r="E32" s="224"/>
      <c r="G32" s="223"/>
      <c r="H32" s="223"/>
      <c r="I32" s="223"/>
      <c r="J32" s="223"/>
      <c r="K32" s="223"/>
      <c r="L32" s="223"/>
      <c r="M32" s="223"/>
      <c r="N32" s="223"/>
      <c r="O32" s="223"/>
      <c r="P32" s="40"/>
      <c r="AD32" s="223"/>
      <c r="AE32" s="223"/>
      <c r="AF32" s="223"/>
      <c r="AG32" s="223"/>
      <c r="AH32" s="223"/>
      <c r="AI32" s="223"/>
      <c r="AJ32" s="223"/>
      <c r="AK32" s="223"/>
      <c r="AL32" s="223"/>
      <c r="AM32" s="40"/>
    </row>
    <row r="33" spans="1:53" ht="18.399999999999999" customHeight="1" x14ac:dyDescent="0.25">
      <c r="A33" s="516" t="s">
        <v>1310</v>
      </c>
      <c r="B33" s="517"/>
      <c r="C33" s="517"/>
      <c r="D33" s="517"/>
      <c r="E33" s="518"/>
      <c r="F33" s="225"/>
      <c r="G33" s="185" t="s">
        <v>1231</v>
      </c>
      <c r="H33" s="186" t="s">
        <v>1232</v>
      </c>
      <c r="I33" s="186" t="s">
        <v>1233</v>
      </c>
      <c r="J33" s="186" t="s">
        <v>1234</v>
      </c>
      <c r="K33" s="186" t="s">
        <v>1235</v>
      </c>
      <c r="L33" s="186" t="s">
        <v>1236</v>
      </c>
      <c r="M33" s="186" t="s">
        <v>1237</v>
      </c>
      <c r="N33" s="186" t="s">
        <v>1238</v>
      </c>
      <c r="O33" s="187" t="s">
        <v>1239</v>
      </c>
      <c r="P33" s="226"/>
      <c r="AD33" s="185" t="s">
        <v>1231</v>
      </c>
      <c r="AE33" s="186" t="s">
        <v>1232</v>
      </c>
      <c r="AF33" s="186" t="s">
        <v>1233</v>
      </c>
      <c r="AG33" s="186" t="s">
        <v>1234</v>
      </c>
      <c r="AH33" s="186" t="s">
        <v>1235</v>
      </c>
      <c r="AI33" s="186" t="s">
        <v>1236</v>
      </c>
      <c r="AJ33" s="186" t="s">
        <v>1237</v>
      </c>
      <c r="AK33" s="186" t="s">
        <v>1238</v>
      </c>
      <c r="AL33" s="187" t="s">
        <v>1239</v>
      </c>
      <c r="AM33" s="226"/>
    </row>
    <row r="34" spans="1:53" ht="16.899999999999999" customHeight="1" x14ac:dyDescent="0.2">
      <c r="A34" s="173" t="s">
        <v>1311</v>
      </c>
      <c r="B34" s="173"/>
      <c r="C34" s="173" t="s">
        <v>1312</v>
      </c>
      <c r="D34" s="174" t="s">
        <v>1313</v>
      </c>
      <c r="E34" s="174" t="s">
        <v>223</v>
      </c>
      <c r="F34" s="221"/>
      <c r="G34" s="188">
        <v>5</v>
      </c>
      <c r="H34" s="188">
        <v>6</v>
      </c>
      <c r="I34" s="188">
        <v>7</v>
      </c>
      <c r="J34" s="188">
        <v>8</v>
      </c>
      <c r="K34" s="188">
        <v>9</v>
      </c>
      <c r="L34" s="188">
        <v>11</v>
      </c>
      <c r="M34" s="188">
        <v>13</v>
      </c>
      <c r="N34" s="188">
        <v>15</v>
      </c>
      <c r="O34" s="188">
        <v>18</v>
      </c>
      <c r="P34" s="47"/>
      <c r="AD34" s="188">
        <v>5</v>
      </c>
      <c r="AE34" s="188">
        <v>6</v>
      </c>
      <c r="AF34" s="188">
        <v>7</v>
      </c>
      <c r="AG34" s="188">
        <v>8</v>
      </c>
      <c r="AH34" s="188">
        <v>9</v>
      </c>
      <c r="AI34" s="188">
        <v>11</v>
      </c>
      <c r="AJ34" s="188">
        <v>13</v>
      </c>
      <c r="AK34" s="188">
        <v>15</v>
      </c>
      <c r="AL34" s="188">
        <v>18</v>
      </c>
      <c r="AM34" s="47"/>
      <c r="BA34" s="439" t="s">
        <v>1312</v>
      </c>
    </row>
    <row r="35" spans="1:53" ht="16.899999999999999" customHeight="1" x14ac:dyDescent="0.2">
      <c r="A35" s="10" t="s">
        <v>1314</v>
      </c>
      <c r="B35" s="10"/>
      <c r="C35" s="10" t="s">
        <v>1315</v>
      </c>
      <c r="D35" s="180" t="s">
        <v>1313</v>
      </c>
      <c r="E35" s="180" t="s">
        <v>190</v>
      </c>
      <c r="F35" s="221"/>
      <c r="G35" s="189">
        <f t="shared" ref="G35:O35" si="16">G34/COUNTA($G$33:$O$33)</f>
        <v>0.55555555555555558</v>
      </c>
      <c r="H35" s="189">
        <f t="shared" si="16"/>
        <v>0.66666666666666663</v>
      </c>
      <c r="I35" s="189">
        <f t="shared" si="16"/>
        <v>0.77777777777777779</v>
      </c>
      <c r="J35" s="189">
        <f t="shared" si="16"/>
        <v>0.88888888888888884</v>
      </c>
      <c r="K35" s="189">
        <f t="shared" si="16"/>
        <v>1</v>
      </c>
      <c r="L35" s="189">
        <f t="shared" si="16"/>
        <v>1.2222222222222223</v>
      </c>
      <c r="M35" s="189">
        <f t="shared" si="16"/>
        <v>1.4444444444444444</v>
      </c>
      <c r="N35" s="189">
        <f t="shared" si="16"/>
        <v>1.6666666666666667</v>
      </c>
      <c r="O35" s="189">
        <f t="shared" si="16"/>
        <v>2</v>
      </c>
      <c r="P35" s="47"/>
      <c r="AD35" s="189">
        <f t="shared" ref="AD35:AL35" si="17">AD34/COUNTA($G$33:$O$33)</f>
        <v>0.55555555555555558</v>
      </c>
      <c r="AE35" s="189">
        <f t="shared" si="17"/>
        <v>0.66666666666666663</v>
      </c>
      <c r="AF35" s="189">
        <f t="shared" si="17"/>
        <v>0.77777777777777779</v>
      </c>
      <c r="AG35" s="189">
        <f t="shared" si="17"/>
        <v>0.88888888888888884</v>
      </c>
      <c r="AH35" s="189">
        <f t="shared" si="17"/>
        <v>1</v>
      </c>
      <c r="AI35" s="189">
        <f t="shared" si="17"/>
        <v>1.2222222222222223</v>
      </c>
      <c r="AJ35" s="189">
        <f t="shared" si="17"/>
        <v>1.4444444444444444</v>
      </c>
      <c r="AK35" s="189">
        <f t="shared" si="17"/>
        <v>1.6666666666666667</v>
      </c>
      <c r="AL35" s="189">
        <f t="shared" si="17"/>
        <v>2</v>
      </c>
      <c r="AM35" s="47"/>
      <c r="BA35" s="439" t="s">
        <v>1315</v>
      </c>
    </row>
    <row r="36" spans="1:53" ht="17.649999999999999" customHeight="1" x14ac:dyDescent="0.2">
      <c r="A36" s="223"/>
      <c r="B36" s="223"/>
      <c r="C36" s="223"/>
      <c r="D36" s="224"/>
      <c r="E36" s="224"/>
      <c r="G36" s="223"/>
      <c r="H36" s="223"/>
      <c r="I36" s="223"/>
      <c r="J36" s="223"/>
      <c r="K36" s="223"/>
      <c r="L36" s="223"/>
      <c r="M36" s="223"/>
      <c r="N36" s="223"/>
      <c r="O36" s="223"/>
      <c r="AD36" s="223"/>
      <c r="AE36" s="223"/>
      <c r="AF36" s="223"/>
      <c r="AG36" s="223"/>
      <c r="AH36" s="223"/>
      <c r="AI36" s="223"/>
      <c r="AJ36" s="223"/>
      <c r="AK36" s="223"/>
      <c r="AL36" s="223"/>
    </row>
    <row r="37" spans="1:53" ht="53.25" customHeight="1" x14ac:dyDescent="0.25">
      <c r="A37" s="516" t="s">
        <v>1316</v>
      </c>
      <c r="B37" s="517"/>
      <c r="C37" s="517"/>
      <c r="D37" s="517"/>
      <c r="E37" s="518"/>
      <c r="F37" s="225"/>
      <c r="G37" s="190" t="s">
        <v>1231</v>
      </c>
      <c r="H37" s="191" t="s">
        <v>1232</v>
      </c>
      <c r="I37" s="191" t="s">
        <v>1233</v>
      </c>
      <c r="J37" s="191" t="s">
        <v>1234</v>
      </c>
      <c r="K37" s="191" t="s">
        <v>1235</v>
      </c>
      <c r="L37" s="191" t="s">
        <v>1236</v>
      </c>
      <c r="M37" s="191" t="s">
        <v>1237</v>
      </c>
      <c r="N37" s="191" t="s">
        <v>1238</v>
      </c>
      <c r="O37" s="191" t="s">
        <v>1239</v>
      </c>
      <c r="P37" s="191" t="s">
        <v>1240</v>
      </c>
      <c r="Q37" s="192" t="s">
        <v>1241</v>
      </c>
      <c r="R37" s="226"/>
      <c r="AD37" s="190" t="s">
        <v>1231</v>
      </c>
      <c r="AE37" s="191" t="s">
        <v>1232</v>
      </c>
      <c r="AF37" s="191" t="s">
        <v>1233</v>
      </c>
      <c r="AG37" s="191" t="s">
        <v>1234</v>
      </c>
      <c r="AH37" s="191" t="s">
        <v>1235</v>
      </c>
      <c r="AI37" s="191" t="s">
        <v>1236</v>
      </c>
      <c r="AJ37" s="191" t="s">
        <v>1237</v>
      </c>
      <c r="AK37" s="191" t="s">
        <v>1238</v>
      </c>
      <c r="AL37" s="191" t="s">
        <v>1239</v>
      </c>
      <c r="AM37" s="191" t="s">
        <v>1240</v>
      </c>
      <c r="AN37" s="192" t="s">
        <v>1241</v>
      </c>
      <c r="AO37" s="226"/>
    </row>
    <row r="38" spans="1:53" ht="16.899999999999999" customHeight="1" x14ac:dyDescent="0.2">
      <c r="A38" s="173" t="s">
        <v>1317</v>
      </c>
      <c r="B38" s="173" t="s">
        <v>1244</v>
      </c>
      <c r="C38" s="173" t="s">
        <v>1318</v>
      </c>
      <c r="D38" s="174" t="s">
        <v>1246</v>
      </c>
      <c r="E38" s="174" t="s">
        <v>190</v>
      </c>
      <c r="F38" s="221"/>
      <c r="G38" s="193">
        <f t="shared" ref="G38:O38" si="18">G$35*G14</f>
        <v>128.33333333333334</v>
      </c>
      <c r="H38" s="193">
        <f t="shared" si="18"/>
        <v>69590.839066666667</v>
      </c>
      <c r="I38" s="193">
        <f t="shared" si="18"/>
        <v>163609.58810000002</v>
      </c>
      <c r="J38" s="193">
        <f t="shared" si="18"/>
        <v>166917.61955555555</v>
      </c>
      <c r="K38" s="193">
        <f t="shared" si="18"/>
        <v>201276.353</v>
      </c>
      <c r="L38" s="193">
        <f t="shared" si="18"/>
        <v>288092.98344444449</v>
      </c>
      <c r="M38" s="193">
        <f t="shared" si="18"/>
        <v>230887.90674444445</v>
      </c>
      <c r="N38" s="193">
        <f t="shared" si="18"/>
        <v>176705.41966666668</v>
      </c>
      <c r="O38" s="193">
        <f t="shared" si="18"/>
        <v>20635.2988</v>
      </c>
      <c r="P38" s="193">
        <f t="shared" ref="P38:P51" si="19">SUM(G38:O38)</f>
        <v>1317844.3417111114</v>
      </c>
      <c r="Q38" s="194">
        <f t="shared" ref="Q38:Q52" si="20">IFERROR(P38/$P$52,"")</f>
        <v>0.50985117598505258</v>
      </c>
      <c r="R38" s="47"/>
      <c r="AD38" s="193">
        <f t="shared" ref="AD38:AL38" si="21">AD$35*AD14</f>
        <v>129.48833333333334</v>
      </c>
      <c r="AE38" s="193">
        <f t="shared" si="21"/>
        <v>70217.156599999988</v>
      </c>
      <c r="AF38" s="193">
        <f t="shared" si="21"/>
        <v>165082.07442222224</v>
      </c>
      <c r="AG38" s="193">
        <f t="shared" si="21"/>
        <v>168419.87813333332</v>
      </c>
      <c r="AH38" s="193">
        <f t="shared" si="21"/>
        <v>203087.84020000001</v>
      </c>
      <c r="AI38" s="193">
        <f t="shared" si="21"/>
        <v>290685.82021111116</v>
      </c>
      <c r="AJ38" s="193">
        <f t="shared" si="21"/>
        <v>232965.89795555556</v>
      </c>
      <c r="AK38" s="193">
        <f t="shared" si="21"/>
        <v>178295.76850000001</v>
      </c>
      <c r="AL38" s="193">
        <f t="shared" si="21"/>
        <v>20821.016599999999</v>
      </c>
      <c r="AM38" s="193">
        <f t="shared" ref="AM38:AM51" si="22">SUM(AD38:AL38)</f>
        <v>1329704.9409555555</v>
      </c>
      <c r="AN38" s="194">
        <f t="shared" ref="AN38:AN52" si="23">IFERROR(AM38/$AM$52,"")</f>
        <v>0.50985117590371043</v>
      </c>
      <c r="AO38" s="47"/>
      <c r="BA38" s="439" t="s">
        <v>1319</v>
      </c>
    </row>
    <row r="39" spans="1:53" ht="16.899999999999999" customHeight="1" x14ac:dyDescent="0.2">
      <c r="A39" s="10" t="s">
        <v>1320</v>
      </c>
      <c r="B39" s="10" t="s">
        <v>1244</v>
      </c>
      <c r="C39" s="10" t="s">
        <v>1321</v>
      </c>
      <c r="D39" s="180" t="s">
        <v>1246</v>
      </c>
      <c r="E39" s="180" t="s">
        <v>190</v>
      </c>
      <c r="F39" s="221"/>
      <c r="G39" s="177">
        <f t="shared" ref="G39:O39" si="24">G$35*G15</f>
        <v>0</v>
      </c>
      <c r="H39" s="177">
        <f t="shared" si="24"/>
        <v>1435.0841333333333</v>
      </c>
      <c r="I39" s="177">
        <f t="shared" si="24"/>
        <v>2069.6109777777779</v>
      </c>
      <c r="J39" s="177">
        <f t="shared" si="24"/>
        <v>2684.6690666666664</v>
      </c>
      <c r="K39" s="177">
        <f t="shared" si="24"/>
        <v>2876.1325999999999</v>
      </c>
      <c r="L39" s="177">
        <f t="shared" si="24"/>
        <v>3744.259811111111</v>
      </c>
      <c r="M39" s="177">
        <f t="shared" si="24"/>
        <v>2421.7723111111109</v>
      </c>
      <c r="N39" s="177">
        <f t="shared" si="24"/>
        <v>1958.8388333333335</v>
      </c>
      <c r="O39" s="177">
        <f t="shared" si="24"/>
        <v>516.67920000000004</v>
      </c>
      <c r="P39" s="177">
        <f t="shared" si="19"/>
        <v>17707.046933333335</v>
      </c>
      <c r="Q39" s="178">
        <f t="shared" si="20"/>
        <v>6.8505501116015452E-3</v>
      </c>
      <c r="R39" s="47"/>
      <c r="AD39" s="177">
        <f t="shared" ref="AD39:AL39" si="25">AD$35*AD15</f>
        <v>0</v>
      </c>
      <c r="AE39" s="177">
        <f t="shared" si="25"/>
        <v>1447.9998666666665</v>
      </c>
      <c r="AF39" s="177">
        <f t="shared" si="25"/>
        <v>2088.2374333333332</v>
      </c>
      <c r="AG39" s="177">
        <f t="shared" si="25"/>
        <v>2708.8311111111111</v>
      </c>
      <c r="AH39" s="177">
        <f t="shared" si="25"/>
        <v>2902.0178000000001</v>
      </c>
      <c r="AI39" s="177">
        <f t="shared" si="25"/>
        <v>3777.9581888888893</v>
      </c>
      <c r="AJ39" s="177">
        <f t="shared" si="25"/>
        <v>2443.5682555555554</v>
      </c>
      <c r="AK39" s="177">
        <f t="shared" si="25"/>
        <v>1976.4685000000002</v>
      </c>
      <c r="AL39" s="177">
        <f t="shared" si="25"/>
        <v>521.32939999999996</v>
      </c>
      <c r="AM39" s="177">
        <f t="shared" si="22"/>
        <v>17866.410555555554</v>
      </c>
      <c r="AN39" s="178">
        <f t="shared" si="23"/>
        <v>6.8505501862558939E-3</v>
      </c>
      <c r="AO39" s="47"/>
      <c r="BA39" s="439" t="s">
        <v>1322</v>
      </c>
    </row>
    <row r="40" spans="1:53" ht="16.899999999999999" customHeight="1" x14ac:dyDescent="0.2">
      <c r="A40" s="10" t="s">
        <v>1323</v>
      </c>
      <c r="B40" s="10" t="s">
        <v>1244</v>
      </c>
      <c r="C40" s="10" t="s">
        <v>1256</v>
      </c>
      <c r="D40" s="180" t="s">
        <v>1246</v>
      </c>
      <c r="E40" s="180" t="s">
        <v>190</v>
      </c>
      <c r="F40" s="221"/>
      <c r="G40" s="177">
        <f t="shared" ref="G40:O40" si="26">G$35*G16</f>
        <v>0</v>
      </c>
      <c r="H40" s="177">
        <f t="shared" si="26"/>
        <v>5614.5488666666661</v>
      </c>
      <c r="I40" s="177">
        <f t="shared" si="26"/>
        <v>6371.8596666666663</v>
      </c>
      <c r="J40" s="177">
        <f t="shared" si="26"/>
        <v>4976.9301333333333</v>
      </c>
      <c r="K40" s="177">
        <f t="shared" si="26"/>
        <v>4661.1971999999996</v>
      </c>
      <c r="L40" s="177">
        <f t="shared" si="26"/>
        <v>4414.8321555555558</v>
      </c>
      <c r="M40" s="177">
        <f t="shared" si="26"/>
        <v>2526.9054777777778</v>
      </c>
      <c r="N40" s="177">
        <f t="shared" si="26"/>
        <v>1929.0748333333333</v>
      </c>
      <c r="O40" s="177">
        <f t="shared" si="26"/>
        <v>448.02179999999998</v>
      </c>
      <c r="P40" s="177">
        <f t="shared" si="19"/>
        <v>30943.370133333327</v>
      </c>
      <c r="Q40" s="178">
        <f t="shared" si="20"/>
        <v>1.1971454558082524E-2</v>
      </c>
      <c r="R40" s="47"/>
      <c r="AD40" s="177">
        <f t="shared" ref="AD40:AL40" si="27">AD$35*AD16</f>
        <v>0</v>
      </c>
      <c r="AE40" s="177">
        <f t="shared" si="27"/>
        <v>5665.0797999999995</v>
      </c>
      <c r="AF40" s="177">
        <f t="shared" si="27"/>
        <v>6429.2064666666674</v>
      </c>
      <c r="AG40" s="177">
        <f t="shared" si="27"/>
        <v>5021.7224888888886</v>
      </c>
      <c r="AH40" s="177">
        <f t="shared" si="27"/>
        <v>4703.1480000000001</v>
      </c>
      <c r="AI40" s="177">
        <f t="shared" si="27"/>
        <v>4454.565744444445</v>
      </c>
      <c r="AJ40" s="177">
        <f t="shared" si="27"/>
        <v>2549.6476777777775</v>
      </c>
      <c r="AK40" s="177">
        <f t="shared" si="27"/>
        <v>1946.4365000000003</v>
      </c>
      <c r="AL40" s="177">
        <f t="shared" si="27"/>
        <v>452.05399999999997</v>
      </c>
      <c r="AM40" s="177">
        <f t="shared" si="22"/>
        <v>31221.860677777779</v>
      </c>
      <c r="AN40" s="178">
        <f t="shared" si="23"/>
        <v>1.1971454636415375E-2</v>
      </c>
      <c r="AO40" s="47"/>
      <c r="BA40" s="439" t="s">
        <v>1324</v>
      </c>
    </row>
    <row r="41" spans="1:53" ht="16.899999999999999" customHeight="1" x14ac:dyDescent="0.2">
      <c r="A41" s="10" t="s">
        <v>1325</v>
      </c>
      <c r="B41" s="10" t="s">
        <v>1244</v>
      </c>
      <c r="C41" s="10" t="s">
        <v>1326</v>
      </c>
      <c r="D41" s="180" t="s">
        <v>1246</v>
      </c>
      <c r="E41" s="180" t="s">
        <v>190</v>
      </c>
      <c r="F41" s="221"/>
      <c r="G41" s="177">
        <f t="shared" ref="G41:O41" si="28">G$35*G17</f>
        <v>24.409055555555558</v>
      </c>
      <c r="H41" s="177">
        <f t="shared" si="28"/>
        <v>21177.500866666665</v>
      </c>
      <c r="I41" s="177">
        <f t="shared" si="28"/>
        <v>21493.874422222223</v>
      </c>
      <c r="J41" s="177">
        <f t="shared" si="28"/>
        <v>13133.651555555554</v>
      </c>
      <c r="K41" s="177">
        <f t="shared" si="28"/>
        <v>7875.4706999999999</v>
      </c>
      <c r="L41" s="177">
        <f t="shared" si="28"/>
        <v>6247.3428111111116</v>
      </c>
      <c r="M41" s="177">
        <f t="shared" si="28"/>
        <v>2919.5346555555557</v>
      </c>
      <c r="N41" s="177">
        <f t="shared" si="28"/>
        <v>1237.4795000000001</v>
      </c>
      <c r="O41" s="177">
        <f t="shared" si="28"/>
        <v>75.454599999999999</v>
      </c>
      <c r="P41" s="177">
        <f t="shared" si="19"/>
        <v>74184.718166666658</v>
      </c>
      <c r="Q41" s="178">
        <f t="shared" si="20"/>
        <v>2.8700784000244253E-2</v>
      </c>
      <c r="R41" s="47"/>
      <c r="AD41" s="177">
        <f t="shared" ref="AD41:AL41" si="29">AD$35*AD17</f>
        <v>24.628722222222223</v>
      </c>
      <c r="AE41" s="177">
        <f t="shared" si="29"/>
        <v>21368.098399999999</v>
      </c>
      <c r="AF41" s="177">
        <f t="shared" si="29"/>
        <v>21687.319266666665</v>
      </c>
      <c r="AG41" s="177">
        <f t="shared" si="29"/>
        <v>13251.854399999998</v>
      </c>
      <c r="AH41" s="177">
        <f t="shared" si="29"/>
        <v>7946.3499000000002</v>
      </c>
      <c r="AI41" s="177">
        <f t="shared" si="29"/>
        <v>6303.5689444444452</v>
      </c>
      <c r="AJ41" s="177">
        <f t="shared" si="29"/>
        <v>2945.8105444444445</v>
      </c>
      <c r="AK41" s="177">
        <f t="shared" si="29"/>
        <v>1248.6168333333335</v>
      </c>
      <c r="AL41" s="177">
        <f t="shared" si="29"/>
        <v>76.133600000000001</v>
      </c>
      <c r="AM41" s="177">
        <f t="shared" si="22"/>
        <v>74852.380611111119</v>
      </c>
      <c r="AN41" s="178">
        <f t="shared" si="23"/>
        <v>2.8700783984710102E-2</v>
      </c>
      <c r="AO41" s="47"/>
      <c r="BA41" s="439" t="s">
        <v>1327</v>
      </c>
    </row>
    <row r="42" spans="1:53" ht="16.899999999999999" customHeight="1" x14ac:dyDescent="0.2">
      <c r="A42" s="10" t="s">
        <v>1328</v>
      </c>
      <c r="B42" s="10" t="s">
        <v>1244</v>
      </c>
      <c r="C42" s="10" t="s">
        <v>1329</v>
      </c>
      <c r="D42" s="180" t="s">
        <v>1246</v>
      </c>
      <c r="E42" s="180" t="s">
        <v>190</v>
      </c>
      <c r="F42" s="221"/>
      <c r="G42" s="177">
        <f t="shared" ref="G42:O42" si="30">G$35*G18</f>
        <v>43.560166666666667</v>
      </c>
      <c r="H42" s="177">
        <f t="shared" si="30"/>
        <v>30296.980533333335</v>
      </c>
      <c r="I42" s="177">
        <f t="shared" si="30"/>
        <v>30184.651000000002</v>
      </c>
      <c r="J42" s="177">
        <f t="shared" si="30"/>
        <v>18749.359022222223</v>
      </c>
      <c r="K42" s="177">
        <f t="shared" si="30"/>
        <v>9997.7042999999994</v>
      </c>
      <c r="L42" s="177">
        <f t="shared" si="30"/>
        <v>5233.5241444444446</v>
      </c>
      <c r="M42" s="177">
        <f t="shared" si="30"/>
        <v>1938.741711111111</v>
      </c>
      <c r="N42" s="177">
        <f t="shared" si="30"/>
        <v>890.95916666666676</v>
      </c>
      <c r="O42" s="177">
        <f t="shared" si="30"/>
        <v>51.111199999999997</v>
      </c>
      <c r="P42" s="177">
        <f t="shared" si="19"/>
        <v>97386.59124444444</v>
      </c>
      <c r="Q42" s="178">
        <f t="shared" si="20"/>
        <v>3.7677187281986393E-2</v>
      </c>
      <c r="R42" s="47"/>
      <c r="AD42" s="177">
        <f t="shared" ref="AD42:AL42" si="31">AD$35*AD18</f>
        <v>43.952222222222225</v>
      </c>
      <c r="AE42" s="177">
        <f t="shared" si="31"/>
        <v>30569.653399999999</v>
      </c>
      <c r="AF42" s="177">
        <f t="shared" si="31"/>
        <v>30456.31283333333</v>
      </c>
      <c r="AG42" s="177">
        <f t="shared" si="31"/>
        <v>18918.103288888888</v>
      </c>
      <c r="AH42" s="177">
        <f t="shared" si="31"/>
        <v>10087.6836</v>
      </c>
      <c r="AI42" s="177">
        <f t="shared" si="31"/>
        <v>5280.6259</v>
      </c>
      <c r="AJ42" s="177">
        <f t="shared" si="31"/>
        <v>1956.190311111111</v>
      </c>
      <c r="AK42" s="177">
        <f t="shared" si="31"/>
        <v>898.97783333333336</v>
      </c>
      <c r="AL42" s="177">
        <f t="shared" si="31"/>
        <v>51.571199999999997</v>
      </c>
      <c r="AM42" s="177">
        <f t="shared" si="22"/>
        <v>98263.070588888906</v>
      </c>
      <c r="AN42" s="178">
        <f t="shared" si="23"/>
        <v>3.7677187280098147E-2</v>
      </c>
      <c r="AO42" s="47"/>
      <c r="BA42" s="439" t="s">
        <v>1330</v>
      </c>
    </row>
    <row r="43" spans="1:53" ht="16.899999999999999" customHeight="1" x14ac:dyDescent="0.2">
      <c r="A43" s="10" t="s">
        <v>1331</v>
      </c>
      <c r="B43" s="10" t="s">
        <v>1266</v>
      </c>
      <c r="C43" s="10" t="s">
        <v>1288</v>
      </c>
      <c r="D43" s="180" t="s">
        <v>1246</v>
      </c>
      <c r="E43" s="180" t="s">
        <v>190</v>
      </c>
      <c r="F43" s="221"/>
      <c r="G43" s="177">
        <f t="shared" ref="G43:O43" si="32">G$35*G19</f>
        <v>82.777777777777786</v>
      </c>
      <c r="H43" s="177">
        <f t="shared" si="32"/>
        <v>99321.333333333328</v>
      </c>
      <c r="I43" s="177">
        <f t="shared" si="32"/>
        <v>140252</v>
      </c>
      <c r="J43" s="177">
        <f t="shared" si="32"/>
        <v>114378.66666666666</v>
      </c>
      <c r="K43" s="177">
        <f t="shared" si="32"/>
        <v>104250</v>
      </c>
      <c r="L43" s="177">
        <f t="shared" si="32"/>
        <v>103054.11111111112</v>
      </c>
      <c r="M43" s="177">
        <f t="shared" si="32"/>
        <v>56021.333333333336</v>
      </c>
      <c r="N43" s="177">
        <f t="shared" si="32"/>
        <v>34318.333333333336</v>
      </c>
      <c r="O43" s="177">
        <f t="shared" si="32"/>
        <v>3114</v>
      </c>
      <c r="P43" s="177">
        <f t="shared" si="19"/>
        <v>654792.55555555562</v>
      </c>
      <c r="Q43" s="178">
        <f t="shared" si="20"/>
        <v>0.25332791127879761</v>
      </c>
      <c r="R43" s="47"/>
      <c r="AD43" s="177">
        <f t="shared" ref="AD43:AL43" si="33">AD$35*AD19</f>
        <v>83.52277777777779</v>
      </c>
      <c r="AE43" s="177">
        <f t="shared" si="33"/>
        <v>100215.22533333332</v>
      </c>
      <c r="AF43" s="177">
        <f t="shared" si="33"/>
        <v>141514.26800000001</v>
      </c>
      <c r="AG43" s="177">
        <f t="shared" si="33"/>
        <v>115408.07466666667</v>
      </c>
      <c r="AH43" s="177">
        <f t="shared" si="33"/>
        <v>105188.25</v>
      </c>
      <c r="AI43" s="177">
        <f t="shared" si="33"/>
        <v>103981.59811111112</v>
      </c>
      <c r="AJ43" s="177">
        <f t="shared" si="33"/>
        <v>56525.525333333331</v>
      </c>
      <c r="AK43" s="177">
        <f t="shared" si="33"/>
        <v>34627.198333333334</v>
      </c>
      <c r="AL43" s="177">
        <f t="shared" si="33"/>
        <v>3142.0259999999998</v>
      </c>
      <c r="AM43" s="177">
        <f t="shared" si="22"/>
        <v>660685.68855555553</v>
      </c>
      <c r="AN43" s="178">
        <f t="shared" si="23"/>
        <v>0.25332791120617609</v>
      </c>
      <c r="AO43" s="47"/>
      <c r="BA43" s="439" t="s">
        <v>1332</v>
      </c>
    </row>
    <row r="44" spans="1:53" ht="16.899999999999999" customHeight="1" x14ac:dyDescent="0.2">
      <c r="A44" s="10" t="s">
        <v>1333</v>
      </c>
      <c r="B44" s="10" t="s">
        <v>1266</v>
      </c>
      <c r="C44" s="10" t="s">
        <v>1334</v>
      </c>
      <c r="D44" s="180" t="s">
        <v>1246</v>
      </c>
      <c r="E44" s="180" t="s">
        <v>190</v>
      </c>
      <c r="F44" s="221"/>
      <c r="G44" s="177">
        <f t="shared" ref="G44:O44" si="34">G$35*G22</f>
        <v>4.3548429387000009</v>
      </c>
      <c r="H44" s="177">
        <f t="shared" si="34"/>
        <v>6190.9644265317329</v>
      </c>
      <c r="I44" s="177">
        <f t="shared" si="34"/>
        <v>5457.4944303586317</v>
      </c>
      <c r="J44" s="177">
        <f t="shared" si="34"/>
        <v>3282.8853621117864</v>
      </c>
      <c r="K44" s="177">
        <f t="shared" si="34"/>
        <v>1755.9385141391599</v>
      </c>
      <c r="L44" s="177">
        <f t="shared" si="34"/>
        <v>1029.7320982641245</v>
      </c>
      <c r="M44" s="177">
        <f t="shared" si="34"/>
        <v>416.49944044086448</v>
      </c>
      <c r="N44" s="177">
        <f t="shared" si="34"/>
        <v>137.04831858166668</v>
      </c>
      <c r="O44" s="177">
        <f t="shared" si="34"/>
        <v>1.6554470751000001</v>
      </c>
      <c r="P44" s="177">
        <f t="shared" si="19"/>
        <v>18276.572880441767</v>
      </c>
      <c r="Q44" s="178">
        <f t="shared" si="20"/>
        <v>7.0708898472566749E-3</v>
      </c>
      <c r="R44" s="47"/>
      <c r="AD44" s="177">
        <f t="shared" ref="AD44:AL44" si="35">AD$35*AD22</f>
        <v>4.3940411643000008</v>
      </c>
      <c r="AE44" s="177">
        <f t="shared" si="35"/>
        <v>6246.683123065226</v>
      </c>
      <c r="AF44" s="177">
        <f t="shared" si="35"/>
        <v>5506.6118742128356</v>
      </c>
      <c r="AG44" s="177">
        <f t="shared" si="35"/>
        <v>3312.4313384118127</v>
      </c>
      <c r="AH44" s="177">
        <f t="shared" si="35"/>
        <v>1771.74196256148</v>
      </c>
      <c r="AI44" s="177">
        <f t="shared" si="35"/>
        <v>1038.999683802899</v>
      </c>
      <c r="AJ44" s="177">
        <f t="shared" si="35"/>
        <v>420.24797863657557</v>
      </c>
      <c r="AK44" s="177">
        <f t="shared" si="35"/>
        <v>138.28171272200001</v>
      </c>
      <c r="AL44" s="177">
        <f t="shared" si="35"/>
        <v>1.6703581596000001</v>
      </c>
      <c r="AM44" s="177">
        <f t="shared" si="22"/>
        <v>18441.062072736731</v>
      </c>
      <c r="AN44" s="178">
        <f t="shared" si="23"/>
        <v>7.0708898591754577E-3</v>
      </c>
      <c r="AO44" s="47"/>
      <c r="BA44" s="439" t="s">
        <v>1335</v>
      </c>
    </row>
    <row r="45" spans="1:53" ht="16.899999999999999" customHeight="1" x14ac:dyDescent="0.2">
      <c r="A45" s="10" t="s">
        <v>1336</v>
      </c>
      <c r="B45" s="10" t="s">
        <v>1266</v>
      </c>
      <c r="C45" s="10" t="s">
        <v>1337</v>
      </c>
      <c r="D45" s="180" t="s">
        <v>1246</v>
      </c>
      <c r="E45" s="180" t="s">
        <v>190</v>
      </c>
      <c r="F45" s="221"/>
      <c r="G45" s="177">
        <f t="shared" ref="G45:O45" si="36">G$35*G23</f>
        <v>9.569434839077779</v>
      </c>
      <c r="H45" s="177">
        <f t="shared" si="36"/>
        <v>8889.616240134932</v>
      </c>
      <c r="I45" s="177">
        <f t="shared" si="36"/>
        <v>8153.1948918635908</v>
      </c>
      <c r="J45" s="177">
        <f t="shared" si="36"/>
        <v>4846.169215665991</v>
      </c>
      <c r="K45" s="177">
        <f t="shared" si="36"/>
        <v>2548.1498858608397</v>
      </c>
      <c r="L45" s="177">
        <f t="shared" si="36"/>
        <v>2280.6851461803203</v>
      </c>
      <c r="M45" s="177">
        <f t="shared" si="36"/>
        <v>817.84434844802445</v>
      </c>
      <c r="N45" s="177">
        <f t="shared" si="36"/>
        <v>261.15001475166673</v>
      </c>
      <c r="O45" s="177">
        <f t="shared" si="36"/>
        <v>10.889952924900001</v>
      </c>
      <c r="P45" s="177">
        <f t="shared" si="19"/>
        <v>27817.269130669341</v>
      </c>
      <c r="Q45" s="178">
        <f t="shared" si="20"/>
        <v>1.0762020164346154E-2</v>
      </c>
      <c r="R45" s="47"/>
      <c r="AD45" s="177">
        <f t="shared" ref="AD45:AL45" si="37">AD$35*AD23</f>
        <v>9.6555699468111129</v>
      </c>
      <c r="AE45" s="177">
        <f t="shared" si="37"/>
        <v>8969.6228102681071</v>
      </c>
      <c r="AF45" s="177">
        <f t="shared" si="37"/>
        <v>8226.5736368982762</v>
      </c>
      <c r="AG45" s="177">
        <f t="shared" si="37"/>
        <v>4889.7847504770762</v>
      </c>
      <c r="AH45" s="177">
        <f t="shared" si="37"/>
        <v>2571.08323743852</v>
      </c>
      <c r="AI45" s="177">
        <f t="shared" si="37"/>
        <v>2301.2113050859903</v>
      </c>
      <c r="AJ45" s="177">
        <f t="shared" si="37"/>
        <v>825.20503247453564</v>
      </c>
      <c r="AK45" s="177">
        <f t="shared" si="37"/>
        <v>263.50028727800003</v>
      </c>
      <c r="AL45" s="177">
        <f t="shared" si="37"/>
        <v>10.988041840400001</v>
      </c>
      <c r="AM45" s="177">
        <f t="shared" si="22"/>
        <v>28067.624671707719</v>
      </c>
      <c r="AN45" s="178">
        <f t="shared" si="23"/>
        <v>1.0762020206836614E-2</v>
      </c>
      <c r="AO45" s="47"/>
      <c r="BA45" s="439" t="s">
        <v>1338</v>
      </c>
    </row>
    <row r="46" spans="1:53" ht="16.899999999999999" customHeight="1" x14ac:dyDescent="0.2">
      <c r="A46" s="10" t="s">
        <v>1339</v>
      </c>
      <c r="B46" s="10" t="s">
        <v>1266</v>
      </c>
      <c r="C46" s="10" t="s">
        <v>1284</v>
      </c>
      <c r="D46" s="180" t="s">
        <v>1246</v>
      </c>
      <c r="E46" s="180" t="s">
        <v>190</v>
      </c>
      <c r="F46" s="221"/>
      <c r="G46" s="177">
        <f t="shared" ref="G46:O46" si="38">G$35*G24</f>
        <v>78.662055555555554</v>
      </c>
      <c r="H46" s="177">
        <f t="shared" si="38"/>
        <v>80301.132466666662</v>
      </c>
      <c r="I46" s="177">
        <f t="shared" si="38"/>
        <v>61638.282144444442</v>
      </c>
      <c r="J46" s="177">
        <f t="shared" si="38"/>
        <v>32238.938311111109</v>
      </c>
      <c r="K46" s="177">
        <f t="shared" si="38"/>
        <v>13436.053900000001</v>
      </c>
      <c r="L46" s="177">
        <f t="shared" si="38"/>
        <v>6047.5291555555559</v>
      </c>
      <c r="M46" s="177">
        <f t="shared" si="38"/>
        <v>1722.5729444444446</v>
      </c>
      <c r="N46" s="177">
        <f t="shared" si="38"/>
        <v>603.36300000000006</v>
      </c>
      <c r="O46" s="177">
        <f t="shared" si="38"/>
        <v>22.8888</v>
      </c>
      <c r="P46" s="177">
        <f t="shared" si="19"/>
        <v>196089.4227777778</v>
      </c>
      <c r="Q46" s="178">
        <f t="shared" si="20"/>
        <v>7.5863605159672415E-2</v>
      </c>
      <c r="R46" s="47"/>
      <c r="AD46" s="177">
        <f t="shared" ref="AD46:AL46" si="39">AD$35*AD24</f>
        <v>79.37</v>
      </c>
      <c r="AE46" s="177">
        <f t="shared" si="39"/>
        <v>81023.842666666664</v>
      </c>
      <c r="AF46" s="177">
        <f t="shared" si="39"/>
        <v>62193.026700000002</v>
      </c>
      <c r="AG46" s="177">
        <f t="shared" si="39"/>
        <v>32529.088711111111</v>
      </c>
      <c r="AH46" s="177">
        <f t="shared" si="39"/>
        <v>13556.978300000001</v>
      </c>
      <c r="AI46" s="177">
        <f t="shared" si="39"/>
        <v>6101.9569111111114</v>
      </c>
      <c r="AJ46" s="177">
        <f t="shared" si="39"/>
        <v>1738.0761666666667</v>
      </c>
      <c r="AK46" s="177">
        <f t="shared" si="39"/>
        <v>608.79333333333341</v>
      </c>
      <c r="AL46" s="177">
        <f t="shared" si="39"/>
        <v>23.094799999999999</v>
      </c>
      <c r="AM46" s="177">
        <f t="shared" si="22"/>
        <v>197854.22758888884</v>
      </c>
      <c r="AN46" s="178">
        <f t="shared" si="23"/>
        <v>7.5863605140267756E-2</v>
      </c>
      <c r="AO46" s="47"/>
      <c r="BA46" s="439" t="s">
        <v>1340</v>
      </c>
    </row>
    <row r="47" spans="1:53" ht="16.899999999999999" customHeight="1" x14ac:dyDescent="0.2">
      <c r="A47" s="10" t="s">
        <v>1341</v>
      </c>
      <c r="B47" s="10" t="s">
        <v>1287</v>
      </c>
      <c r="C47" s="10" t="s">
        <v>1288</v>
      </c>
      <c r="D47" s="180" t="s">
        <v>1246</v>
      </c>
      <c r="E47" s="180" t="s">
        <v>190</v>
      </c>
      <c r="F47" s="221"/>
      <c r="G47" s="177">
        <f t="shared" ref="G47:O47" si="40">G$35*G25</f>
        <v>0.55555555555555558</v>
      </c>
      <c r="H47" s="177">
        <f t="shared" si="40"/>
        <v>608</v>
      </c>
      <c r="I47" s="177">
        <f t="shared" si="40"/>
        <v>493.88888888888891</v>
      </c>
      <c r="J47" s="177">
        <f t="shared" si="40"/>
        <v>368.88888888888886</v>
      </c>
      <c r="K47" s="177">
        <f t="shared" si="40"/>
        <v>309</v>
      </c>
      <c r="L47" s="177">
        <f t="shared" si="40"/>
        <v>321.44444444444446</v>
      </c>
      <c r="M47" s="177">
        <f t="shared" si="40"/>
        <v>202.22222222222223</v>
      </c>
      <c r="N47" s="177">
        <f t="shared" si="40"/>
        <v>143.33333333333334</v>
      </c>
      <c r="O47" s="177">
        <f t="shared" si="40"/>
        <v>32</v>
      </c>
      <c r="P47" s="177">
        <f t="shared" si="19"/>
        <v>2479.3333333333335</v>
      </c>
      <c r="Q47" s="178">
        <f t="shared" si="20"/>
        <v>9.5921117210066192E-4</v>
      </c>
      <c r="R47" s="47"/>
      <c r="AD47" s="177">
        <f t="shared" ref="AD47:AL47" si="41">AD$35*AD25</f>
        <v>0.56055555555555547</v>
      </c>
      <c r="AE47" s="177">
        <f t="shared" si="41"/>
        <v>613.47199999999998</v>
      </c>
      <c r="AF47" s="177">
        <f t="shared" si="41"/>
        <v>498.33388888888891</v>
      </c>
      <c r="AG47" s="177">
        <f t="shared" si="41"/>
        <v>372.20888888888891</v>
      </c>
      <c r="AH47" s="177">
        <f t="shared" si="41"/>
        <v>311.78100000000001</v>
      </c>
      <c r="AI47" s="177">
        <f t="shared" si="41"/>
        <v>324.33744444444449</v>
      </c>
      <c r="AJ47" s="177">
        <f t="shared" si="41"/>
        <v>204.04222222222219</v>
      </c>
      <c r="AK47" s="177">
        <f t="shared" si="41"/>
        <v>144.62333333333333</v>
      </c>
      <c r="AL47" s="177">
        <f t="shared" si="41"/>
        <v>32.287999999999997</v>
      </c>
      <c r="AM47" s="177">
        <f t="shared" si="22"/>
        <v>2501.6473333333333</v>
      </c>
      <c r="AN47" s="178">
        <f t="shared" si="23"/>
        <v>9.5921117182568483E-4</v>
      </c>
      <c r="AO47" s="47"/>
      <c r="BA47" s="439" t="s">
        <v>1342</v>
      </c>
    </row>
    <row r="48" spans="1:53" ht="16.899999999999999" customHeight="1" x14ac:dyDescent="0.2">
      <c r="A48" s="10" t="s">
        <v>1343</v>
      </c>
      <c r="B48" s="10" t="s">
        <v>1287</v>
      </c>
      <c r="C48" s="10" t="s">
        <v>1291</v>
      </c>
      <c r="D48" s="180" t="s">
        <v>1246</v>
      </c>
      <c r="E48" s="180" t="s">
        <v>190</v>
      </c>
      <c r="F48" s="221"/>
      <c r="G48" s="177">
        <f t="shared" ref="G48:O48" si="42">G$35*G26</f>
        <v>0</v>
      </c>
      <c r="H48" s="177">
        <f t="shared" si="42"/>
        <v>4.6666666666666661</v>
      </c>
      <c r="I48" s="177">
        <f t="shared" si="42"/>
        <v>10.111111111111111</v>
      </c>
      <c r="J48" s="177">
        <f t="shared" si="42"/>
        <v>8.8888888888888893</v>
      </c>
      <c r="K48" s="177">
        <f t="shared" si="42"/>
        <v>9</v>
      </c>
      <c r="L48" s="177">
        <f t="shared" si="42"/>
        <v>9.7777777777777786</v>
      </c>
      <c r="M48" s="177">
        <f t="shared" si="42"/>
        <v>4.333333333333333</v>
      </c>
      <c r="N48" s="177">
        <f t="shared" si="42"/>
        <v>0</v>
      </c>
      <c r="O48" s="177">
        <f t="shared" si="42"/>
        <v>0</v>
      </c>
      <c r="P48" s="177">
        <f t="shared" si="19"/>
        <v>46.777777777777779</v>
      </c>
      <c r="Q48" s="178">
        <f t="shared" si="20"/>
        <v>1.8097512927058289E-5</v>
      </c>
      <c r="R48" s="47"/>
      <c r="AD48" s="177">
        <f t="shared" ref="AD48:AL48" si="43">AD$35*AD26</f>
        <v>0</v>
      </c>
      <c r="AE48" s="177">
        <f t="shared" si="43"/>
        <v>4.7086666666666659</v>
      </c>
      <c r="AF48" s="177">
        <f t="shared" si="43"/>
        <v>10.202111111111112</v>
      </c>
      <c r="AG48" s="177">
        <f t="shared" si="43"/>
        <v>8.9688888888888876</v>
      </c>
      <c r="AH48" s="177">
        <f t="shared" si="43"/>
        <v>9.0809999999999995</v>
      </c>
      <c r="AI48" s="177">
        <f t="shared" si="43"/>
        <v>9.8657777777777778</v>
      </c>
      <c r="AJ48" s="177">
        <f t="shared" si="43"/>
        <v>4.3723333333333336</v>
      </c>
      <c r="AK48" s="177">
        <f t="shared" si="43"/>
        <v>0</v>
      </c>
      <c r="AL48" s="177">
        <f t="shared" si="43"/>
        <v>0</v>
      </c>
      <c r="AM48" s="177">
        <f t="shared" si="22"/>
        <v>47.198777777777778</v>
      </c>
      <c r="AN48" s="178">
        <f t="shared" si="23"/>
        <v>1.8097512921870274E-5</v>
      </c>
      <c r="AO48" s="47"/>
      <c r="BA48" s="439" t="s">
        <v>1344</v>
      </c>
    </row>
    <row r="49" spans="1:53" ht="16.899999999999999" customHeight="1" x14ac:dyDescent="0.2">
      <c r="A49" s="10" t="s">
        <v>1345</v>
      </c>
      <c r="B49" s="10" t="s">
        <v>1287</v>
      </c>
      <c r="C49" s="10" t="s">
        <v>1294</v>
      </c>
      <c r="D49" s="180" t="s">
        <v>1246</v>
      </c>
      <c r="E49" s="180" t="s">
        <v>190</v>
      </c>
      <c r="F49" s="221"/>
      <c r="G49" s="177">
        <f t="shared" ref="G49:O49" si="44">G$35*G27</f>
        <v>0.55555555555555558</v>
      </c>
      <c r="H49" s="177">
        <f t="shared" si="44"/>
        <v>22.666666666666664</v>
      </c>
      <c r="I49" s="177">
        <f t="shared" si="44"/>
        <v>37.333333333333336</v>
      </c>
      <c r="J49" s="177">
        <f t="shared" si="44"/>
        <v>43.55555555555555</v>
      </c>
      <c r="K49" s="177">
        <f t="shared" si="44"/>
        <v>33</v>
      </c>
      <c r="L49" s="177">
        <f t="shared" si="44"/>
        <v>13.444444444444446</v>
      </c>
      <c r="M49" s="177">
        <f t="shared" si="44"/>
        <v>7.2222222222222223</v>
      </c>
      <c r="N49" s="177">
        <f t="shared" si="44"/>
        <v>0</v>
      </c>
      <c r="O49" s="177">
        <f t="shared" si="44"/>
        <v>0</v>
      </c>
      <c r="P49" s="177">
        <f t="shared" si="19"/>
        <v>157.7777777777778</v>
      </c>
      <c r="Q49" s="178">
        <f t="shared" si="20"/>
        <v>6.1041492533070712E-5</v>
      </c>
      <c r="R49" s="47"/>
      <c r="AD49" s="177">
        <f t="shared" ref="AD49:AL49" si="45">AD$35*AD27</f>
        <v>0.56055555555555547</v>
      </c>
      <c r="AE49" s="177">
        <f t="shared" si="45"/>
        <v>22.870666666666665</v>
      </c>
      <c r="AF49" s="177">
        <f t="shared" si="45"/>
        <v>37.669333333333334</v>
      </c>
      <c r="AG49" s="177">
        <f t="shared" si="45"/>
        <v>43.947555555555553</v>
      </c>
      <c r="AH49" s="177">
        <f t="shared" si="45"/>
        <v>33.296999999999997</v>
      </c>
      <c r="AI49" s="177">
        <f t="shared" si="45"/>
        <v>13.565444444444445</v>
      </c>
      <c r="AJ49" s="177">
        <f t="shared" si="45"/>
        <v>7.2872222222222218</v>
      </c>
      <c r="AK49" s="177">
        <f t="shared" si="45"/>
        <v>0</v>
      </c>
      <c r="AL49" s="177">
        <f t="shared" si="45"/>
        <v>0</v>
      </c>
      <c r="AM49" s="177">
        <f t="shared" si="22"/>
        <v>159.19777777777779</v>
      </c>
      <c r="AN49" s="178">
        <f t="shared" si="23"/>
        <v>6.1041492515571946E-5</v>
      </c>
      <c r="AO49" s="47"/>
      <c r="BA49" s="439" t="s">
        <v>1346</v>
      </c>
    </row>
    <row r="50" spans="1:53" ht="16.899999999999999" customHeight="1" x14ac:dyDescent="0.2">
      <c r="A50" s="10" t="s">
        <v>1347</v>
      </c>
      <c r="B50" s="10" t="s">
        <v>1297</v>
      </c>
      <c r="C50" s="10" t="s">
        <v>1298</v>
      </c>
      <c r="D50" s="180" t="s">
        <v>1246</v>
      </c>
      <c r="E50" s="180" t="s">
        <v>190</v>
      </c>
      <c r="F50" s="221"/>
      <c r="G50" s="177">
        <f t="shared" ref="G50:O50" si="46">G$35*G28</f>
        <v>2.9689999999999999</v>
      </c>
      <c r="H50" s="177">
        <f t="shared" si="46"/>
        <v>23800.475066666666</v>
      </c>
      <c r="I50" s="177">
        <f t="shared" si="46"/>
        <v>17012.659766666668</v>
      </c>
      <c r="J50" s="177">
        <f t="shared" si="46"/>
        <v>13620.525955555555</v>
      </c>
      <c r="K50" s="177">
        <f t="shared" si="46"/>
        <v>12662.438899999999</v>
      </c>
      <c r="L50" s="177">
        <f t="shared" si="46"/>
        <v>14711.242211111112</v>
      </c>
      <c r="M50" s="177">
        <f t="shared" si="46"/>
        <v>7635.0749222222221</v>
      </c>
      <c r="N50" s="177">
        <f t="shared" si="46"/>
        <v>4111.4613333333336</v>
      </c>
      <c r="O50" s="177">
        <f t="shared" si="46"/>
        <v>989.42840000000001</v>
      </c>
      <c r="P50" s="177">
        <f t="shared" si="19"/>
        <v>94546.275555555563</v>
      </c>
      <c r="Q50" s="178">
        <f t="shared" si="20"/>
        <v>3.6578318281821703E-2</v>
      </c>
      <c r="R50" s="47"/>
      <c r="AD50" s="177">
        <f t="shared" ref="AD50:AL50" si="47">AD$35*AD28</f>
        <v>2.9956666666666667</v>
      </c>
      <c r="AE50" s="177">
        <f t="shared" si="47"/>
        <v>24014.679333333333</v>
      </c>
      <c r="AF50" s="177">
        <f t="shared" si="47"/>
        <v>17165.773644444445</v>
      </c>
      <c r="AG50" s="177">
        <f t="shared" si="47"/>
        <v>13743.110666666666</v>
      </c>
      <c r="AH50" s="177">
        <f t="shared" si="47"/>
        <v>12776.400799999999</v>
      </c>
      <c r="AI50" s="177">
        <f t="shared" si="47"/>
        <v>14843.643466666666</v>
      </c>
      <c r="AJ50" s="177">
        <f t="shared" si="47"/>
        <v>7703.7906111111115</v>
      </c>
      <c r="AK50" s="177">
        <f t="shared" si="47"/>
        <v>4148.4645</v>
      </c>
      <c r="AL50" s="177">
        <f t="shared" si="47"/>
        <v>998.33320000000003</v>
      </c>
      <c r="AM50" s="177">
        <f t="shared" si="22"/>
        <v>95397.191888888876</v>
      </c>
      <c r="AN50" s="178">
        <f t="shared" si="23"/>
        <v>3.6578318215099125E-2</v>
      </c>
      <c r="AO50" s="47"/>
      <c r="BA50" s="439" t="s">
        <v>1348</v>
      </c>
    </row>
    <row r="51" spans="1:53" ht="16.899999999999999" customHeight="1" x14ac:dyDescent="0.2">
      <c r="A51" s="10" t="s">
        <v>1349</v>
      </c>
      <c r="B51" s="10" t="s">
        <v>1301</v>
      </c>
      <c r="C51" s="10" t="s">
        <v>1301</v>
      </c>
      <c r="D51" s="180" t="s">
        <v>1246</v>
      </c>
      <c r="E51" s="180" t="s">
        <v>190</v>
      </c>
      <c r="F51" s="221"/>
      <c r="G51" s="177">
        <f t="shared" ref="G51:O51" si="48">G$35*G29</f>
        <v>3.6976666666666671</v>
      </c>
      <c r="H51" s="177">
        <f t="shared" si="48"/>
        <v>13718.858266666666</v>
      </c>
      <c r="I51" s="177">
        <f t="shared" si="48"/>
        <v>10576.673566666666</v>
      </c>
      <c r="J51" s="177">
        <f t="shared" si="48"/>
        <v>7768.8073777777763</v>
      </c>
      <c r="K51" s="177">
        <f t="shared" si="48"/>
        <v>6617.5610999999999</v>
      </c>
      <c r="L51" s="177">
        <f t="shared" si="48"/>
        <v>7160.4244555555561</v>
      </c>
      <c r="M51" s="177">
        <f t="shared" si="48"/>
        <v>3748.5917444444444</v>
      </c>
      <c r="N51" s="177">
        <f t="shared" si="48"/>
        <v>2363.5386666666668</v>
      </c>
      <c r="O51" s="177">
        <f t="shared" si="48"/>
        <v>532.57159999999999</v>
      </c>
      <c r="P51" s="177">
        <f t="shared" si="19"/>
        <v>52490.724444444444</v>
      </c>
      <c r="Q51" s="178">
        <f t="shared" si="20"/>
        <v>2.0307753153576937E-2</v>
      </c>
      <c r="R51" s="47"/>
      <c r="AD51" s="177">
        <f t="shared" ref="AD51:AL51" si="49">AD$35*AD29</f>
        <v>3.7309999999999999</v>
      </c>
      <c r="AE51" s="177">
        <f t="shared" si="49"/>
        <v>13842.327999999998</v>
      </c>
      <c r="AF51" s="177">
        <f t="shared" si="49"/>
        <v>10671.863688888889</v>
      </c>
      <c r="AG51" s="177">
        <f t="shared" si="49"/>
        <v>7838.7266666666656</v>
      </c>
      <c r="AH51" s="177">
        <f t="shared" si="49"/>
        <v>6677.1192000000001</v>
      </c>
      <c r="AI51" s="177">
        <f t="shared" si="49"/>
        <v>7224.8682000000008</v>
      </c>
      <c r="AJ51" s="177">
        <f t="shared" si="49"/>
        <v>3782.3290555555554</v>
      </c>
      <c r="AK51" s="177">
        <f t="shared" si="49"/>
        <v>2384.8105</v>
      </c>
      <c r="AL51" s="177">
        <f t="shared" si="49"/>
        <v>537.36479999999995</v>
      </c>
      <c r="AM51" s="177">
        <f t="shared" si="22"/>
        <v>52963.141111111108</v>
      </c>
      <c r="AN51" s="178">
        <f t="shared" si="23"/>
        <v>2.0307753203991977E-2</v>
      </c>
      <c r="AO51" s="47"/>
      <c r="BA51" s="439" t="s">
        <v>1350</v>
      </c>
    </row>
    <row r="52" spans="1:53" ht="16.899999999999999" customHeight="1" x14ac:dyDescent="0.2">
      <c r="A52" s="10" t="s">
        <v>1351</v>
      </c>
      <c r="B52" s="10"/>
      <c r="C52" s="10" t="s">
        <v>1305</v>
      </c>
      <c r="D52" s="180" t="s">
        <v>1246</v>
      </c>
      <c r="E52" s="180" t="s">
        <v>190</v>
      </c>
      <c r="F52" s="221"/>
      <c r="G52" s="177">
        <f t="shared" ref="G52:P52" si="50">SUM(G38:G51)</f>
        <v>379.44444444444451</v>
      </c>
      <c r="H52" s="177">
        <f t="shared" si="50"/>
        <v>360972.66660000006</v>
      </c>
      <c r="I52" s="177">
        <f t="shared" si="50"/>
        <v>467361.22230000002</v>
      </c>
      <c r="J52" s="177">
        <f t="shared" si="50"/>
        <v>383019.5555555555</v>
      </c>
      <c r="K52" s="177">
        <f t="shared" si="50"/>
        <v>368308.0001</v>
      </c>
      <c r="L52" s="177">
        <f t="shared" si="50"/>
        <v>442361.33321111108</v>
      </c>
      <c r="M52" s="177">
        <f t="shared" si="50"/>
        <v>311270.5554111111</v>
      </c>
      <c r="N52" s="177">
        <f t="shared" si="50"/>
        <v>224660.00000000006</v>
      </c>
      <c r="O52" s="177">
        <f t="shared" si="50"/>
        <v>26429.999799999998</v>
      </c>
      <c r="P52" s="177">
        <f t="shared" si="50"/>
        <v>2584762.7774222237</v>
      </c>
      <c r="Q52" s="178">
        <f t="shared" si="20"/>
        <v>1</v>
      </c>
      <c r="R52" s="47"/>
      <c r="AD52" s="177">
        <f t="shared" ref="AD52:AM52" si="51">SUM(AD38:AD51)</f>
        <v>382.85944444444448</v>
      </c>
      <c r="AE52" s="177">
        <f t="shared" si="51"/>
        <v>364221.42066666659</v>
      </c>
      <c r="AF52" s="177">
        <f t="shared" si="51"/>
        <v>471567.47330000013</v>
      </c>
      <c r="AG52" s="177">
        <f t="shared" si="51"/>
        <v>386466.73155555554</v>
      </c>
      <c r="AH52" s="177">
        <f t="shared" si="51"/>
        <v>371622.77200000006</v>
      </c>
      <c r="AI52" s="177">
        <f t="shared" si="51"/>
        <v>446342.58533333341</v>
      </c>
      <c r="AJ52" s="177">
        <f t="shared" si="51"/>
        <v>314071.99070000008</v>
      </c>
      <c r="AK52" s="177">
        <f t="shared" si="51"/>
        <v>226681.94016666667</v>
      </c>
      <c r="AL52" s="177">
        <f t="shared" si="51"/>
        <v>26667.87</v>
      </c>
      <c r="AM52" s="177">
        <f t="shared" si="51"/>
        <v>2608025.6431666664</v>
      </c>
      <c r="AN52" s="178">
        <f t="shared" si="23"/>
        <v>1</v>
      </c>
      <c r="AO52" s="47"/>
      <c r="BA52" s="439" t="s">
        <v>1352</v>
      </c>
    </row>
    <row r="53" spans="1:53" ht="16.899999999999999" customHeight="1" x14ac:dyDescent="0.2">
      <c r="A53" s="10" t="s">
        <v>1353</v>
      </c>
      <c r="B53" s="10"/>
      <c r="C53" s="10" t="s">
        <v>1308</v>
      </c>
      <c r="D53" s="180" t="s">
        <v>1275</v>
      </c>
      <c r="E53" s="180" t="s">
        <v>190</v>
      </c>
      <c r="F53" s="221"/>
      <c r="G53" s="178">
        <f t="shared" ref="G53:P53" si="52">IFERROR(G52/$P$52,"")</f>
        <v>1.4680049084537782E-4</v>
      </c>
      <c r="H53" s="178">
        <f t="shared" si="52"/>
        <v>0.13965407957475967</v>
      </c>
      <c r="I53" s="178">
        <f t="shared" si="52"/>
        <v>0.18081397116299314</v>
      </c>
      <c r="J53" s="178">
        <f t="shared" si="52"/>
        <v>0.14818363948181729</v>
      </c>
      <c r="K53" s="178">
        <f t="shared" si="52"/>
        <v>0.14249199319842903</v>
      </c>
      <c r="L53" s="178">
        <f t="shared" si="52"/>
        <v>0.17114194659375154</v>
      </c>
      <c r="M53" s="178">
        <f t="shared" si="52"/>
        <v>0.12042519264438661</v>
      </c>
      <c r="N53" s="178">
        <f t="shared" si="52"/>
        <v>8.6917067191772557E-2</v>
      </c>
      <c r="O53" s="178">
        <f t="shared" si="52"/>
        <v>1.0225309661244256E-2</v>
      </c>
      <c r="P53" s="178">
        <f t="shared" si="52"/>
        <v>1</v>
      </c>
      <c r="Q53" s="222"/>
      <c r="AD53" s="178">
        <f t="shared" ref="AD53:AM53" si="53">IFERROR(AD52/$AM$52,"")</f>
        <v>1.4680049080329451E-4</v>
      </c>
      <c r="AE53" s="178">
        <f t="shared" si="53"/>
        <v>0.13965407956051717</v>
      </c>
      <c r="AF53" s="178">
        <f t="shared" si="53"/>
        <v>0.18081397111089084</v>
      </c>
      <c r="AG53" s="178">
        <f t="shared" si="53"/>
        <v>0.14818363943933749</v>
      </c>
      <c r="AH53" s="178">
        <f t="shared" si="53"/>
        <v>0.1424919931188926</v>
      </c>
      <c r="AI53" s="178">
        <f t="shared" si="53"/>
        <v>0.17114194659197599</v>
      </c>
      <c r="AJ53" s="178">
        <f t="shared" si="53"/>
        <v>0.12042519272113202</v>
      </c>
      <c r="AK53" s="178">
        <f t="shared" si="53"/>
        <v>8.6917067230761313E-2</v>
      </c>
      <c r="AL53" s="178">
        <f t="shared" si="53"/>
        <v>1.0225309735689506E-2</v>
      </c>
      <c r="AM53" s="178">
        <f t="shared" si="53"/>
        <v>1</v>
      </c>
      <c r="AN53" s="222"/>
      <c r="BA53" s="439" t="s">
        <v>1354</v>
      </c>
    </row>
    <row r="54" spans="1:53" ht="17.649999999999999" customHeight="1" x14ac:dyDescent="0.2">
      <c r="A54" s="223"/>
      <c r="B54" s="223"/>
      <c r="C54" s="223"/>
      <c r="D54" s="224"/>
      <c r="E54" s="224"/>
      <c r="G54" s="223"/>
      <c r="H54" s="223"/>
      <c r="I54" s="223"/>
      <c r="J54" s="223"/>
      <c r="K54" s="40"/>
      <c r="L54" s="40"/>
      <c r="M54" s="40"/>
      <c r="N54" s="40"/>
      <c r="O54" s="40"/>
      <c r="P54" s="40"/>
      <c r="AD54" s="223"/>
      <c r="AE54" s="223"/>
      <c r="AF54" s="223"/>
      <c r="AG54" s="223"/>
      <c r="AH54" s="40"/>
      <c r="AI54" s="40"/>
      <c r="AJ54" s="40"/>
      <c r="AK54" s="40"/>
      <c r="AL54" s="40"/>
      <c r="AM54" s="40"/>
    </row>
    <row r="55" spans="1:53" ht="35.85" customHeight="1" x14ac:dyDescent="0.25">
      <c r="A55" s="516" t="s">
        <v>1355</v>
      </c>
      <c r="B55" s="517"/>
      <c r="C55" s="517"/>
      <c r="D55" s="517"/>
      <c r="E55" s="518"/>
      <c r="F55" s="225"/>
      <c r="G55" s="190" t="s">
        <v>1226</v>
      </c>
      <c r="H55" s="191" t="s">
        <v>1356</v>
      </c>
      <c r="I55" s="191" t="s">
        <v>1357</v>
      </c>
      <c r="J55" s="192" t="s">
        <v>1240</v>
      </c>
      <c r="K55" s="226"/>
      <c r="AD55" s="190" t="s">
        <v>1226</v>
      </c>
      <c r="AE55" s="191" t="s">
        <v>1356</v>
      </c>
      <c r="AF55" s="191" t="s">
        <v>1357</v>
      </c>
      <c r="AG55" s="192" t="s">
        <v>1240</v>
      </c>
      <c r="AH55" s="226"/>
    </row>
    <row r="56" spans="1:53" ht="16.899999999999999" customHeight="1" x14ac:dyDescent="0.2">
      <c r="A56" s="173" t="s">
        <v>1358</v>
      </c>
      <c r="B56" s="173"/>
      <c r="C56" s="173" t="s">
        <v>1359</v>
      </c>
      <c r="D56" s="174" t="s">
        <v>1275</v>
      </c>
      <c r="E56" s="174" t="s">
        <v>223</v>
      </c>
      <c r="F56" s="47"/>
      <c r="G56" s="45"/>
      <c r="H56" s="227"/>
      <c r="I56" s="195">
        <v>0.35</v>
      </c>
      <c r="J56" s="228"/>
      <c r="AD56" s="45"/>
      <c r="AE56" s="227"/>
      <c r="AF56" s="195">
        <v>0.35</v>
      </c>
      <c r="AG56" s="228"/>
      <c r="BA56" s="439" t="s">
        <v>1360</v>
      </c>
    </row>
    <row r="57" spans="1:53" ht="16.899999999999999" customHeight="1" x14ac:dyDescent="0.2">
      <c r="A57" s="10" t="s">
        <v>1361</v>
      </c>
      <c r="B57" s="10" t="s">
        <v>1244</v>
      </c>
      <c r="C57" s="10" t="s">
        <v>1318</v>
      </c>
      <c r="D57" s="180" t="s">
        <v>1275</v>
      </c>
      <c r="E57" s="180" t="s">
        <v>1247</v>
      </c>
      <c r="F57" s="221"/>
      <c r="G57" s="196">
        <v>0</v>
      </c>
      <c r="H57" s="196">
        <v>0</v>
      </c>
      <c r="I57" s="178">
        <f t="shared" ref="I57:I70" si="54">IF(I$56*H57-G57&lt;0,0,I$56*H57-G57)</f>
        <v>0</v>
      </c>
      <c r="J57" s="178">
        <f t="shared" ref="J57:J70" si="55">G57+I57</f>
        <v>0</v>
      </c>
      <c r="K57" s="47"/>
      <c r="AD57" s="196">
        <v>0</v>
      </c>
      <c r="AE57" s="196">
        <v>0</v>
      </c>
      <c r="AF57" s="178">
        <f t="shared" ref="AF57:AF70" si="56">IF(AF$56*AE57-AD57&lt;0,0,AF$56*AE57-AD57)</f>
        <v>0</v>
      </c>
      <c r="AG57" s="178">
        <f t="shared" ref="AG57:AG70" si="57">AD57+AF57</f>
        <v>0</v>
      </c>
      <c r="AH57" s="47"/>
      <c r="BA57" s="439" t="s">
        <v>1362</v>
      </c>
    </row>
    <row r="58" spans="1:53" ht="16.899999999999999" customHeight="1" x14ac:dyDescent="0.2">
      <c r="A58" s="10" t="s">
        <v>1363</v>
      </c>
      <c r="B58" s="10" t="s">
        <v>1244</v>
      </c>
      <c r="C58" s="10" t="s">
        <v>1253</v>
      </c>
      <c r="D58" s="180" t="s">
        <v>1275</v>
      </c>
      <c r="E58" s="180" t="s">
        <v>1247</v>
      </c>
      <c r="F58" s="221"/>
      <c r="G58" s="196">
        <v>0</v>
      </c>
      <c r="H58" s="196">
        <v>0</v>
      </c>
      <c r="I58" s="178">
        <f t="shared" si="54"/>
        <v>0</v>
      </c>
      <c r="J58" s="178">
        <f t="shared" si="55"/>
        <v>0</v>
      </c>
      <c r="K58" s="47"/>
      <c r="AD58" s="196">
        <v>0</v>
      </c>
      <c r="AE58" s="196">
        <v>0</v>
      </c>
      <c r="AF58" s="178">
        <f t="shared" si="56"/>
        <v>0</v>
      </c>
      <c r="AG58" s="178">
        <f t="shared" si="57"/>
        <v>0</v>
      </c>
      <c r="AH58" s="47"/>
      <c r="BA58" s="439" t="s">
        <v>1364</v>
      </c>
    </row>
    <row r="59" spans="1:53" ht="16.899999999999999" customHeight="1" x14ac:dyDescent="0.2">
      <c r="A59" s="10" t="s">
        <v>1365</v>
      </c>
      <c r="B59" s="10" t="s">
        <v>1244</v>
      </c>
      <c r="C59" s="10" t="s">
        <v>1256</v>
      </c>
      <c r="D59" s="180" t="s">
        <v>1275</v>
      </c>
      <c r="E59" s="180" t="s">
        <v>1247</v>
      </c>
      <c r="F59" s="221"/>
      <c r="G59" s="196">
        <v>0</v>
      </c>
      <c r="H59" s="196">
        <v>0</v>
      </c>
      <c r="I59" s="178">
        <f t="shared" si="54"/>
        <v>0</v>
      </c>
      <c r="J59" s="178">
        <f t="shared" si="55"/>
        <v>0</v>
      </c>
      <c r="K59" s="47"/>
      <c r="AD59" s="196">
        <v>0</v>
      </c>
      <c r="AE59" s="196">
        <v>0</v>
      </c>
      <c r="AF59" s="178">
        <f t="shared" si="56"/>
        <v>0</v>
      </c>
      <c r="AG59" s="178">
        <f t="shared" si="57"/>
        <v>0</v>
      </c>
      <c r="AH59" s="47"/>
      <c r="BA59" s="439" t="s">
        <v>1366</v>
      </c>
    </row>
    <row r="60" spans="1:53" ht="16.899999999999999" customHeight="1" x14ac:dyDescent="0.2">
      <c r="A60" s="10" t="s">
        <v>1367</v>
      </c>
      <c r="B60" s="10" t="s">
        <v>1244</v>
      </c>
      <c r="C60" s="10" t="s">
        <v>1326</v>
      </c>
      <c r="D60" s="180" t="s">
        <v>1275</v>
      </c>
      <c r="E60" s="180" t="s">
        <v>1247</v>
      </c>
      <c r="F60" s="221"/>
      <c r="G60" s="196">
        <v>0</v>
      </c>
      <c r="H60" s="196">
        <v>0.6</v>
      </c>
      <c r="I60" s="178">
        <f t="shared" si="54"/>
        <v>0.21</v>
      </c>
      <c r="J60" s="178">
        <f t="shared" si="55"/>
        <v>0.21</v>
      </c>
      <c r="K60" s="47"/>
      <c r="AD60" s="196">
        <v>0</v>
      </c>
      <c r="AE60" s="196">
        <v>0.6</v>
      </c>
      <c r="AF60" s="178">
        <f t="shared" si="56"/>
        <v>0.21</v>
      </c>
      <c r="AG60" s="178">
        <f t="shared" si="57"/>
        <v>0.21</v>
      </c>
      <c r="AH60" s="47"/>
      <c r="BA60" s="439" t="s">
        <v>1368</v>
      </c>
    </row>
    <row r="61" spans="1:53" ht="16.899999999999999" customHeight="1" x14ac:dyDescent="0.2">
      <c r="A61" s="10" t="s">
        <v>1369</v>
      </c>
      <c r="B61" s="10" t="s">
        <v>1244</v>
      </c>
      <c r="C61" s="10" t="s">
        <v>1329</v>
      </c>
      <c r="D61" s="180" t="s">
        <v>1275</v>
      </c>
      <c r="E61" s="180" t="s">
        <v>1247</v>
      </c>
      <c r="F61" s="221"/>
      <c r="G61" s="196">
        <v>0</v>
      </c>
      <c r="H61" s="196">
        <v>1</v>
      </c>
      <c r="I61" s="178">
        <f t="shared" si="54"/>
        <v>0.35</v>
      </c>
      <c r="J61" s="178">
        <f t="shared" si="55"/>
        <v>0.35</v>
      </c>
      <c r="K61" s="47"/>
      <c r="AD61" s="196">
        <v>0</v>
      </c>
      <c r="AE61" s="196">
        <v>1</v>
      </c>
      <c r="AF61" s="178">
        <f t="shared" si="56"/>
        <v>0.35</v>
      </c>
      <c r="AG61" s="178">
        <f t="shared" si="57"/>
        <v>0.35</v>
      </c>
      <c r="AH61" s="47"/>
      <c r="BA61" s="439" t="s">
        <v>1370</v>
      </c>
    </row>
    <row r="62" spans="1:53" ht="16.899999999999999" customHeight="1" x14ac:dyDescent="0.2">
      <c r="A62" s="10" t="s">
        <v>1371</v>
      </c>
      <c r="B62" s="10" t="s">
        <v>1266</v>
      </c>
      <c r="C62" s="10" t="s">
        <v>1288</v>
      </c>
      <c r="D62" s="180" t="s">
        <v>1275</v>
      </c>
      <c r="E62" s="180" t="s">
        <v>1247</v>
      </c>
      <c r="F62" s="221"/>
      <c r="G62" s="196">
        <v>0.25</v>
      </c>
      <c r="H62" s="196">
        <v>0</v>
      </c>
      <c r="I62" s="178">
        <f t="shared" si="54"/>
        <v>0</v>
      </c>
      <c r="J62" s="178">
        <f t="shared" si="55"/>
        <v>0.25</v>
      </c>
      <c r="K62" s="47"/>
      <c r="AD62" s="196">
        <v>0.25</v>
      </c>
      <c r="AE62" s="196">
        <v>0</v>
      </c>
      <c r="AF62" s="178">
        <f t="shared" si="56"/>
        <v>0</v>
      </c>
      <c r="AG62" s="178">
        <f t="shared" si="57"/>
        <v>0.25</v>
      </c>
      <c r="AH62" s="47"/>
      <c r="BA62" s="439" t="s">
        <v>1372</v>
      </c>
    </row>
    <row r="63" spans="1:53" ht="16.899999999999999" customHeight="1" x14ac:dyDescent="0.2">
      <c r="A63" s="10" t="s">
        <v>1373</v>
      </c>
      <c r="B63" s="10" t="s">
        <v>1266</v>
      </c>
      <c r="C63" s="10" t="s">
        <v>1334</v>
      </c>
      <c r="D63" s="180" t="s">
        <v>1275</v>
      </c>
      <c r="E63" s="180" t="s">
        <v>1247</v>
      </c>
      <c r="F63" s="221"/>
      <c r="G63" s="196">
        <v>0.25</v>
      </c>
      <c r="H63" s="196">
        <v>0.85</v>
      </c>
      <c r="I63" s="178">
        <f t="shared" si="54"/>
        <v>4.7499999999999987E-2</v>
      </c>
      <c r="J63" s="178">
        <f t="shared" si="55"/>
        <v>0.29749999999999999</v>
      </c>
      <c r="K63" s="47"/>
      <c r="AD63" s="196">
        <v>0.25</v>
      </c>
      <c r="AE63" s="196">
        <v>0.85</v>
      </c>
      <c r="AF63" s="178">
        <f t="shared" si="56"/>
        <v>4.7499999999999987E-2</v>
      </c>
      <c r="AG63" s="178">
        <f t="shared" si="57"/>
        <v>0.29749999999999999</v>
      </c>
      <c r="AH63" s="47"/>
      <c r="BA63" s="439" t="s">
        <v>1374</v>
      </c>
    </row>
    <row r="64" spans="1:53" ht="16.899999999999999" customHeight="1" x14ac:dyDescent="0.2">
      <c r="A64" s="10" t="s">
        <v>1375</v>
      </c>
      <c r="B64" s="10" t="s">
        <v>1266</v>
      </c>
      <c r="C64" s="10" t="s">
        <v>1337</v>
      </c>
      <c r="D64" s="180" t="s">
        <v>1275</v>
      </c>
      <c r="E64" s="180" t="s">
        <v>1247</v>
      </c>
      <c r="F64" s="221"/>
      <c r="G64" s="196">
        <v>0.25</v>
      </c>
      <c r="H64" s="196">
        <v>0.4</v>
      </c>
      <c r="I64" s="178">
        <f t="shared" si="54"/>
        <v>0</v>
      </c>
      <c r="J64" s="178">
        <f t="shared" si="55"/>
        <v>0.25</v>
      </c>
      <c r="K64" s="47"/>
      <c r="AD64" s="196">
        <v>0.25</v>
      </c>
      <c r="AE64" s="196">
        <v>0.4</v>
      </c>
      <c r="AF64" s="178">
        <f t="shared" si="56"/>
        <v>0</v>
      </c>
      <c r="AG64" s="178">
        <f t="shared" si="57"/>
        <v>0.25</v>
      </c>
      <c r="AH64" s="47"/>
      <c r="BA64" s="439" t="s">
        <v>1376</v>
      </c>
    </row>
    <row r="65" spans="1:53" ht="16.899999999999999" customHeight="1" x14ac:dyDescent="0.2">
      <c r="A65" s="10" t="s">
        <v>1377</v>
      </c>
      <c r="B65" s="10" t="s">
        <v>1266</v>
      </c>
      <c r="C65" s="10" t="s">
        <v>1284</v>
      </c>
      <c r="D65" s="180" t="s">
        <v>1275</v>
      </c>
      <c r="E65" s="180" t="s">
        <v>1247</v>
      </c>
      <c r="F65" s="221"/>
      <c r="G65" s="196">
        <v>0.25</v>
      </c>
      <c r="H65" s="196">
        <v>1</v>
      </c>
      <c r="I65" s="178">
        <f t="shared" si="54"/>
        <v>9.9999999999999978E-2</v>
      </c>
      <c r="J65" s="178">
        <f t="shared" si="55"/>
        <v>0.35</v>
      </c>
      <c r="K65" s="47"/>
      <c r="AD65" s="196">
        <v>0.25</v>
      </c>
      <c r="AE65" s="196">
        <v>1</v>
      </c>
      <c r="AF65" s="178">
        <f t="shared" si="56"/>
        <v>9.9999999999999978E-2</v>
      </c>
      <c r="AG65" s="178">
        <f t="shared" si="57"/>
        <v>0.35</v>
      </c>
      <c r="AH65" s="47"/>
      <c r="BA65" s="439" t="s">
        <v>1378</v>
      </c>
    </row>
    <row r="66" spans="1:53" ht="16.899999999999999" customHeight="1" x14ac:dyDescent="0.2">
      <c r="A66" s="10" t="s">
        <v>1379</v>
      </c>
      <c r="B66" s="10" t="s">
        <v>1287</v>
      </c>
      <c r="C66" s="10" t="s">
        <v>1288</v>
      </c>
      <c r="D66" s="180" t="s">
        <v>1275</v>
      </c>
      <c r="E66" s="180" t="s">
        <v>1247</v>
      </c>
      <c r="F66" s="221"/>
      <c r="G66" s="196">
        <v>0.5</v>
      </c>
      <c r="H66" s="196">
        <v>0</v>
      </c>
      <c r="I66" s="178">
        <f t="shared" si="54"/>
        <v>0</v>
      </c>
      <c r="J66" s="178">
        <f t="shared" si="55"/>
        <v>0.5</v>
      </c>
      <c r="K66" s="47"/>
      <c r="AD66" s="196">
        <v>0.5</v>
      </c>
      <c r="AE66" s="196">
        <v>0</v>
      </c>
      <c r="AF66" s="178">
        <f t="shared" si="56"/>
        <v>0</v>
      </c>
      <c r="AG66" s="178">
        <f t="shared" si="57"/>
        <v>0.5</v>
      </c>
      <c r="AH66" s="47"/>
      <c r="BA66" s="439" t="s">
        <v>1380</v>
      </c>
    </row>
    <row r="67" spans="1:53" ht="16.899999999999999" customHeight="1" x14ac:dyDescent="0.2">
      <c r="A67" s="10" t="s">
        <v>1381</v>
      </c>
      <c r="B67" s="10" t="s">
        <v>1287</v>
      </c>
      <c r="C67" s="10" t="s">
        <v>1291</v>
      </c>
      <c r="D67" s="180" t="s">
        <v>1275</v>
      </c>
      <c r="E67" s="180" t="s">
        <v>1247</v>
      </c>
      <c r="F67" s="221"/>
      <c r="G67" s="196">
        <v>0.5</v>
      </c>
      <c r="H67" s="196">
        <v>0.6</v>
      </c>
      <c r="I67" s="178">
        <f t="shared" si="54"/>
        <v>0</v>
      </c>
      <c r="J67" s="178">
        <f t="shared" si="55"/>
        <v>0.5</v>
      </c>
      <c r="K67" s="47"/>
      <c r="AD67" s="196">
        <v>0.5</v>
      </c>
      <c r="AE67" s="196">
        <v>0.6</v>
      </c>
      <c r="AF67" s="178">
        <f t="shared" si="56"/>
        <v>0</v>
      </c>
      <c r="AG67" s="178">
        <f t="shared" si="57"/>
        <v>0.5</v>
      </c>
      <c r="AH67" s="47"/>
      <c r="BA67" s="439" t="s">
        <v>1382</v>
      </c>
    </row>
    <row r="68" spans="1:53" ht="16.899999999999999" customHeight="1" x14ac:dyDescent="0.2">
      <c r="A68" s="10" t="s">
        <v>1383</v>
      </c>
      <c r="B68" s="10" t="s">
        <v>1287</v>
      </c>
      <c r="C68" s="10" t="s">
        <v>1294</v>
      </c>
      <c r="D68" s="180" t="s">
        <v>1275</v>
      </c>
      <c r="E68" s="180" t="s">
        <v>1247</v>
      </c>
      <c r="F68" s="221"/>
      <c r="G68" s="196">
        <v>0.5</v>
      </c>
      <c r="H68" s="196">
        <v>1</v>
      </c>
      <c r="I68" s="178">
        <f t="shared" si="54"/>
        <v>0</v>
      </c>
      <c r="J68" s="178">
        <f t="shared" si="55"/>
        <v>0.5</v>
      </c>
      <c r="K68" s="47"/>
      <c r="AD68" s="196">
        <v>0.5</v>
      </c>
      <c r="AE68" s="196">
        <v>1</v>
      </c>
      <c r="AF68" s="178">
        <f t="shared" si="56"/>
        <v>0</v>
      </c>
      <c r="AG68" s="178">
        <f t="shared" si="57"/>
        <v>0.5</v>
      </c>
      <c r="AH68" s="47"/>
      <c r="BA68" s="439" t="s">
        <v>1384</v>
      </c>
    </row>
    <row r="69" spans="1:53" ht="16.899999999999999" customHeight="1" x14ac:dyDescent="0.2">
      <c r="A69" s="10" t="s">
        <v>1385</v>
      </c>
      <c r="B69" s="10" t="s">
        <v>1297</v>
      </c>
      <c r="C69" s="10" t="s">
        <v>1297</v>
      </c>
      <c r="D69" s="180" t="s">
        <v>1275</v>
      </c>
      <c r="E69" s="180" t="s">
        <v>1247</v>
      </c>
      <c r="F69" s="221"/>
      <c r="G69" s="196">
        <v>1</v>
      </c>
      <c r="H69" s="196">
        <v>0</v>
      </c>
      <c r="I69" s="178">
        <f t="shared" si="54"/>
        <v>0</v>
      </c>
      <c r="J69" s="178">
        <f t="shared" si="55"/>
        <v>1</v>
      </c>
      <c r="K69" s="47"/>
      <c r="AD69" s="196">
        <v>1</v>
      </c>
      <c r="AE69" s="196">
        <v>0</v>
      </c>
      <c r="AF69" s="178">
        <f t="shared" si="56"/>
        <v>0</v>
      </c>
      <c r="AG69" s="178">
        <f t="shared" si="57"/>
        <v>1</v>
      </c>
      <c r="AH69" s="47"/>
      <c r="BA69" s="439" t="s">
        <v>1386</v>
      </c>
    </row>
    <row r="70" spans="1:53" ht="16.899999999999999" customHeight="1" x14ac:dyDescent="0.2">
      <c r="A70" s="10" t="s">
        <v>1387</v>
      </c>
      <c r="B70" s="10" t="s">
        <v>1301</v>
      </c>
      <c r="C70" s="10" t="s">
        <v>1301</v>
      </c>
      <c r="D70" s="180" t="s">
        <v>1275</v>
      </c>
      <c r="E70" s="180" t="s">
        <v>1247</v>
      </c>
      <c r="F70" s="221"/>
      <c r="G70" s="196">
        <v>1</v>
      </c>
      <c r="H70" s="196">
        <v>0</v>
      </c>
      <c r="I70" s="178">
        <f t="shared" si="54"/>
        <v>0</v>
      </c>
      <c r="J70" s="178">
        <f t="shared" si="55"/>
        <v>1</v>
      </c>
      <c r="K70" s="47"/>
      <c r="AD70" s="196">
        <v>1</v>
      </c>
      <c r="AE70" s="196">
        <v>0</v>
      </c>
      <c r="AF70" s="178">
        <f t="shared" si="56"/>
        <v>0</v>
      </c>
      <c r="AG70" s="178">
        <f t="shared" si="57"/>
        <v>1</v>
      </c>
      <c r="AH70" s="47"/>
      <c r="BA70" s="439" t="s">
        <v>1388</v>
      </c>
    </row>
    <row r="71" spans="1:53" ht="16.899999999999999" customHeight="1" x14ac:dyDescent="0.2">
      <c r="A71" s="223"/>
      <c r="B71" s="223"/>
      <c r="C71" s="223"/>
      <c r="D71" s="224"/>
      <c r="E71" s="224"/>
      <c r="G71" s="223"/>
      <c r="H71" s="223"/>
      <c r="I71" s="223"/>
      <c r="J71" s="223"/>
      <c r="AD71" s="223"/>
      <c r="AE71" s="223"/>
      <c r="AF71" s="223"/>
      <c r="AG71" s="223"/>
    </row>
    <row r="72" spans="1:53" ht="73.349999999999994" customHeight="1" x14ac:dyDescent="0.2">
      <c r="A72" s="519" t="s">
        <v>1389</v>
      </c>
      <c r="B72" s="520"/>
      <c r="C72" s="520"/>
      <c r="D72" s="520"/>
      <c r="E72" s="521"/>
      <c r="F72" s="225"/>
      <c r="G72" s="197" t="s">
        <v>1231</v>
      </c>
      <c r="H72" s="198" t="s">
        <v>1232</v>
      </c>
      <c r="I72" s="198" t="s">
        <v>1233</v>
      </c>
      <c r="J72" s="198" t="s">
        <v>1234</v>
      </c>
      <c r="K72" s="198" t="s">
        <v>1235</v>
      </c>
      <c r="L72" s="198" t="s">
        <v>1236</v>
      </c>
      <c r="M72" s="198" t="s">
        <v>1237</v>
      </c>
      <c r="N72" s="198" t="s">
        <v>1238</v>
      </c>
      <c r="O72" s="198" t="s">
        <v>1239</v>
      </c>
      <c r="P72" s="198" t="s">
        <v>1240</v>
      </c>
      <c r="Q72" s="199" t="s">
        <v>1241</v>
      </c>
      <c r="R72" s="226"/>
      <c r="AD72" s="197" t="s">
        <v>1231</v>
      </c>
      <c r="AE72" s="198" t="s">
        <v>1232</v>
      </c>
      <c r="AF72" s="198" t="s">
        <v>1233</v>
      </c>
      <c r="AG72" s="198" t="s">
        <v>1234</v>
      </c>
      <c r="AH72" s="198" t="s">
        <v>1235</v>
      </c>
      <c r="AI72" s="198" t="s">
        <v>1236</v>
      </c>
      <c r="AJ72" s="198" t="s">
        <v>1237</v>
      </c>
      <c r="AK72" s="198" t="s">
        <v>1238</v>
      </c>
      <c r="AL72" s="198" t="s">
        <v>1239</v>
      </c>
      <c r="AM72" s="198" t="s">
        <v>1240</v>
      </c>
      <c r="AN72" s="199" t="s">
        <v>1241</v>
      </c>
      <c r="AO72" s="226"/>
    </row>
    <row r="73" spans="1:53" ht="16.899999999999999" customHeight="1" x14ac:dyDescent="0.2">
      <c r="A73" s="173" t="s">
        <v>1390</v>
      </c>
      <c r="B73" s="173" t="s">
        <v>1244</v>
      </c>
      <c r="C73" s="173" t="s">
        <v>1318</v>
      </c>
      <c r="D73" s="174" t="s">
        <v>1246</v>
      </c>
      <c r="E73" s="174" t="s">
        <v>190</v>
      </c>
      <c r="F73" s="221"/>
      <c r="G73" s="193">
        <f t="shared" ref="G73:O73" si="58">(1-$J57)*G38</f>
        <v>128.33333333333334</v>
      </c>
      <c r="H73" s="193">
        <f t="shared" si="58"/>
        <v>69590.839066666667</v>
      </c>
      <c r="I73" s="193">
        <f t="shared" si="58"/>
        <v>163609.58810000002</v>
      </c>
      <c r="J73" s="193">
        <f t="shared" si="58"/>
        <v>166917.61955555555</v>
      </c>
      <c r="K73" s="193">
        <f t="shared" si="58"/>
        <v>201276.353</v>
      </c>
      <c r="L73" s="193">
        <f t="shared" si="58"/>
        <v>288092.98344444449</v>
      </c>
      <c r="M73" s="193">
        <f t="shared" si="58"/>
        <v>230887.90674444445</v>
      </c>
      <c r="N73" s="193">
        <f t="shared" si="58"/>
        <v>176705.41966666668</v>
      </c>
      <c r="O73" s="193">
        <f t="shared" si="58"/>
        <v>20635.2988</v>
      </c>
      <c r="P73" s="193">
        <f t="shared" ref="P73:P86" si="59">SUM(G73:O73)</f>
        <v>1317844.3417111114</v>
      </c>
      <c r="Q73" s="194">
        <f t="shared" ref="Q73:Q87" si="60">IFERROR(P73/$P$87,"")</f>
        <v>0.61524049538885084</v>
      </c>
      <c r="R73" s="47"/>
      <c r="AD73" s="193">
        <f t="shared" ref="AD73:AL73" si="61">(1-$AG57)*AD38</f>
        <v>129.48833333333334</v>
      </c>
      <c r="AE73" s="193">
        <f t="shared" si="61"/>
        <v>70217.156599999988</v>
      </c>
      <c r="AF73" s="193">
        <f t="shared" si="61"/>
        <v>165082.07442222224</v>
      </c>
      <c r="AG73" s="193">
        <f t="shared" si="61"/>
        <v>168419.87813333332</v>
      </c>
      <c r="AH73" s="193">
        <f t="shared" si="61"/>
        <v>203087.84020000001</v>
      </c>
      <c r="AI73" s="193">
        <f t="shared" si="61"/>
        <v>290685.82021111116</v>
      </c>
      <c r="AJ73" s="193">
        <f t="shared" si="61"/>
        <v>232965.89795555556</v>
      </c>
      <c r="AK73" s="193">
        <f t="shared" si="61"/>
        <v>178295.76850000001</v>
      </c>
      <c r="AL73" s="193">
        <f t="shared" si="61"/>
        <v>20821.016599999999</v>
      </c>
      <c r="AM73" s="193">
        <f t="shared" ref="AM73:AM86" si="62">SUM(AD73:AL73)</f>
        <v>1329704.9409555555</v>
      </c>
      <c r="AN73" s="194">
        <f t="shared" ref="AN73:AN87" si="63">IFERROR(AM73/$AM$87,"")</f>
        <v>0.61524049526756208</v>
      </c>
      <c r="AO73" s="47"/>
      <c r="BA73" s="439" t="s">
        <v>1391</v>
      </c>
    </row>
    <row r="74" spans="1:53" ht="16.899999999999999" customHeight="1" x14ac:dyDescent="0.2">
      <c r="A74" s="10" t="s">
        <v>1392</v>
      </c>
      <c r="B74" s="10" t="s">
        <v>1244</v>
      </c>
      <c r="C74" s="10" t="s">
        <v>1253</v>
      </c>
      <c r="D74" s="180" t="s">
        <v>1246</v>
      </c>
      <c r="E74" s="180" t="s">
        <v>190</v>
      </c>
      <c r="F74" s="221"/>
      <c r="G74" s="177">
        <f t="shared" ref="G74:O74" si="64">(1-$J58)*G39</f>
        <v>0</v>
      </c>
      <c r="H74" s="177">
        <f t="shared" si="64"/>
        <v>1435.0841333333333</v>
      </c>
      <c r="I74" s="177">
        <f t="shared" si="64"/>
        <v>2069.6109777777779</v>
      </c>
      <c r="J74" s="177">
        <f t="shared" si="64"/>
        <v>2684.6690666666664</v>
      </c>
      <c r="K74" s="177">
        <f t="shared" si="64"/>
        <v>2876.1325999999999</v>
      </c>
      <c r="L74" s="177">
        <f t="shared" si="64"/>
        <v>3744.259811111111</v>
      </c>
      <c r="M74" s="177">
        <f t="shared" si="64"/>
        <v>2421.7723111111109</v>
      </c>
      <c r="N74" s="177">
        <f t="shared" si="64"/>
        <v>1958.8388333333335</v>
      </c>
      <c r="O74" s="177">
        <f t="shared" si="64"/>
        <v>516.67920000000004</v>
      </c>
      <c r="P74" s="177">
        <f t="shared" si="59"/>
        <v>17707.046933333335</v>
      </c>
      <c r="Q74" s="178">
        <f t="shared" si="60"/>
        <v>8.2666002215349352E-3</v>
      </c>
      <c r="R74" s="47"/>
      <c r="AD74" s="177">
        <f t="shared" ref="AD74:AL74" si="65">(1-$AG58)*AD39</f>
        <v>0</v>
      </c>
      <c r="AE74" s="177">
        <f t="shared" si="65"/>
        <v>1447.9998666666665</v>
      </c>
      <c r="AF74" s="177">
        <f t="shared" si="65"/>
        <v>2088.2374333333332</v>
      </c>
      <c r="AG74" s="177">
        <f t="shared" si="65"/>
        <v>2708.8311111111111</v>
      </c>
      <c r="AH74" s="177">
        <f t="shared" si="65"/>
        <v>2902.0178000000001</v>
      </c>
      <c r="AI74" s="177">
        <f t="shared" si="65"/>
        <v>3777.9581888888893</v>
      </c>
      <c r="AJ74" s="177">
        <f t="shared" si="65"/>
        <v>2443.5682555555554</v>
      </c>
      <c r="AK74" s="177">
        <f t="shared" si="65"/>
        <v>1976.4685000000002</v>
      </c>
      <c r="AL74" s="177">
        <f t="shared" si="65"/>
        <v>521.32939999999996</v>
      </c>
      <c r="AM74" s="177">
        <f t="shared" si="62"/>
        <v>17866.410555555554</v>
      </c>
      <c r="AN74" s="178">
        <f t="shared" si="63"/>
        <v>8.2666003113099681E-3</v>
      </c>
      <c r="AO74" s="47"/>
      <c r="BA74" s="439" t="s">
        <v>1393</v>
      </c>
    </row>
    <row r="75" spans="1:53" ht="16.899999999999999" customHeight="1" x14ac:dyDescent="0.2">
      <c r="A75" s="10" t="s">
        <v>1394</v>
      </c>
      <c r="B75" s="10" t="s">
        <v>1244</v>
      </c>
      <c r="C75" s="10" t="s">
        <v>1256</v>
      </c>
      <c r="D75" s="180" t="s">
        <v>1246</v>
      </c>
      <c r="E75" s="180" t="s">
        <v>190</v>
      </c>
      <c r="F75" s="221"/>
      <c r="G75" s="177">
        <f t="shared" ref="G75:O75" si="66">(1-$J59)*G40</f>
        <v>0</v>
      </c>
      <c r="H75" s="177">
        <f t="shared" si="66"/>
        <v>5614.5488666666661</v>
      </c>
      <c r="I75" s="177">
        <f t="shared" si="66"/>
        <v>6371.8596666666663</v>
      </c>
      <c r="J75" s="177">
        <f t="shared" si="66"/>
        <v>4976.9301333333333</v>
      </c>
      <c r="K75" s="177">
        <f t="shared" si="66"/>
        <v>4661.1971999999996</v>
      </c>
      <c r="L75" s="177">
        <f t="shared" si="66"/>
        <v>4414.8321555555558</v>
      </c>
      <c r="M75" s="177">
        <f t="shared" si="66"/>
        <v>2526.9054777777778</v>
      </c>
      <c r="N75" s="177">
        <f t="shared" si="66"/>
        <v>1929.0748333333333</v>
      </c>
      <c r="O75" s="177">
        <f t="shared" si="66"/>
        <v>448.02179999999998</v>
      </c>
      <c r="P75" s="177">
        <f t="shared" si="59"/>
        <v>30943.370133333327</v>
      </c>
      <c r="Q75" s="178">
        <f t="shared" si="60"/>
        <v>1.4446026565712462E-2</v>
      </c>
      <c r="R75" s="47"/>
      <c r="AD75" s="177">
        <f t="shared" ref="AD75:AL75" si="67">(1-$AG59)*AD40</f>
        <v>0</v>
      </c>
      <c r="AE75" s="177">
        <f t="shared" si="67"/>
        <v>5665.0797999999995</v>
      </c>
      <c r="AF75" s="177">
        <f t="shared" si="67"/>
        <v>6429.2064666666674</v>
      </c>
      <c r="AG75" s="177">
        <f t="shared" si="67"/>
        <v>5021.7224888888886</v>
      </c>
      <c r="AH75" s="177">
        <f t="shared" si="67"/>
        <v>4703.1480000000001</v>
      </c>
      <c r="AI75" s="177">
        <f t="shared" si="67"/>
        <v>4454.565744444445</v>
      </c>
      <c r="AJ75" s="177">
        <f t="shared" si="67"/>
        <v>2549.6476777777775</v>
      </c>
      <c r="AK75" s="177">
        <f t="shared" si="67"/>
        <v>1946.4365000000003</v>
      </c>
      <c r="AL75" s="177">
        <f t="shared" si="67"/>
        <v>452.05399999999997</v>
      </c>
      <c r="AM75" s="177">
        <f t="shared" si="62"/>
        <v>31221.860677777779</v>
      </c>
      <c r="AN75" s="178">
        <f t="shared" si="63"/>
        <v>1.4446026659694024E-2</v>
      </c>
      <c r="AO75" s="47"/>
      <c r="BA75" s="439" t="s">
        <v>1395</v>
      </c>
    </row>
    <row r="76" spans="1:53" ht="16.899999999999999" customHeight="1" x14ac:dyDescent="0.2">
      <c r="A76" s="10" t="s">
        <v>1396</v>
      </c>
      <c r="B76" s="10" t="s">
        <v>1244</v>
      </c>
      <c r="C76" s="10" t="s">
        <v>1326</v>
      </c>
      <c r="D76" s="180" t="s">
        <v>1246</v>
      </c>
      <c r="E76" s="180" t="s">
        <v>190</v>
      </c>
      <c r="F76" s="221"/>
      <c r="G76" s="177">
        <f t="shared" ref="G76:O76" si="68">(1-$J60)*G41</f>
        <v>19.28315388888889</v>
      </c>
      <c r="H76" s="177">
        <f t="shared" si="68"/>
        <v>16730.225684666668</v>
      </c>
      <c r="I76" s="177">
        <f t="shared" si="68"/>
        <v>16980.160793555558</v>
      </c>
      <c r="J76" s="177">
        <f t="shared" si="68"/>
        <v>10375.584728888889</v>
      </c>
      <c r="K76" s="177">
        <f t="shared" si="68"/>
        <v>6221.6218530000006</v>
      </c>
      <c r="L76" s="177">
        <f t="shared" si="68"/>
        <v>4935.4008207777788</v>
      </c>
      <c r="M76" s="177">
        <f t="shared" si="68"/>
        <v>2306.4323778888893</v>
      </c>
      <c r="N76" s="177">
        <f t="shared" si="68"/>
        <v>977.60880500000019</v>
      </c>
      <c r="O76" s="177">
        <f t="shared" si="68"/>
        <v>59.609134000000005</v>
      </c>
      <c r="P76" s="177">
        <f t="shared" si="59"/>
        <v>58605.927351666673</v>
      </c>
      <c r="Q76" s="178">
        <f t="shared" si="60"/>
        <v>2.7360393511835949E-2</v>
      </c>
      <c r="R76" s="47"/>
      <c r="AD76" s="177">
        <f t="shared" ref="AD76:AL76" si="69">(1-$AG60)*AD41</f>
        <v>19.456690555555557</v>
      </c>
      <c r="AE76" s="177">
        <f t="shared" si="69"/>
        <v>16880.797736</v>
      </c>
      <c r="AF76" s="177">
        <f t="shared" si="69"/>
        <v>17132.982220666665</v>
      </c>
      <c r="AG76" s="177">
        <f t="shared" si="69"/>
        <v>10468.964975999999</v>
      </c>
      <c r="AH76" s="177">
        <f t="shared" si="69"/>
        <v>6277.6164210000006</v>
      </c>
      <c r="AI76" s="177">
        <f t="shared" si="69"/>
        <v>4979.819466111112</v>
      </c>
      <c r="AJ76" s="177">
        <f t="shared" si="69"/>
        <v>2327.1903301111115</v>
      </c>
      <c r="AK76" s="177">
        <f t="shared" si="69"/>
        <v>986.40729833333353</v>
      </c>
      <c r="AL76" s="177">
        <f t="shared" si="69"/>
        <v>60.145544000000001</v>
      </c>
      <c r="AM76" s="177">
        <f t="shared" si="62"/>
        <v>59133.380682777773</v>
      </c>
      <c r="AN76" s="178">
        <f t="shared" si="63"/>
        <v>2.7360393495998527E-2</v>
      </c>
      <c r="AO76" s="47"/>
      <c r="BA76" s="439" t="s">
        <v>1397</v>
      </c>
    </row>
    <row r="77" spans="1:53" ht="16.899999999999999" customHeight="1" x14ac:dyDescent="0.2">
      <c r="A77" s="10" t="s">
        <v>1398</v>
      </c>
      <c r="B77" s="10" t="s">
        <v>1244</v>
      </c>
      <c r="C77" s="10" t="s">
        <v>1329</v>
      </c>
      <c r="D77" s="180" t="s">
        <v>1246</v>
      </c>
      <c r="E77" s="180" t="s">
        <v>190</v>
      </c>
      <c r="F77" s="221"/>
      <c r="G77" s="177">
        <f t="shared" ref="G77:O77" si="70">(1-$J61)*G42</f>
        <v>28.314108333333333</v>
      </c>
      <c r="H77" s="177">
        <f t="shared" si="70"/>
        <v>19693.037346666668</v>
      </c>
      <c r="I77" s="177">
        <f t="shared" si="70"/>
        <v>19620.023150000001</v>
      </c>
      <c r="J77" s="177">
        <f t="shared" si="70"/>
        <v>12187.083364444445</v>
      </c>
      <c r="K77" s="177">
        <f t="shared" si="70"/>
        <v>6498.5077949999995</v>
      </c>
      <c r="L77" s="177">
        <f t="shared" si="70"/>
        <v>3401.7906938888891</v>
      </c>
      <c r="M77" s="177">
        <f t="shared" si="70"/>
        <v>1260.1821122222223</v>
      </c>
      <c r="N77" s="177">
        <f t="shared" si="70"/>
        <v>579.12345833333336</v>
      </c>
      <c r="O77" s="177">
        <f t="shared" si="70"/>
        <v>33.222279999999998</v>
      </c>
      <c r="P77" s="177">
        <f t="shared" si="59"/>
        <v>63301.284308888899</v>
      </c>
      <c r="Q77" s="178">
        <f t="shared" si="60"/>
        <v>2.9552438238937828E-2</v>
      </c>
      <c r="R77" s="47"/>
      <c r="AD77" s="177">
        <f t="shared" ref="AD77:AL77" si="71">(1-$AG61)*AD42</f>
        <v>28.568944444444448</v>
      </c>
      <c r="AE77" s="177">
        <f t="shared" si="71"/>
        <v>19870.274710000002</v>
      </c>
      <c r="AF77" s="177">
        <f t="shared" si="71"/>
        <v>19796.603341666665</v>
      </c>
      <c r="AG77" s="177">
        <f t="shared" si="71"/>
        <v>12296.767137777777</v>
      </c>
      <c r="AH77" s="177">
        <f t="shared" si="71"/>
        <v>6556.9943400000002</v>
      </c>
      <c r="AI77" s="177">
        <f t="shared" si="71"/>
        <v>3432.4068350000002</v>
      </c>
      <c r="AJ77" s="177">
        <f t="shared" si="71"/>
        <v>1271.5237022222223</v>
      </c>
      <c r="AK77" s="177">
        <f t="shared" si="71"/>
        <v>584.33559166666669</v>
      </c>
      <c r="AL77" s="177">
        <f t="shared" si="71"/>
        <v>33.521279999999997</v>
      </c>
      <c r="AM77" s="177">
        <f t="shared" si="62"/>
        <v>63870.995882777781</v>
      </c>
      <c r="AN77" s="178">
        <f t="shared" si="63"/>
        <v>2.9552438236345596E-2</v>
      </c>
      <c r="AO77" s="47"/>
      <c r="BA77" s="439" t="s">
        <v>1399</v>
      </c>
    </row>
    <row r="78" spans="1:53" ht="16.899999999999999" customHeight="1" x14ac:dyDescent="0.2">
      <c r="A78" s="10" t="s">
        <v>1400</v>
      </c>
      <c r="B78" s="10" t="s">
        <v>1266</v>
      </c>
      <c r="C78" s="10" t="s">
        <v>1288</v>
      </c>
      <c r="D78" s="180" t="s">
        <v>1246</v>
      </c>
      <c r="E78" s="180" t="s">
        <v>190</v>
      </c>
      <c r="F78" s="221"/>
      <c r="G78" s="177">
        <f t="shared" ref="G78:O78" si="72">(1-$J62)*G43</f>
        <v>62.083333333333343</v>
      </c>
      <c r="H78" s="177">
        <f t="shared" si="72"/>
        <v>74491</v>
      </c>
      <c r="I78" s="177">
        <f t="shared" si="72"/>
        <v>105189</v>
      </c>
      <c r="J78" s="177">
        <f t="shared" si="72"/>
        <v>85784</v>
      </c>
      <c r="K78" s="177">
        <f t="shared" si="72"/>
        <v>78187.5</v>
      </c>
      <c r="L78" s="177">
        <f t="shared" si="72"/>
        <v>77290.583333333343</v>
      </c>
      <c r="M78" s="177">
        <f t="shared" si="72"/>
        <v>42016</v>
      </c>
      <c r="N78" s="177">
        <f t="shared" si="72"/>
        <v>25738.75</v>
      </c>
      <c r="O78" s="177">
        <f t="shared" si="72"/>
        <v>2335.5</v>
      </c>
      <c r="P78" s="177">
        <f t="shared" si="59"/>
        <v>491094.41666666663</v>
      </c>
      <c r="Q78" s="178">
        <f t="shared" si="60"/>
        <v>0.22926924116120839</v>
      </c>
      <c r="R78" s="47"/>
      <c r="AD78" s="177">
        <f t="shared" ref="AD78:AL78" si="73">(1-$AG62)*AD43</f>
        <v>62.642083333333346</v>
      </c>
      <c r="AE78" s="177">
        <f t="shared" si="73"/>
        <v>75161.418999999994</v>
      </c>
      <c r="AF78" s="177">
        <f t="shared" si="73"/>
        <v>106135.701</v>
      </c>
      <c r="AG78" s="177">
        <f t="shared" si="73"/>
        <v>86556.055999999997</v>
      </c>
      <c r="AH78" s="177">
        <f t="shared" si="73"/>
        <v>78891.1875</v>
      </c>
      <c r="AI78" s="177">
        <f t="shared" si="73"/>
        <v>77986.198583333346</v>
      </c>
      <c r="AJ78" s="177">
        <f t="shared" si="73"/>
        <v>42394.144</v>
      </c>
      <c r="AK78" s="177">
        <f t="shared" si="73"/>
        <v>25970.39875</v>
      </c>
      <c r="AL78" s="177">
        <f t="shared" si="73"/>
        <v>2356.5194999999999</v>
      </c>
      <c r="AM78" s="177">
        <f t="shared" si="62"/>
        <v>495514.26641666668</v>
      </c>
      <c r="AN78" s="178">
        <f t="shared" si="63"/>
        <v>0.22926924108686342</v>
      </c>
      <c r="AO78" s="47"/>
      <c r="BA78" s="439" t="s">
        <v>1401</v>
      </c>
    </row>
    <row r="79" spans="1:53" ht="16.899999999999999" customHeight="1" x14ac:dyDescent="0.2">
      <c r="A79" s="10" t="s">
        <v>1402</v>
      </c>
      <c r="B79" s="10" t="s">
        <v>1266</v>
      </c>
      <c r="C79" s="10" t="s">
        <v>1334</v>
      </c>
      <c r="D79" s="180" t="s">
        <v>1246</v>
      </c>
      <c r="E79" s="180" t="s">
        <v>190</v>
      </c>
      <c r="F79" s="221"/>
      <c r="G79" s="177">
        <f t="shared" ref="G79:O79" si="74">(1-$J63)*G44</f>
        <v>3.0592771644367507</v>
      </c>
      <c r="H79" s="177">
        <f t="shared" si="74"/>
        <v>4349.1525096385421</v>
      </c>
      <c r="I79" s="177">
        <f t="shared" si="74"/>
        <v>3833.889837326939</v>
      </c>
      <c r="J79" s="177">
        <f t="shared" si="74"/>
        <v>2306.2269668835302</v>
      </c>
      <c r="K79" s="177">
        <f t="shared" si="74"/>
        <v>1233.5468061827598</v>
      </c>
      <c r="L79" s="177">
        <f t="shared" si="74"/>
        <v>723.38679903054742</v>
      </c>
      <c r="M79" s="177">
        <f t="shared" si="74"/>
        <v>292.59085690970733</v>
      </c>
      <c r="N79" s="177">
        <f t="shared" si="74"/>
        <v>96.276443803620836</v>
      </c>
      <c r="O79" s="177">
        <f t="shared" si="74"/>
        <v>1.1629515702577502</v>
      </c>
      <c r="P79" s="177">
        <f t="shared" si="59"/>
        <v>12839.292448510341</v>
      </c>
      <c r="Q79" s="178">
        <f t="shared" si="60"/>
        <v>5.9940710723144367E-3</v>
      </c>
      <c r="R79" s="47"/>
      <c r="AD79" s="177">
        <f t="shared" ref="AD79:AL79" si="75">(1-$AG63)*AD44</f>
        <v>3.0868139179207508</v>
      </c>
      <c r="AE79" s="177">
        <f t="shared" si="75"/>
        <v>4388.2948939533217</v>
      </c>
      <c r="AF79" s="177">
        <f t="shared" si="75"/>
        <v>3868.394841634517</v>
      </c>
      <c r="AG79" s="177">
        <f t="shared" si="75"/>
        <v>2326.9830152342984</v>
      </c>
      <c r="AH79" s="177">
        <f t="shared" si="75"/>
        <v>1244.6487286994397</v>
      </c>
      <c r="AI79" s="177">
        <f t="shared" si="75"/>
        <v>729.89727787153652</v>
      </c>
      <c r="AJ79" s="177">
        <f t="shared" si="75"/>
        <v>295.22420499219436</v>
      </c>
      <c r="AK79" s="177">
        <f t="shared" si="75"/>
        <v>97.142903187205007</v>
      </c>
      <c r="AL79" s="177">
        <f t="shared" si="75"/>
        <v>1.173426607119</v>
      </c>
      <c r="AM79" s="177">
        <f t="shared" si="62"/>
        <v>12954.846106097553</v>
      </c>
      <c r="AN79" s="178">
        <f t="shared" si="63"/>
        <v>5.9940710821927458E-3</v>
      </c>
      <c r="AO79" s="47"/>
      <c r="BA79" s="439" t="s">
        <v>1403</v>
      </c>
    </row>
    <row r="80" spans="1:53" ht="16.899999999999999" customHeight="1" x14ac:dyDescent="0.2">
      <c r="A80" s="10" t="s">
        <v>1404</v>
      </c>
      <c r="B80" s="10" t="s">
        <v>1266</v>
      </c>
      <c r="C80" s="10" t="s">
        <v>1337</v>
      </c>
      <c r="D80" s="180" t="s">
        <v>1246</v>
      </c>
      <c r="E80" s="180" t="s">
        <v>190</v>
      </c>
      <c r="F80" s="221"/>
      <c r="G80" s="177">
        <f t="shared" ref="G80:O80" si="76">(1-$J64)*G45</f>
        <v>7.1770761293083343</v>
      </c>
      <c r="H80" s="177">
        <f t="shared" si="76"/>
        <v>6667.212180101199</v>
      </c>
      <c r="I80" s="177">
        <f t="shared" si="76"/>
        <v>6114.8961688976933</v>
      </c>
      <c r="J80" s="177">
        <f t="shared" si="76"/>
        <v>3634.626911749493</v>
      </c>
      <c r="K80" s="177">
        <f t="shared" si="76"/>
        <v>1911.1124143956299</v>
      </c>
      <c r="L80" s="177">
        <f t="shared" si="76"/>
        <v>1710.5138596352404</v>
      </c>
      <c r="M80" s="177">
        <f t="shared" si="76"/>
        <v>613.38326133601834</v>
      </c>
      <c r="N80" s="177">
        <f t="shared" si="76"/>
        <v>195.86251106375005</v>
      </c>
      <c r="O80" s="177">
        <f t="shared" si="76"/>
        <v>8.1674646936750008</v>
      </c>
      <c r="P80" s="177">
        <f t="shared" si="59"/>
        <v>20862.951848002005</v>
      </c>
      <c r="Q80" s="178">
        <f t="shared" si="60"/>
        <v>9.739946080105609E-3</v>
      </c>
      <c r="R80" s="47"/>
      <c r="AD80" s="177">
        <f t="shared" ref="AD80:AL80" si="77">(1-$AG64)*AD45</f>
        <v>7.2416774601083347</v>
      </c>
      <c r="AE80" s="177">
        <f t="shared" si="77"/>
        <v>6727.2171077010807</v>
      </c>
      <c r="AF80" s="177">
        <f t="shared" si="77"/>
        <v>6169.9302276737071</v>
      </c>
      <c r="AG80" s="177">
        <f t="shared" si="77"/>
        <v>3667.3385628578071</v>
      </c>
      <c r="AH80" s="177">
        <f t="shared" si="77"/>
        <v>1928.31242807889</v>
      </c>
      <c r="AI80" s="177">
        <f t="shared" si="77"/>
        <v>1725.9084788144928</v>
      </c>
      <c r="AJ80" s="177">
        <f t="shared" si="77"/>
        <v>618.90377435590176</v>
      </c>
      <c r="AK80" s="177">
        <f t="shared" si="77"/>
        <v>197.62521545850001</v>
      </c>
      <c r="AL80" s="177">
        <f t="shared" si="77"/>
        <v>8.2410313803000008</v>
      </c>
      <c r="AM80" s="177">
        <f t="shared" si="62"/>
        <v>21050.718503780794</v>
      </c>
      <c r="AN80" s="178">
        <f t="shared" si="63"/>
        <v>9.739946118194516E-3</v>
      </c>
      <c r="AO80" s="47"/>
      <c r="BA80" s="439" t="s">
        <v>1405</v>
      </c>
    </row>
    <row r="81" spans="1:53" ht="16.899999999999999" customHeight="1" x14ac:dyDescent="0.2">
      <c r="A81" s="10" t="s">
        <v>1406</v>
      </c>
      <c r="B81" s="10" t="s">
        <v>1266</v>
      </c>
      <c r="C81" s="10" t="s">
        <v>1284</v>
      </c>
      <c r="D81" s="180" t="s">
        <v>1246</v>
      </c>
      <c r="E81" s="180" t="s">
        <v>190</v>
      </c>
      <c r="F81" s="221"/>
      <c r="G81" s="177">
        <f t="shared" ref="G81:O81" si="78">(1-$J65)*G46</f>
        <v>51.130336111111113</v>
      </c>
      <c r="H81" s="177">
        <f t="shared" si="78"/>
        <v>52195.736103333329</v>
      </c>
      <c r="I81" s="177">
        <f t="shared" si="78"/>
        <v>40064.883393888886</v>
      </c>
      <c r="J81" s="177">
        <f t="shared" si="78"/>
        <v>20955.309902222223</v>
      </c>
      <c r="K81" s="177">
        <f t="shared" si="78"/>
        <v>8733.4350350000004</v>
      </c>
      <c r="L81" s="177">
        <f t="shared" si="78"/>
        <v>3930.8939511111116</v>
      </c>
      <c r="M81" s="177">
        <f t="shared" si="78"/>
        <v>1119.672413888889</v>
      </c>
      <c r="N81" s="177">
        <f t="shared" si="78"/>
        <v>392.18595000000005</v>
      </c>
      <c r="O81" s="177">
        <f t="shared" si="78"/>
        <v>14.87772</v>
      </c>
      <c r="P81" s="177">
        <f t="shared" si="59"/>
        <v>127458.12480555555</v>
      </c>
      <c r="Q81" s="178">
        <f t="shared" si="60"/>
        <v>5.9504296042190763E-2</v>
      </c>
      <c r="R81" s="47"/>
      <c r="AD81" s="177">
        <f t="shared" ref="AD81:AL81" si="79">(1-$AG65)*AD46</f>
        <v>51.590500000000006</v>
      </c>
      <c r="AE81" s="177">
        <f t="shared" si="79"/>
        <v>52665.49773333333</v>
      </c>
      <c r="AF81" s="177">
        <f t="shared" si="79"/>
        <v>40425.467355000001</v>
      </c>
      <c r="AG81" s="177">
        <f t="shared" si="79"/>
        <v>21143.907662222224</v>
      </c>
      <c r="AH81" s="177">
        <f t="shared" si="79"/>
        <v>8812.0358950000009</v>
      </c>
      <c r="AI81" s="177">
        <f t="shared" si="79"/>
        <v>3966.2719922222227</v>
      </c>
      <c r="AJ81" s="177">
        <f t="shared" si="79"/>
        <v>1129.7495083333333</v>
      </c>
      <c r="AK81" s="177">
        <f t="shared" si="79"/>
        <v>395.71566666666672</v>
      </c>
      <c r="AL81" s="177">
        <f t="shared" si="79"/>
        <v>15.011620000000001</v>
      </c>
      <c r="AM81" s="177">
        <f t="shared" si="62"/>
        <v>128605.24793277777</v>
      </c>
      <c r="AN81" s="178">
        <f t="shared" si="63"/>
        <v>5.9504296024733241E-2</v>
      </c>
      <c r="AO81" s="47"/>
      <c r="BA81" s="439" t="s">
        <v>1407</v>
      </c>
    </row>
    <row r="82" spans="1:53" ht="16.899999999999999" customHeight="1" x14ac:dyDescent="0.2">
      <c r="A82" s="10" t="s">
        <v>1408</v>
      </c>
      <c r="B82" s="10" t="s">
        <v>1287</v>
      </c>
      <c r="C82" s="10" t="s">
        <v>1288</v>
      </c>
      <c r="D82" s="180" t="s">
        <v>1246</v>
      </c>
      <c r="E82" s="180" t="s">
        <v>190</v>
      </c>
      <c r="F82" s="221"/>
      <c r="G82" s="177">
        <f t="shared" ref="G82:O82" si="80">(1-$J66)*G47</f>
        <v>0.27777777777777779</v>
      </c>
      <c r="H82" s="177">
        <f t="shared" si="80"/>
        <v>304</v>
      </c>
      <c r="I82" s="177">
        <f t="shared" si="80"/>
        <v>246.94444444444446</v>
      </c>
      <c r="J82" s="177">
        <f t="shared" si="80"/>
        <v>184.44444444444443</v>
      </c>
      <c r="K82" s="177">
        <f t="shared" si="80"/>
        <v>154.5</v>
      </c>
      <c r="L82" s="177">
        <f t="shared" si="80"/>
        <v>160.72222222222223</v>
      </c>
      <c r="M82" s="177">
        <f t="shared" si="80"/>
        <v>101.11111111111111</v>
      </c>
      <c r="N82" s="177">
        <f t="shared" si="80"/>
        <v>71.666666666666671</v>
      </c>
      <c r="O82" s="177">
        <f t="shared" si="80"/>
        <v>16</v>
      </c>
      <c r="P82" s="177">
        <f t="shared" si="59"/>
        <v>1239.6666666666667</v>
      </c>
      <c r="Q82" s="178">
        <f t="shared" si="60"/>
        <v>5.7874295922290167E-4</v>
      </c>
      <c r="R82" s="47"/>
      <c r="AD82" s="177">
        <f t="shared" ref="AD82:AL82" si="81">(1-$AG66)*AD47</f>
        <v>0.28027777777777774</v>
      </c>
      <c r="AE82" s="177">
        <f t="shared" si="81"/>
        <v>306.73599999999999</v>
      </c>
      <c r="AF82" s="177">
        <f t="shared" si="81"/>
        <v>249.16694444444445</v>
      </c>
      <c r="AG82" s="177">
        <f t="shared" si="81"/>
        <v>186.10444444444445</v>
      </c>
      <c r="AH82" s="177">
        <f t="shared" si="81"/>
        <v>155.8905</v>
      </c>
      <c r="AI82" s="177">
        <f t="shared" si="81"/>
        <v>162.16872222222224</v>
      </c>
      <c r="AJ82" s="177">
        <f t="shared" si="81"/>
        <v>102.0211111111111</v>
      </c>
      <c r="AK82" s="177">
        <f t="shared" si="81"/>
        <v>72.311666666666667</v>
      </c>
      <c r="AL82" s="177">
        <f t="shared" si="81"/>
        <v>16.143999999999998</v>
      </c>
      <c r="AM82" s="177">
        <f t="shared" si="62"/>
        <v>1250.8236666666667</v>
      </c>
      <c r="AN82" s="178">
        <f t="shared" si="63"/>
        <v>5.7874295903523299E-4</v>
      </c>
      <c r="AO82" s="47"/>
      <c r="BA82" s="439" t="s">
        <v>1409</v>
      </c>
    </row>
    <row r="83" spans="1:53" ht="16.899999999999999" customHeight="1" x14ac:dyDescent="0.2">
      <c r="A83" s="10" t="s">
        <v>1410</v>
      </c>
      <c r="B83" s="10" t="s">
        <v>1287</v>
      </c>
      <c r="C83" s="10" t="s">
        <v>1291</v>
      </c>
      <c r="D83" s="180" t="s">
        <v>1246</v>
      </c>
      <c r="E83" s="180" t="s">
        <v>190</v>
      </c>
      <c r="F83" s="221"/>
      <c r="G83" s="177">
        <f t="shared" ref="G83:O83" si="82">(1-$J67)*G48</f>
        <v>0</v>
      </c>
      <c r="H83" s="177">
        <f t="shared" si="82"/>
        <v>2.333333333333333</v>
      </c>
      <c r="I83" s="177">
        <f t="shared" si="82"/>
        <v>5.0555555555555554</v>
      </c>
      <c r="J83" s="177">
        <f t="shared" si="82"/>
        <v>4.4444444444444446</v>
      </c>
      <c r="K83" s="177">
        <f t="shared" si="82"/>
        <v>4.5</v>
      </c>
      <c r="L83" s="177">
        <f t="shared" si="82"/>
        <v>4.8888888888888893</v>
      </c>
      <c r="M83" s="177">
        <f t="shared" si="82"/>
        <v>2.1666666666666665</v>
      </c>
      <c r="N83" s="177">
        <f t="shared" si="82"/>
        <v>0</v>
      </c>
      <c r="O83" s="177">
        <f t="shared" si="82"/>
        <v>0</v>
      </c>
      <c r="P83" s="177">
        <f t="shared" si="59"/>
        <v>23.388888888888889</v>
      </c>
      <c r="Q83" s="178">
        <f t="shared" si="60"/>
        <v>1.0919189111447595E-5</v>
      </c>
      <c r="R83" s="47"/>
      <c r="AD83" s="177">
        <f t="shared" ref="AD83:AL83" si="83">(1-$AG67)*AD48</f>
        <v>0</v>
      </c>
      <c r="AE83" s="177">
        <f t="shared" si="83"/>
        <v>2.3543333333333329</v>
      </c>
      <c r="AF83" s="177">
        <f t="shared" si="83"/>
        <v>5.1010555555555559</v>
      </c>
      <c r="AG83" s="177">
        <f t="shared" si="83"/>
        <v>4.4844444444444438</v>
      </c>
      <c r="AH83" s="177">
        <f t="shared" si="83"/>
        <v>4.5404999999999998</v>
      </c>
      <c r="AI83" s="177">
        <f t="shared" si="83"/>
        <v>4.9328888888888889</v>
      </c>
      <c r="AJ83" s="177">
        <f t="shared" si="83"/>
        <v>2.1861666666666668</v>
      </c>
      <c r="AK83" s="177">
        <f t="shared" si="83"/>
        <v>0</v>
      </c>
      <c r="AL83" s="177">
        <f t="shared" si="83"/>
        <v>0</v>
      </c>
      <c r="AM83" s="177">
        <f t="shared" si="62"/>
        <v>23.599388888888889</v>
      </c>
      <c r="AN83" s="178">
        <f t="shared" si="63"/>
        <v>1.0919189107906834E-5</v>
      </c>
      <c r="AO83" s="47"/>
      <c r="BA83" s="439" t="s">
        <v>1411</v>
      </c>
    </row>
    <row r="84" spans="1:53" ht="16.899999999999999" customHeight="1" x14ac:dyDescent="0.2">
      <c r="A84" s="10" t="s">
        <v>1412</v>
      </c>
      <c r="B84" s="10" t="s">
        <v>1287</v>
      </c>
      <c r="C84" s="10" t="s">
        <v>1294</v>
      </c>
      <c r="D84" s="180" t="s">
        <v>1246</v>
      </c>
      <c r="E84" s="180" t="s">
        <v>190</v>
      </c>
      <c r="F84" s="221"/>
      <c r="G84" s="177">
        <f t="shared" ref="G84:O84" si="84">(1-$J68)*G49</f>
        <v>0.27777777777777779</v>
      </c>
      <c r="H84" s="177">
        <f t="shared" si="84"/>
        <v>11.333333333333332</v>
      </c>
      <c r="I84" s="177">
        <f t="shared" si="84"/>
        <v>18.666666666666668</v>
      </c>
      <c r="J84" s="177">
        <f t="shared" si="84"/>
        <v>21.777777777777775</v>
      </c>
      <c r="K84" s="177">
        <f t="shared" si="84"/>
        <v>16.5</v>
      </c>
      <c r="L84" s="177">
        <f t="shared" si="84"/>
        <v>6.7222222222222232</v>
      </c>
      <c r="M84" s="177">
        <f t="shared" si="84"/>
        <v>3.6111111111111112</v>
      </c>
      <c r="N84" s="177">
        <f t="shared" si="84"/>
        <v>0</v>
      </c>
      <c r="O84" s="177">
        <f t="shared" si="84"/>
        <v>0</v>
      </c>
      <c r="P84" s="177">
        <f t="shared" si="59"/>
        <v>78.8888888888889</v>
      </c>
      <c r="Q84" s="178">
        <f t="shared" si="60"/>
        <v>3.6829568974478822E-5</v>
      </c>
      <c r="R84" s="47"/>
      <c r="AD84" s="177">
        <f t="shared" ref="AD84:AL84" si="85">(1-$AG68)*AD49</f>
        <v>0.28027777777777774</v>
      </c>
      <c r="AE84" s="177">
        <f t="shared" si="85"/>
        <v>11.435333333333332</v>
      </c>
      <c r="AF84" s="177">
        <f t="shared" si="85"/>
        <v>18.834666666666667</v>
      </c>
      <c r="AG84" s="177">
        <f t="shared" si="85"/>
        <v>21.973777777777777</v>
      </c>
      <c r="AH84" s="177">
        <f t="shared" si="85"/>
        <v>16.648499999999999</v>
      </c>
      <c r="AI84" s="177">
        <f t="shared" si="85"/>
        <v>6.7827222222222225</v>
      </c>
      <c r="AJ84" s="177">
        <f t="shared" si="85"/>
        <v>3.6436111111111109</v>
      </c>
      <c r="AK84" s="177">
        <f t="shared" si="85"/>
        <v>0</v>
      </c>
      <c r="AL84" s="177">
        <f t="shared" si="85"/>
        <v>0</v>
      </c>
      <c r="AM84" s="177">
        <f t="shared" si="62"/>
        <v>79.598888888888894</v>
      </c>
      <c r="AN84" s="178">
        <f t="shared" si="63"/>
        <v>3.6829568962536118E-5</v>
      </c>
      <c r="AO84" s="47"/>
      <c r="BA84" s="439" t="s">
        <v>1413</v>
      </c>
    </row>
    <row r="85" spans="1:53" ht="16.899999999999999" customHeight="1" x14ac:dyDescent="0.2">
      <c r="A85" s="10" t="s">
        <v>1414</v>
      </c>
      <c r="B85" s="10" t="s">
        <v>1297</v>
      </c>
      <c r="C85" s="10" t="s">
        <v>1297</v>
      </c>
      <c r="D85" s="180" t="s">
        <v>1246</v>
      </c>
      <c r="E85" s="180" t="s">
        <v>190</v>
      </c>
      <c r="F85" s="221"/>
      <c r="G85" s="177">
        <f t="shared" ref="G85:O85" si="86">(1-$J69)*G50</f>
        <v>0</v>
      </c>
      <c r="H85" s="177">
        <f t="shared" si="86"/>
        <v>0</v>
      </c>
      <c r="I85" s="177">
        <f t="shared" si="86"/>
        <v>0</v>
      </c>
      <c r="J85" s="177">
        <f t="shared" si="86"/>
        <v>0</v>
      </c>
      <c r="K85" s="177">
        <f t="shared" si="86"/>
        <v>0</v>
      </c>
      <c r="L85" s="177">
        <f t="shared" si="86"/>
        <v>0</v>
      </c>
      <c r="M85" s="177">
        <f t="shared" si="86"/>
        <v>0</v>
      </c>
      <c r="N85" s="177">
        <f t="shared" si="86"/>
        <v>0</v>
      </c>
      <c r="O85" s="177">
        <f t="shared" si="86"/>
        <v>0</v>
      </c>
      <c r="P85" s="177">
        <f t="shared" si="59"/>
        <v>0</v>
      </c>
      <c r="Q85" s="178">
        <f t="shared" si="60"/>
        <v>0</v>
      </c>
      <c r="R85" s="47"/>
      <c r="AD85" s="177">
        <f t="shared" ref="AD85:AL85" si="87">(1-$AG69)*AD50</f>
        <v>0</v>
      </c>
      <c r="AE85" s="177">
        <f t="shared" si="87"/>
        <v>0</v>
      </c>
      <c r="AF85" s="177">
        <f t="shared" si="87"/>
        <v>0</v>
      </c>
      <c r="AG85" s="177">
        <f t="shared" si="87"/>
        <v>0</v>
      </c>
      <c r="AH85" s="177">
        <f t="shared" si="87"/>
        <v>0</v>
      </c>
      <c r="AI85" s="177">
        <f t="shared" si="87"/>
        <v>0</v>
      </c>
      <c r="AJ85" s="177">
        <f t="shared" si="87"/>
        <v>0</v>
      </c>
      <c r="AK85" s="177">
        <f t="shared" si="87"/>
        <v>0</v>
      </c>
      <c r="AL85" s="177">
        <f t="shared" si="87"/>
        <v>0</v>
      </c>
      <c r="AM85" s="177">
        <f t="shared" si="62"/>
        <v>0</v>
      </c>
      <c r="AN85" s="178">
        <f t="shared" si="63"/>
        <v>0</v>
      </c>
      <c r="AO85" s="47"/>
      <c r="BA85" s="439" t="s">
        <v>1415</v>
      </c>
    </row>
    <row r="86" spans="1:53" ht="16.899999999999999" customHeight="1" x14ac:dyDescent="0.2">
      <c r="A86" s="10" t="s">
        <v>1416</v>
      </c>
      <c r="B86" s="10" t="s">
        <v>1301</v>
      </c>
      <c r="C86" s="10" t="s">
        <v>1301</v>
      </c>
      <c r="D86" s="180" t="s">
        <v>1246</v>
      </c>
      <c r="E86" s="180" t="s">
        <v>190</v>
      </c>
      <c r="F86" s="221"/>
      <c r="G86" s="177">
        <f t="shared" ref="G86:O86" si="88">(1-$J70)*G51</f>
        <v>0</v>
      </c>
      <c r="H86" s="177">
        <f t="shared" si="88"/>
        <v>0</v>
      </c>
      <c r="I86" s="177">
        <f t="shared" si="88"/>
        <v>0</v>
      </c>
      <c r="J86" s="177">
        <f t="shared" si="88"/>
        <v>0</v>
      </c>
      <c r="K86" s="177">
        <f t="shared" si="88"/>
        <v>0</v>
      </c>
      <c r="L86" s="177">
        <f t="shared" si="88"/>
        <v>0</v>
      </c>
      <c r="M86" s="177">
        <f t="shared" si="88"/>
        <v>0</v>
      </c>
      <c r="N86" s="177">
        <f t="shared" si="88"/>
        <v>0</v>
      </c>
      <c r="O86" s="177">
        <f t="shared" si="88"/>
        <v>0</v>
      </c>
      <c r="P86" s="177">
        <f t="shared" si="59"/>
        <v>0</v>
      </c>
      <c r="Q86" s="178">
        <f t="shared" si="60"/>
        <v>0</v>
      </c>
      <c r="R86" s="47"/>
      <c r="AD86" s="177">
        <f t="shared" ref="AD86:AL86" si="89">(1-$AG70)*AD51</f>
        <v>0</v>
      </c>
      <c r="AE86" s="177">
        <f t="shared" si="89"/>
        <v>0</v>
      </c>
      <c r="AF86" s="177">
        <f t="shared" si="89"/>
        <v>0</v>
      </c>
      <c r="AG86" s="177">
        <f t="shared" si="89"/>
        <v>0</v>
      </c>
      <c r="AH86" s="177">
        <f t="shared" si="89"/>
        <v>0</v>
      </c>
      <c r="AI86" s="177">
        <f t="shared" si="89"/>
        <v>0</v>
      </c>
      <c r="AJ86" s="177">
        <f t="shared" si="89"/>
        <v>0</v>
      </c>
      <c r="AK86" s="177">
        <f t="shared" si="89"/>
        <v>0</v>
      </c>
      <c r="AL86" s="177">
        <f t="shared" si="89"/>
        <v>0</v>
      </c>
      <c r="AM86" s="177">
        <f t="shared" si="62"/>
        <v>0</v>
      </c>
      <c r="AN86" s="178">
        <f t="shared" si="63"/>
        <v>0</v>
      </c>
      <c r="AO86" s="47"/>
      <c r="BA86" s="439" t="s">
        <v>1417</v>
      </c>
    </row>
    <row r="87" spans="1:53" ht="16.899999999999999" customHeight="1" x14ac:dyDescent="0.2">
      <c r="A87" s="10" t="s">
        <v>1418</v>
      </c>
      <c r="B87" s="10"/>
      <c r="C87" s="10" t="s">
        <v>1305</v>
      </c>
      <c r="D87" s="180" t="s">
        <v>1246</v>
      </c>
      <c r="E87" s="180" t="s">
        <v>190</v>
      </c>
      <c r="F87" s="221"/>
      <c r="G87" s="177">
        <f t="shared" ref="G87:P87" si="90">SUM(G73:G86)</f>
        <v>299.9361738493007</v>
      </c>
      <c r="H87" s="177">
        <f t="shared" si="90"/>
        <v>251084.50255773976</v>
      </c>
      <c r="I87" s="177">
        <f t="shared" si="90"/>
        <v>364124.57875478017</v>
      </c>
      <c r="J87" s="177">
        <f t="shared" si="90"/>
        <v>310032.7172964107</v>
      </c>
      <c r="K87" s="177">
        <f t="shared" si="90"/>
        <v>311774.90670357837</v>
      </c>
      <c r="L87" s="177">
        <f t="shared" si="90"/>
        <v>388416.97820222139</v>
      </c>
      <c r="M87" s="177">
        <f t="shared" si="90"/>
        <v>283551.73444446799</v>
      </c>
      <c r="N87" s="177">
        <f t="shared" si="90"/>
        <v>208644.80716820076</v>
      </c>
      <c r="O87" s="177">
        <f t="shared" si="90"/>
        <v>24068.539350263931</v>
      </c>
      <c r="P87" s="177">
        <f t="shared" si="90"/>
        <v>2141998.7006515125</v>
      </c>
      <c r="Q87" s="178">
        <f t="shared" si="60"/>
        <v>1</v>
      </c>
      <c r="R87" s="47"/>
      <c r="AD87" s="177">
        <f t="shared" ref="AD87:AM87" si="91">SUM(AD73:AD86)</f>
        <v>302.63559860025134</v>
      </c>
      <c r="AE87" s="177">
        <f t="shared" si="91"/>
        <v>253344.26311432102</v>
      </c>
      <c r="AF87" s="177">
        <f t="shared" si="91"/>
        <v>367401.6999755305</v>
      </c>
      <c r="AG87" s="177">
        <f t="shared" si="91"/>
        <v>312823.01175409212</v>
      </c>
      <c r="AH87" s="177">
        <f t="shared" si="91"/>
        <v>314580.88081277831</v>
      </c>
      <c r="AI87" s="177">
        <f t="shared" si="91"/>
        <v>391912.7311111305</v>
      </c>
      <c r="AJ87" s="177">
        <f t="shared" si="91"/>
        <v>286103.70029779244</v>
      </c>
      <c r="AK87" s="177">
        <f t="shared" si="91"/>
        <v>210522.61059197903</v>
      </c>
      <c r="AL87" s="177">
        <f t="shared" si="91"/>
        <v>24285.156401987417</v>
      </c>
      <c r="AM87" s="177">
        <f t="shared" si="91"/>
        <v>2161276.689658212</v>
      </c>
      <c r="AN87" s="178">
        <f t="shared" si="63"/>
        <v>1</v>
      </c>
      <c r="AO87" s="47"/>
      <c r="BA87" s="439" t="s">
        <v>1419</v>
      </c>
    </row>
    <row r="88" spans="1:53" ht="16.899999999999999" customHeight="1" x14ac:dyDescent="0.2">
      <c r="A88" s="10" t="s">
        <v>1420</v>
      </c>
      <c r="B88" s="10"/>
      <c r="C88" s="10" t="s">
        <v>1308</v>
      </c>
      <c r="D88" s="180" t="s">
        <v>1275</v>
      </c>
      <c r="E88" s="180" t="s">
        <v>190</v>
      </c>
      <c r="F88" s="221"/>
      <c r="G88" s="178">
        <f t="shared" ref="G88:P88" si="92">IFERROR(G87/$P$87,"")</f>
        <v>1.4002630989368565E-4</v>
      </c>
      <c r="H88" s="178">
        <f t="shared" si="92"/>
        <v>0.11721972682867159</v>
      </c>
      <c r="I88" s="178">
        <f t="shared" si="92"/>
        <v>0.16999290365770423</v>
      </c>
      <c r="J88" s="178">
        <f t="shared" si="92"/>
        <v>0.14473991847059051</v>
      </c>
      <c r="K88" s="178">
        <f t="shared" si="92"/>
        <v>0.14555326602614119</v>
      </c>
      <c r="L88" s="178">
        <f t="shared" si="92"/>
        <v>0.18133390000847344</v>
      </c>
      <c r="M88" s="178">
        <f t="shared" si="92"/>
        <v>0.13237717387887427</v>
      </c>
      <c r="N88" s="178">
        <f t="shared" si="92"/>
        <v>9.7406598381567247E-2</v>
      </c>
      <c r="O88" s="178">
        <f t="shared" si="92"/>
        <v>1.1236486438083842E-2</v>
      </c>
      <c r="P88" s="178">
        <f t="shared" si="92"/>
        <v>1</v>
      </c>
      <c r="Q88" s="222"/>
      <c r="AD88" s="178">
        <f t="shared" ref="AD88:AM88" si="93">IFERROR(AD87/$AM$87,"")</f>
        <v>1.4002630947179218E-4</v>
      </c>
      <c r="AE88" s="178">
        <f t="shared" si="93"/>
        <v>0.1172197268061894</v>
      </c>
      <c r="AF88" s="178">
        <f t="shared" si="93"/>
        <v>0.16999290360811323</v>
      </c>
      <c r="AG88" s="178">
        <f t="shared" si="93"/>
        <v>0.1447399184245875</v>
      </c>
      <c r="AH88" s="178">
        <f t="shared" si="93"/>
        <v>0.14555326595528437</v>
      </c>
      <c r="AI88" s="178">
        <f t="shared" si="93"/>
        <v>0.18133389999829602</v>
      </c>
      <c r="AJ88" s="178">
        <f t="shared" si="93"/>
        <v>0.13237717394853196</v>
      </c>
      <c r="AK88" s="178">
        <f t="shared" si="93"/>
        <v>9.7406598423671262E-2</v>
      </c>
      <c r="AL88" s="178">
        <f t="shared" si="93"/>
        <v>1.1236486525854269E-2</v>
      </c>
      <c r="AM88" s="178">
        <f t="shared" si="93"/>
        <v>1</v>
      </c>
      <c r="AN88" s="222"/>
      <c r="BA88" s="439" t="s">
        <v>1421</v>
      </c>
    </row>
    <row r="89" spans="1:53" ht="17.649999999999999" customHeight="1" x14ac:dyDescent="0.2">
      <c r="A89" s="223"/>
      <c r="B89" s="223"/>
      <c r="C89" s="223"/>
      <c r="D89" s="224"/>
      <c r="E89" s="224"/>
      <c r="G89" s="223"/>
      <c r="H89" s="223"/>
      <c r="I89" s="223"/>
      <c r="J89" s="223"/>
      <c r="K89" s="223"/>
      <c r="L89" s="223"/>
      <c r="M89" s="223"/>
      <c r="N89" s="223"/>
      <c r="O89" s="223"/>
      <c r="P89" s="40"/>
      <c r="AD89" s="223"/>
      <c r="AE89" s="223"/>
      <c r="AF89" s="223"/>
      <c r="AG89" s="223"/>
      <c r="AH89" s="223"/>
      <c r="AI89" s="223"/>
      <c r="AJ89" s="223"/>
      <c r="AK89" s="223"/>
      <c r="AL89" s="223"/>
      <c r="AM89" s="40"/>
    </row>
    <row r="90" spans="1:53" ht="18.399999999999999" customHeight="1" x14ac:dyDescent="0.25">
      <c r="A90" s="229"/>
      <c r="B90" s="184"/>
      <c r="C90" s="184" t="s">
        <v>684</v>
      </c>
      <c r="D90" s="230"/>
      <c r="E90" s="231"/>
      <c r="F90" s="225"/>
      <c r="G90" s="197" t="s">
        <v>1231</v>
      </c>
      <c r="H90" s="198" t="s">
        <v>1232</v>
      </c>
      <c r="I90" s="198" t="s">
        <v>1233</v>
      </c>
      <c r="J90" s="198" t="s">
        <v>1234</v>
      </c>
      <c r="K90" s="198" t="s">
        <v>1235</v>
      </c>
      <c r="L90" s="198" t="s">
        <v>1236</v>
      </c>
      <c r="M90" s="198" t="s">
        <v>1237</v>
      </c>
      <c r="N90" s="198" t="s">
        <v>1238</v>
      </c>
      <c r="O90" s="199" t="s">
        <v>1239</v>
      </c>
      <c r="P90" s="226"/>
      <c r="AD90" s="197" t="s">
        <v>1231</v>
      </c>
      <c r="AE90" s="198" t="s">
        <v>1232</v>
      </c>
      <c r="AF90" s="198" t="s">
        <v>1233</v>
      </c>
      <c r="AG90" s="198" t="s">
        <v>1234</v>
      </c>
      <c r="AH90" s="198" t="s">
        <v>1235</v>
      </c>
      <c r="AI90" s="198" t="s">
        <v>1236</v>
      </c>
      <c r="AJ90" s="198" t="s">
        <v>1237</v>
      </c>
      <c r="AK90" s="198" t="s">
        <v>1238</v>
      </c>
      <c r="AL90" s="199" t="s">
        <v>1239</v>
      </c>
      <c r="AM90" s="226"/>
    </row>
    <row r="91" spans="1:53" ht="16.899999999999999" customHeight="1" x14ac:dyDescent="0.2">
      <c r="A91" s="173" t="s">
        <v>1422</v>
      </c>
      <c r="B91" s="173"/>
      <c r="C91" s="173" t="s">
        <v>1423</v>
      </c>
      <c r="D91" s="174" t="s">
        <v>1424</v>
      </c>
      <c r="E91" s="174" t="s">
        <v>1425</v>
      </c>
      <c r="F91" s="221"/>
      <c r="G91" s="200">
        <f>$K$91*G35</f>
        <v>140.5</v>
      </c>
      <c r="H91" s="200">
        <f>$K$91*H35</f>
        <v>168.6</v>
      </c>
      <c r="I91" s="200">
        <f>$K$91*I35</f>
        <v>196.70000000000002</v>
      </c>
      <c r="J91" s="200">
        <f>$K$91*J35</f>
        <v>224.79999999999998</v>
      </c>
      <c r="K91" s="201">
        <v>252.9</v>
      </c>
      <c r="L91" s="200">
        <f>$K$91*L35</f>
        <v>309.10000000000002</v>
      </c>
      <c r="M91" s="200">
        <f>$K$91*M35</f>
        <v>365.3</v>
      </c>
      <c r="N91" s="200">
        <f>$K$91*N35</f>
        <v>421.5</v>
      </c>
      <c r="O91" s="200">
        <f>$K$91*O35</f>
        <v>505.8</v>
      </c>
      <c r="P91" s="47"/>
      <c r="AD91" s="200">
        <f>$AH$91*AD35</f>
        <v>154.4</v>
      </c>
      <c r="AE91" s="200">
        <f>$AH$91*AE35</f>
        <v>185.28</v>
      </c>
      <c r="AF91" s="200">
        <f>$AH$91*AF35</f>
        <v>216.16000000000003</v>
      </c>
      <c r="AG91" s="200">
        <f>$AH$91*AG35</f>
        <v>247.04</v>
      </c>
      <c r="AH91" s="202">
        <v>277.92</v>
      </c>
      <c r="AI91" s="200">
        <f>$AH$91*AI35</f>
        <v>339.68000000000006</v>
      </c>
      <c r="AJ91" s="200">
        <f>$AH$91*AJ35</f>
        <v>401.44</v>
      </c>
      <c r="AK91" s="200">
        <f>$AH$91*AK35</f>
        <v>463.20000000000005</v>
      </c>
      <c r="AL91" s="200">
        <f>$AH$91*AL35</f>
        <v>555.84</v>
      </c>
      <c r="AM91" s="47"/>
      <c r="BA91" s="439" t="s">
        <v>1426</v>
      </c>
    </row>
    <row r="92" spans="1:53" ht="16.899999999999999" customHeight="1" x14ac:dyDescent="0.2">
      <c r="A92" s="223"/>
      <c r="B92" s="223"/>
      <c r="C92" s="223"/>
      <c r="D92" s="224"/>
      <c r="E92" s="224"/>
      <c r="G92" s="223"/>
      <c r="H92" s="223"/>
      <c r="I92" s="223"/>
      <c r="J92" s="223"/>
      <c r="K92" s="223"/>
      <c r="L92" s="223"/>
      <c r="M92" s="223"/>
      <c r="N92" s="223"/>
      <c r="O92" s="223"/>
      <c r="AD92" s="223"/>
      <c r="AE92" s="223"/>
      <c r="AF92" s="223"/>
      <c r="AG92" s="223"/>
      <c r="AH92" s="223"/>
      <c r="AI92" s="223"/>
      <c r="AJ92" s="223"/>
      <c r="AK92" s="223"/>
      <c r="AL92" s="223"/>
    </row>
    <row r="93" spans="1:53" ht="45" customHeight="1" x14ac:dyDescent="0.2">
      <c r="A93" s="519" t="s">
        <v>1427</v>
      </c>
      <c r="B93" s="520"/>
      <c r="C93" s="520"/>
      <c r="D93" s="520"/>
      <c r="E93" s="521"/>
      <c r="F93" s="225"/>
      <c r="G93" s="197" t="s">
        <v>1231</v>
      </c>
      <c r="H93" s="198" t="s">
        <v>1232</v>
      </c>
      <c r="I93" s="198" t="s">
        <v>1233</v>
      </c>
      <c r="J93" s="198" t="s">
        <v>1234</v>
      </c>
      <c r="K93" s="198" t="s">
        <v>1235</v>
      </c>
      <c r="L93" s="198" t="s">
        <v>1236</v>
      </c>
      <c r="M93" s="198" t="s">
        <v>1237</v>
      </c>
      <c r="N93" s="198" t="s">
        <v>1238</v>
      </c>
      <c r="O93" s="198" t="s">
        <v>1239</v>
      </c>
      <c r="P93" s="198" t="s">
        <v>1240</v>
      </c>
      <c r="Q93" s="199" t="s">
        <v>1241</v>
      </c>
      <c r="R93" s="226"/>
      <c r="AD93" s="197" t="s">
        <v>1231</v>
      </c>
      <c r="AE93" s="198" t="s">
        <v>1232</v>
      </c>
      <c r="AF93" s="198" t="s">
        <v>1233</v>
      </c>
      <c r="AG93" s="198" t="s">
        <v>1234</v>
      </c>
      <c r="AH93" s="198" t="s">
        <v>1235</v>
      </c>
      <c r="AI93" s="198" t="s">
        <v>1236</v>
      </c>
      <c r="AJ93" s="198" t="s">
        <v>1237</v>
      </c>
      <c r="AK93" s="198" t="s">
        <v>1238</v>
      </c>
      <c r="AL93" s="198" t="s">
        <v>1239</v>
      </c>
      <c r="AM93" s="198" t="s">
        <v>1240</v>
      </c>
      <c r="AN93" s="199" t="s">
        <v>1241</v>
      </c>
      <c r="AO93" s="226"/>
    </row>
    <row r="94" spans="1:53" ht="16.899999999999999" customHeight="1" x14ac:dyDescent="0.2">
      <c r="A94" s="173" t="s">
        <v>1428</v>
      </c>
      <c r="B94" s="173" t="s">
        <v>1429</v>
      </c>
      <c r="C94" s="173" t="s">
        <v>1318</v>
      </c>
      <c r="D94" s="174" t="s">
        <v>1430</v>
      </c>
      <c r="E94" s="174" t="s">
        <v>190</v>
      </c>
      <c r="F94" s="221"/>
      <c r="G94" s="193">
        <f t="shared" ref="G94:O94" si="94">$K$91*G73</f>
        <v>32455.500000000004</v>
      </c>
      <c r="H94" s="193">
        <f t="shared" si="94"/>
        <v>17599523.199960001</v>
      </c>
      <c r="I94" s="193">
        <f t="shared" si="94"/>
        <v>41376864.830490008</v>
      </c>
      <c r="J94" s="193">
        <f t="shared" si="94"/>
        <v>42213465.985600002</v>
      </c>
      <c r="K94" s="193">
        <f t="shared" si="94"/>
        <v>50902789.673700005</v>
      </c>
      <c r="L94" s="193">
        <f t="shared" si="94"/>
        <v>72858715.513100013</v>
      </c>
      <c r="M94" s="193">
        <f t="shared" si="94"/>
        <v>58391551.615670003</v>
      </c>
      <c r="N94" s="193">
        <f t="shared" si="94"/>
        <v>44688800.633700006</v>
      </c>
      <c r="O94" s="193">
        <f t="shared" si="94"/>
        <v>5218667.0665199999</v>
      </c>
      <c r="P94" s="193">
        <f t="shared" ref="P94:P107" si="95">SUM(G94:O94)</f>
        <v>333282834.01874006</v>
      </c>
      <c r="Q94" s="194">
        <f t="shared" ref="Q94:Q108" si="96">IFERROR(P94/$P$108,"")</f>
        <v>0.61524049538885073</v>
      </c>
      <c r="R94" s="47"/>
      <c r="AD94" s="193">
        <f t="shared" ref="AD94:AL94" si="97">$AH$91*AD73</f>
        <v>35987.397600000004</v>
      </c>
      <c r="AE94" s="193">
        <f t="shared" si="97"/>
        <v>19514752.162271999</v>
      </c>
      <c r="AF94" s="193">
        <f t="shared" si="97"/>
        <v>45879610.123424008</v>
      </c>
      <c r="AG94" s="193">
        <f t="shared" si="97"/>
        <v>46807252.530815996</v>
      </c>
      <c r="AH94" s="193">
        <f t="shared" si="97"/>
        <v>56442172.548384003</v>
      </c>
      <c r="AI94" s="193">
        <f t="shared" si="97"/>
        <v>80787403.153072014</v>
      </c>
      <c r="AJ94" s="193">
        <f t="shared" si="97"/>
        <v>64745882.359808005</v>
      </c>
      <c r="AK94" s="193">
        <f t="shared" si="97"/>
        <v>49551959.981520005</v>
      </c>
      <c r="AL94" s="193">
        <f t="shared" si="97"/>
        <v>5786576.9334720001</v>
      </c>
      <c r="AM94" s="193">
        <f t="shared" ref="AM94:AM107" si="98">SUM(AD94:AL94)</f>
        <v>369551597.19036806</v>
      </c>
      <c r="AN94" s="194">
        <f t="shared" ref="AN94:AN108" si="99">IFERROR(AM94/$AM$108,"")</f>
        <v>0.6152404952675623</v>
      </c>
      <c r="AO94" s="47"/>
      <c r="BA94" s="439" t="s">
        <v>1431</v>
      </c>
    </row>
    <row r="95" spans="1:53" ht="16.899999999999999" customHeight="1" x14ac:dyDescent="0.2">
      <c r="A95" s="10" t="s">
        <v>1432</v>
      </c>
      <c r="B95" s="10" t="s">
        <v>1244</v>
      </c>
      <c r="C95" s="10" t="s">
        <v>1253</v>
      </c>
      <c r="D95" s="180" t="s">
        <v>1430</v>
      </c>
      <c r="E95" s="180" t="s">
        <v>190</v>
      </c>
      <c r="F95" s="221"/>
      <c r="G95" s="177">
        <f t="shared" ref="G95:O95" si="100">$K$91*G74</f>
        <v>0</v>
      </c>
      <c r="H95" s="177">
        <f t="shared" si="100"/>
        <v>362932.77731999999</v>
      </c>
      <c r="I95" s="177">
        <f t="shared" si="100"/>
        <v>523404.61628000002</v>
      </c>
      <c r="J95" s="177">
        <f t="shared" si="100"/>
        <v>678952.80695999996</v>
      </c>
      <c r="K95" s="177">
        <f t="shared" si="100"/>
        <v>727373.93454000005</v>
      </c>
      <c r="L95" s="177">
        <f t="shared" si="100"/>
        <v>946923.30622999999</v>
      </c>
      <c r="M95" s="177">
        <f t="shared" si="100"/>
        <v>612466.21747999999</v>
      </c>
      <c r="N95" s="177">
        <f t="shared" si="100"/>
        <v>495390.34095000004</v>
      </c>
      <c r="O95" s="177">
        <f t="shared" si="100"/>
        <v>130668.16968000001</v>
      </c>
      <c r="P95" s="177">
        <f t="shared" si="95"/>
        <v>4478112.1694400003</v>
      </c>
      <c r="Q95" s="178">
        <f t="shared" si="96"/>
        <v>8.2666002215349317E-3</v>
      </c>
      <c r="R95" s="47"/>
      <c r="AD95" s="177">
        <f t="shared" ref="AD95:AL95" si="101">$AH$91*AD74</f>
        <v>0</v>
      </c>
      <c r="AE95" s="177">
        <f t="shared" si="101"/>
        <v>402428.122944</v>
      </c>
      <c r="AF95" s="177">
        <f t="shared" si="101"/>
        <v>580362.94747200003</v>
      </c>
      <c r="AG95" s="177">
        <f t="shared" si="101"/>
        <v>752838.34240000008</v>
      </c>
      <c r="AH95" s="177">
        <f t="shared" si="101"/>
        <v>806528.78697600006</v>
      </c>
      <c r="AI95" s="177">
        <f t="shared" si="101"/>
        <v>1049970.1398560002</v>
      </c>
      <c r="AJ95" s="177">
        <f t="shared" si="101"/>
        <v>679116.48958399997</v>
      </c>
      <c r="AK95" s="177">
        <f t="shared" si="101"/>
        <v>549300.12552000012</v>
      </c>
      <c r="AL95" s="177">
        <f t="shared" si="101"/>
        <v>144887.86684800001</v>
      </c>
      <c r="AM95" s="177">
        <f t="shared" si="98"/>
        <v>4965432.8216000013</v>
      </c>
      <c r="AN95" s="178">
        <f t="shared" si="99"/>
        <v>8.2666003113099715E-3</v>
      </c>
      <c r="AO95" s="47"/>
      <c r="BA95" s="439" t="s">
        <v>1433</v>
      </c>
    </row>
    <row r="96" spans="1:53" ht="16.899999999999999" customHeight="1" x14ac:dyDescent="0.2">
      <c r="A96" s="10" t="s">
        <v>1434</v>
      </c>
      <c r="B96" s="10" t="s">
        <v>1244</v>
      </c>
      <c r="C96" s="10" t="s">
        <v>1256</v>
      </c>
      <c r="D96" s="180" t="s">
        <v>1430</v>
      </c>
      <c r="E96" s="180" t="s">
        <v>190</v>
      </c>
      <c r="F96" s="221"/>
      <c r="G96" s="177">
        <f t="shared" ref="G96:O96" si="102">$K$91*G75</f>
        <v>0</v>
      </c>
      <c r="H96" s="177">
        <f t="shared" si="102"/>
        <v>1419919.4083799999</v>
      </c>
      <c r="I96" s="177">
        <f t="shared" si="102"/>
        <v>1611443.3096999999</v>
      </c>
      <c r="J96" s="177">
        <f t="shared" si="102"/>
        <v>1258665.63072</v>
      </c>
      <c r="K96" s="177">
        <f t="shared" si="102"/>
        <v>1178816.7718799999</v>
      </c>
      <c r="L96" s="177">
        <f t="shared" si="102"/>
        <v>1116511.05214</v>
      </c>
      <c r="M96" s="177">
        <f t="shared" si="102"/>
        <v>639054.39532999997</v>
      </c>
      <c r="N96" s="177">
        <f t="shared" si="102"/>
        <v>487863.02535000001</v>
      </c>
      <c r="O96" s="177">
        <f t="shared" si="102"/>
        <v>113304.71322000001</v>
      </c>
      <c r="P96" s="177">
        <f t="shared" si="95"/>
        <v>7825578.3067199998</v>
      </c>
      <c r="Q96" s="178">
        <f t="shared" si="96"/>
        <v>1.4446026565712462E-2</v>
      </c>
      <c r="R96" s="47"/>
      <c r="AD96" s="177">
        <f t="shared" ref="AD96:AL96" si="103">$AH$91*AD75</f>
        <v>0</v>
      </c>
      <c r="AE96" s="177">
        <f t="shared" si="103"/>
        <v>1574438.978016</v>
      </c>
      <c r="AF96" s="177">
        <f t="shared" si="103"/>
        <v>1786805.0612160002</v>
      </c>
      <c r="AG96" s="177">
        <f t="shared" si="103"/>
        <v>1395637.114112</v>
      </c>
      <c r="AH96" s="177">
        <f t="shared" si="103"/>
        <v>1307098.89216</v>
      </c>
      <c r="AI96" s="177">
        <f t="shared" si="103"/>
        <v>1238012.9116960003</v>
      </c>
      <c r="AJ96" s="177">
        <f t="shared" si="103"/>
        <v>708598.08260800003</v>
      </c>
      <c r="AK96" s="177">
        <f t="shared" si="103"/>
        <v>540953.63208000013</v>
      </c>
      <c r="AL96" s="177">
        <f t="shared" si="103"/>
        <v>125634.84768000001</v>
      </c>
      <c r="AM96" s="177">
        <f t="shared" si="98"/>
        <v>8677179.5195680019</v>
      </c>
      <c r="AN96" s="178">
        <f t="shared" si="99"/>
        <v>1.4446026659694028E-2</v>
      </c>
      <c r="AO96" s="47"/>
      <c r="BA96" s="439" t="s">
        <v>1435</v>
      </c>
    </row>
    <row r="97" spans="1:53" ht="16.899999999999999" customHeight="1" x14ac:dyDescent="0.2">
      <c r="A97" s="10" t="s">
        <v>1436</v>
      </c>
      <c r="B97" s="10" t="s">
        <v>1429</v>
      </c>
      <c r="C97" s="10" t="s">
        <v>1326</v>
      </c>
      <c r="D97" s="180" t="s">
        <v>1430</v>
      </c>
      <c r="E97" s="180" t="s">
        <v>190</v>
      </c>
      <c r="F97" s="221"/>
      <c r="G97" s="177">
        <f t="shared" ref="G97:O97" si="104">$K$91*G76</f>
        <v>4876.7096185</v>
      </c>
      <c r="H97" s="177">
        <f t="shared" si="104"/>
        <v>4231074.0756522007</v>
      </c>
      <c r="I97" s="177">
        <f t="shared" si="104"/>
        <v>4294282.6646902012</v>
      </c>
      <c r="J97" s="177">
        <f t="shared" si="104"/>
        <v>2623985.377936</v>
      </c>
      <c r="K97" s="177">
        <f t="shared" si="104"/>
        <v>1573448.1666237002</v>
      </c>
      <c r="L97" s="177">
        <f t="shared" si="104"/>
        <v>1248162.8675747004</v>
      </c>
      <c r="M97" s="177">
        <f t="shared" si="104"/>
        <v>583296.74836810015</v>
      </c>
      <c r="N97" s="177">
        <f t="shared" si="104"/>
        <v>247237.26678450004</v>
      </c>
      <c r="O97" s="177">
        <f t="shared" si="104"/>
        <v>15075.149988600002</v>
      </c>
      <c r="P97" s="177">
        <f t="shared" si="95"/>
        <v>14821439.027236503</v>
      </c>
      <c r="Q97" s="178">
        <f t="shared" si="96"/>
        <v>2.7360393511835942E-2</v>
      </c>
      <c r="R97" s="47"/>
      <c r="AD97" s="177">
        <f t="shared" ref="AD97:AL97" si="105">$AH$91*AD76</f>
        <v>5407.4034392000003</v>
      </c>
      <c r="AE97" s="177">
        <f t="shared" si="105"/>
        <v>4691511.3067891207</v>
      </c>
      <c r="AF97" s="177">
        <f t="shared" si="105"/>
        <v>4761598.4187676795</v>
      </c>
      <c r="AG97" s="177">
        <f t="shared" si="105"/>
        <v>2909534.7461299198</v>
      </c>
      <c r="AH97" s="177">
        <f t="shared" si="105"/>
        <v>1744675.1557243203</v>
      </c>
      <c r="AI97" s="177">
        <f t="shared" si="105"/>
        <v>1383991.4260216004</v>
      </c>
      <c r="AJ97" s="177">
        <f t="shared" si="105"/>
        <v>646772.7365444802</v>
      </c>
      <c r="AK97" s="177">
        <f t="shared" si="105"/>
        <v>274142.31635280006</v>
      </c>
      <c r="AL97" s="177">
        <f t="shared" si="105"/>
        <v>16715.649588480002</v>
      </c>
      <c r="AM97" s="177">
        <f t="shared" si="98"/>
        <v>16434349.1593576</v>
      </c>
      <c r="AN97" s="178">
        <f t="shared" si="99"/>
        <v>2.7360393495998531E-2</v>
      </c>
      <c r="AO97" s="47"/>
      <c r="BA97" s="439" t="s">
        <v>1437</v>
      </c>
    </row>
    <row r="98" spans="1:53" ht="16.899999999999999" customHeight="1" x14ac:dyDescent="0.2">
      <c r="A98" s="10" t="s">
        <v>1438</v>
      </c>
      <c r="B98" s="10" t="s">
        <v>1429</v>
      </c>
      <c r="C98" s="10" t="s">
        <v>1329</v>
      </c>
      <c r="D98" s="180" t="s">
        <v>1430</v>
      </c>
      <c r="E98" s="180" t="s">
        <v>190</v>
      </c>
      <c r="F98" s="221"/>
      <c r="G98" s="177">
        <f t="shared" ref="G98:O98" si="106">$K$91*G77</f>
        <v>7160.6379975</v>
      </c>
      <c r="H98" s="177">
        <f t="shared" si="106"/>
        <v>4980369.1449720003</v>
      </c>
      <c r="I98" s="177">
        <f t="shared" si="106"/>
        <v>4961903.8546350002</v>
      </c>
      <c r="J98" s="177">
        <f t="shared" si="106"/>
        <v>3082113.3828680003</v>
      </c>
      <c r="K98" s="177">
        <f t="shared" si="106"/>
        <v>1643472.6213554998</v>
      </c>
      <c r="L98" s="177">
        <f t="shared" si="106"/>
        <v>860312.86648450012</v>
      </c>
      <c r="M98" s="177">
        <f t="shared" si="106"/>
        <v>318700.05618100002</v>
      </c>
      <c r="N98" s="177">
        <f t="shared" si="106"/>
        <v>146460.32261250002</v>
      </c>
      <c r="O98" s="177">
        <f t="shared" si="106"/>
        <v>8401.9146120000005</v>
      </c>
      <c r="P98" s="177">
        <f t="shared" si="95"/>
        <v>16008894.801718002</v>
      </c>
      <c r="Q98" s="178">
        <f t="shared" si="96"/>
        <v>2.9552438238937821E-2</v>
      </c>
      <c r="R98" s="47"/>
      <c r="AD98" s="177">
        <f t="shared" ref="AD98:AL98" si="107">$AH$91*AD77</f>
        <v>7939.8810400000011</v>
      </c>
      <c r="AE98" s="177">
        <f t="shared" si="107"/>
        <v>5522346.7474032007</v>
      </c>
      <c r="AF98" s="177">
        <f t="shared" si="107"/>
        <v>5501872.0007159999</v>
      </c>
      <c r="AG98" s="177">
        <f t="shared" si="107"/>
        <v>3417517.5229312</v>
      </c>
      <c r="AH98" s="177">
        <f t="shared" si="107"/>
        <v>1822319.8669728001</v>
      </c>
      <c r="AI98" s="177">
        <f t="shared" si="107"/>
        <v>953934.50758320012</v>
      </c>
      <c r="AJ98" s="177">
        <f t="shared" si="107"/>
        <v>353381.86732160003</v>
      </c>
      <c r="AK98" s="177">
        <f t="shared" si="107"/>
        <v>162398.547636</v>
      </c>
      <c r="AL98" s="177">
        <f t="shared" si="107"/>
        <v>9316.2341376000004</v>
      </c>
      <c r="AM98" s="177">
        <f t="shared" si="98"/>
        <v>17751027.175741598</v>
      </c>
      <c r="AN98" s="178">
        <f t="shared" si="99"/>
        <v>2.9552438236345593E-2</v>
      </c>
      <c r="AO98" s="47"/>
      <c r="BA98" s="439" t="s">
        <v>1439</v>
      </c>
    </row>
    <row r="99" spans="1:53" ht="16.899999999999999" customHeight="1" x14ac:dyDescent="0.2">
      <c r="A99" s="10" t="s">
        <v>1440</v>
      </c>
      <c r="B99" s="10" t="s">
        <v>1266</v>
      </c>
      <c r="C99" s="10" t="s">
        <v>1288</v>
      </c>
      <c r="D99" s="180" t="s">
        <v>1430</v>
      </c>
      <c r="E99" s="180" t="s">
        <v>190</v>
      </c>
      <c r="F99" s="221"/>
      <c r="G99" s="177">
        <f t="shared" ref="G99:O99" si="108">$K$91*G78</f>
        <v>15700.875000000004</v>
      </c>
      <c r="H99" s="177">
        <f t="shared" si="108"/>
        <v>18838773.900000002</v>
      </c>
      <c r="I99" s="177">
        <f t="shared" si="108"/>
        <v>26602298.100000001</v>
      </c>
      <c r="J99" s="177">
        <f t="shared" si="108"/>
        <v>21694773.600000001</v>
      </c>
      <c r="K99" s="177">
        <f t="shared" si="108"/>
        <v>19773618.75</v>
      </c>
      <c r="L99" s="177">
        <f t="shared" si="108"/>
        <v>19546788.525000002</v>
      </c>
      <c r="M99" s="177">
        <f t="shared" si="108"/>
        <v>10625846.4</v>
      </c>
      <c r="N99" s="177">
        <f t="shared" si="108"/>
        <v>6509329.875</v>
      </c>
      <c r="O99" s="177">
        <f t="shared" si="108"/>
        <v>590647.95000000007</v>
      </c>
      <c r="P99" s="177">
        <f t="shared" si="95"/>
        <v>124197777.97500001</v>
      </c>
      <c r="Q99" s="178">
        <f t="shared" si="96"/>
        <v>0.22926924116120836</v>
      </c>
      <c r="R99" s="47"/>
      <c r="AD99" s="177">
        <f t="shared" ref="AD99:AL99" si="109">$AH$91*AD78</f>
        <v>17409.487800000006</v>
      </c>
      <c r="AE99" s="177">
        <f t="shared" si="109"/>
        <v>20888861.56848</v>
      </c>
      <c r="AF99" s="177">
        <f t="shared" si="109"/>
        <v>29497234.021920003</v>
      </c>
      <c r="AG99" s="177">
        <f t="shared" si="109"/>
        <v>24055659.083519999</v>
      </c>
      <c r="AH99" s="177">
        <f t="shared" si="109"/>
        <v>21925438.830000002</v>
      </c>
      <c r="AI99" s="177">
        <f t="shared" si="109"/>
        <v>21673924.310280006</v>
      </c>
      <c r="AJ99" s="177">
        <f t="shared" si="109"/>
        <v>11782180.50048</v>
      </c>
      <c r="AK99" s="177">
        <f t="shared" si="109"/>
        <v>7217693.2206000006</v>
      </c>
      <c r="AL99" s="177">
        <f t="shared" si="109"/>
        <v>654923.89943999995</v>
      </c>
      <c r="AM99" s="177">
        <f t="shared" si="98"/>
        <v>137713324.92251998</v>
      </c>
      <c r="AN99" s="178">
        <f t="shared" si="99"/>
        <v>0.22926924108686339</v>
      </c>
      <c r="AO99" s="47"/>
      <c r="BA99" s="439" t="s">
        <v>1441</v>
      </c>
    </row>
    <row r="100" spans="1:53" ht="16.899999999999999" customHeight="1" x14ac:dyDescent="0.2">
      <c r="A100" s="10" t="s">
        <v>1442</v>
      </c>
      <c r="B100" s="10" t="s">
        <v>1266</v>
      </c>
      <c r="C100" s="10" t="s">
        <v>1334</v>
      </c>
      <c r="D100" s="180" t="s">
        <v>1430</v>
      </c>
      <c r="E100" s="180" t="s">
        <v>190</v>
      </c>
      <c r="F100" s="221"/>
      <c r="G100" s="177">
        <f t="shared" ref="G100:O100" si="110">$K$91*G79</f>
        <v>773.69119488605429</v>
      </c>
      <c r="H100" s="177">
        <f t="shared" si="110"/>
        <v>1099900.6696875873</v>
      </c>
      <c r="I100" s="177">
        <f t="shared" si="110"/>
        <v>969590.73985998286</v>
      </c>
      <c r="J100" s="177">
        <f t="shared" si="110"/>
        <v>583244.79992484476</v>
      </c>
      <c r="K100" s="177">
        <f t="shared" si="110"/>
        <v>311963.98728361999</v>
      </c>
      <c r="L100" s="177">
        <f t="shared" si="110"/>
        <v>182944.52147482545</v>
      </c>
      <c r="M100" s="177">
        <f t="shared" si="110"/>
        <v>73996.227712464985</v>
      </c>
      <c r="N100" s="177">
        <f t="shared" si="110"/>
        <v>24348.312637935709</v>
      </c>
      <c r="O100" s="177">
        <f t="shared" si="110"/>
        <v>294.11045211818504</v>
      </c>
      <c r="P100" s="177">
        <f t="shared" si="95"/>
        <v>3247057.0602282658</v>
      </c>
      <c r="Q100" s="178">
        <f t="shared" si="96"/>
        <v>5.9940710723144358E-3</v>
      </c>
      <c r="R100" s="47"/>
      <c r="AD100" s="177">
        <f t="shared" ref="AD100:AL100" si="111">$AH$91*AD79</f>
        <v>857.88732406853512</v>
      </c>
      <c r="AE100" s="177">
        <f t="shared" si="111"/>
        <v>1219594.9169275071</v>
      </c>
      <c r="AF100" s="177">
        <f t="shared" si="111"/>
        <v>1075104.2943870651</v>
      </c>
      <c r="AG100" s="177">
        <f t="shared" si="111"/>
        <v>646715.11959391623</v>
      </c>
      <c r="AH100" s="177">
        <f t="shared" si="111"/>
        <v>345912.77468014829</v>
      </c>
      <c r="AI100" s="177">
        <f t="shared" si="111"/>
        <v>202853.05146605743</v>
      </c>
      <c r="AJ100" s="177">
        <f t="shared" si="111"/>
        <v>82048.711051430655</v>
      </c>
      <c r="AK100" s="177">
        <f t="shared" si="111"/>
        <v>26997.955653788016</v>
      </c>
      <c r="AL100" s="177">
        <f t="shared" si="111"/>
        <v>326.1187226505125</v>
      </c>
      <c r="AM100" s="177">
        <f t="shared" si="98"/>
        <v>3600410.8298066324</v>
      </c>
      <c r="AN100" s="178">
        <f t="shared" si="99"/>
        <v>5.9940710821927467E-3</v>
      </c>
      <c r="AO100" s="47"/>
      <c r="BA100" s="439" t="s">
        <v>1443</v>
      </c>
    </row>
    <row r="101" spans="1:53" ht="16.899999999999999" customHeight="1" x14ac:dyDescent="0.2">
      <c r="A101" s="10" t="s">
        <v>1444</v>
      </c>
      <c r="B101" s="10" t="s">
        <v>1266</v>
      </c>
      <c r="C101" s="10" t="s">
        <v>1337</v>
      </c>
      <c r="D101" s="180" t="s">
        <v>1430</v>
      </c>
      <c r="E101" s="180" t="s">
        <v>190</v>
      </c>
      <c r="F101" s="221"/>
      <c r="G101" s="177">
        <f t="shared" ref="G101:O101" si="112">$K$91*G80</f>
        <v>1815.0825531020778</v>
      </c>
      <c r="H101" s="177">
        <f t="shared" si="112"/>
        <v>1686137.9603475933</v>
      </c>
      <c r="I101" s="177">
        <f t="shared" si="112"/>
        <v>1546457.2411142266</v>
      </c>
      <c r="J101" s="177">
        <f t="shared" si="112"/>
        <v>919197.14598144684</v>
      </c>
      <c r="K101" s="177">
        <f t="shared" si="112"/>
        <v>483320.32960065483</v>
      </c>
      <c r="L101" s="177">
        <f t="shared" si="112"/>
        <v>432588.9551017523</v>
      </c>
      <c r="M101" s="177">
        <f t="shared" si="112"/>
        <v>155124.62679187904</v>
      </c>
      <c r="N101" s="177">
        <f t="shared" si="112"/>
        <v>49533.629048022391</v>
      </c>
      <c r="O101" s="177">
        <f t="shared" si="112"/>
        <v>2065.5518210304076</v>
      </c>
      <c r="P101" s="177">
        <f t="shared" si="95"/>
        <v>5276240.5223597083</v>
      </c>
      <c r="Q101" s="178">
        <f t="shared" si="96"/>
        <v>9.7399460801056072E-3</v>
      </c>
      <c r="R101" s="47"/>
      <c r="AD101" s="177">
        <f t="shared" ref="AD101:AL101" si="113">$AH$91*AD80</f>
        <v>2012.6069997133086</v>
      </c>
      <c r="AE101" s="177">
        <f t="shared" si="113"/>
        <v>1869628.1785722845</v>
      </c>
      <c r="AF101" s="177">
        <f t="shared" si="113"/>
        <v>1714747.0088750769</v>
      </c>
      <c r="AG101" s="177">
        <f t="shared" si="113"/>
        <v>1019226.7333894419</v>
      </c>
      <c r="AH101" s="177">
        <f t="shared" si="113"/>
        <v>535916.59001168516</v>
      </c>
      <c r="AI101" s="177">
        <f t="shared" si="113"/>
        <v>479664.48443212389</v>
      </c>
      <c r="AJ101" s="177">
        <f t="shared" si="113"/>
        <v>172005.73696899222</v>
      </c>
      <c r="AK101" s="177">
        <f t="shared" si="113"/>
        <v>54923.999880226329</v>
      </c>
      <c r="AL101" s="177">
        <f t="shared" si="113"/>
        <v>2290.3474412129763</v>
      </c>
      <c r="AM101" s="177">
        <f t="shared" si="98"/>
        <v>5850415.6865707571</v>
      </c>
      <c r="AN101" s="178">
        <f t="shared" si="99"/>
        <v>9.7399461181945143E-3</v>
      </c>
      <c r="AO101" s="47"/>
      <c r="BA101" s="439" t="s">
        <v>1445</v>
      </c>
    </row>
    <row r="102" spans="1:53" ht="16.899999999999999" customHeight="1" x14ac:dyDescent="0.2">
      <c r="A102" s="10" t="s">
        <v>1446</v>
      </c>
      <c r="B102" s="10" t="s">
        <v>1266</v>
      </c>
      <c r="C102" s="10" t="s">
        <v>1284</v>
      </c>
      <c r="D102" s="180" t="s">
        <v>1430</v>
      </c>
      <c r="E102" s="180" t="s">
        <v>190</v>
      </c>
      <c r="F102" s="221"/>
      <c r="G102" s="177">
        <f t="shared" ref="G102:O102" si="114">$K$91*G81</f>
        <v>12930.8620025</v>
      </c>
      <c r="H102" s="177">
        <f t="shared" si="114"/>
        <v>13200301.660533</v>
      </c>
      <c r="I102" s="177">
        <f t="shared" si="114"/>
        <v>10132409.0103145</v>
      </c>
      <c r="J102" s="177">
        <f t="shared" si="114"/>
        <v>5299597.874272</v>
      </c>
      <c r="K102" s="177">
        <f t="shared" si="114"/>
        <v>2208685.7203515</v>
      </c>
      <c r="L102" s="177">
        <f t="shared" si="114"/>
        <v>994123.08023600013</v>
      </c>
      <c r="M102" s="177">
        <f t="shared" si="114"/>
        <v>283165.15347250004</v>
      </c>
      <c r="N102" s="177">
        <f t="shared" si="114"/>
        <v>99183.826755000016</v>
      </c>
      <c r="O102" s="177">
        <f t="shared" si="114"/>
        <v>3762.5753880000002</v>
      </c>
      <c r="P102" s="177">
        <f t="shared" si="95"/>
        <v>32234159.763324995</v>
      </c>
      <c r="Q102" s="178">
        <f t="shared" si="96"/>
        <v>5.9504296042190742E-2</v>
      </c>
      <c r="R102" s="47"/>
      <c r="AD102" s="177">
        <f t="shared" ref="AD102:AL102" si="115">$AH$91*AD81</f>
        <v>14338.031760000002</v>
      </c>
      <c r="AE102" s="177">
        <f t="shared" si="115"/>
        <v>14636795.130047999</v>
      </c>
      <c r="AF102" s="177">
        <f t="shared" si="115"/>
        <v>11235045.887301601</v>
      </c>
      <c r="AG102" s="177">
        <f t="shared" si="115"/>
        <v>5876314.8174848007</v>
      </c>
      <c r="AH102" s="177">
        <f t="shared" si="115"/>
        <v>2449041.0159384003</v>
      </c>
      <c r="AI102" s="177">
        <f t="shared" si="115"/>
        <v>1102306.3120784003</v>
      </c>
      <c r="AJ102" s="177">
        <f t="shared" si="115"/>
        <v>313979.98335600004</v>
      </c>
      <c r="AK102" s="177">
        <f t="shared" si="115"/>
        <v>109977.29808000002</v>
      </c>
      <c r="AL102" s="177">
        <f t="shared" si="115"/>
        <v>4172.0294304000008</v>
      </c>
      <c r="AM102" s="177">
        <f t="shared" si="98"/>
        <v>35741970.505477592</v>
      </c>
      <c r="AN102" s="178">
        <f t="shared" si="99"/>
        <v>5.9504296024733234E-2</v>
      </c>
      <c r="AO102" s="47"/>
      <c r="BA102" s="439" t="s">
        <v>1447</v>
      </c>
    </row>
    <row r="103" spans="1:53" ht="16.899999999999999" customHeight="1" x14ac:dyDescent="0.2">
      <c r="A103" s="10" t="s">
        <v>1448</v>
      </c>
      <c r="B103" s="10" t="s">
        <v>1287</v>
      </c>
      <c r="C103" s="10" t="s">
        <v>1288</v>
      </c>
      <c r="D103" s="180" t="s">
        <v>1430</v>
      </c>
      <c r="E103" s="180" t="s">
        <v>190</v>
      </c>
      <c r="F103" s="221"/>
      <c r="G103" s="177">
        <f t="shared" ref="G103:O103" si="116">$K$91*G82</f>
        <v>70.25</v>
      </c>
      <c r="H103" s="177">
        <f t="shared" si="116"/>
        <v>76881.600000000006</v>
      </c>
      <c r="I103" s="177">
        <f t="shared" si="116"/>
        <v>62452.250000000007</v>
      </c>
      <c r="J103" s="177">
        <f t="shared" si="116"/>
        <v>46646</v>
      </c>
      <c r="K103" s="177">
        <f t="shared" si="116"/>
        <v>39073.050000000003</v>
      </c>
      <c r="L103" s="177">
        <f t="shared" si="116"/>
        <v>40646.65</v>
      </c>
      <c r="M103" s="177">
        <f t="shared" si="116"/>
        <v>25571</v>
      </c>
      <c r="N103" s="177">
        <f t="shared" si="116"/>
        <v>18124.5</v>
      </c>
      <c r="O103" s="177">
        <f t="shared" si="116"/>
        <v>4046.4</v>
      </c>
      <c r="P103" s="177">
        <f t="shared" si="95"/>
        <v>313511.70000000007</v>
      </c>
      <c r="Q103" s="178">
        <f t="shared" si="96"/>
        <v>5.7874295922290167E-4</v>
      </c>
      <c r="R103" s="47"/>
      <c r="AD103" s="177">
        <f t="shared" ref="AD103:AL103" si="117">$AH$91*AD82</f>
        <v>77.894799999999989</v>
      </c>
      <c r="AE103" s="177">
        <f t="shared" si="117"/>
        <v>85248.06912</v>
      </c>
      <c r="AF103" s="177">
        <f t="shared" si="117"/>
        <v>69248.477200000008</v>
      </c>
      <c r="AG103" s="177">
        <f t="shared" si="117"/>
        <v>51722.147200000007</v>
      </c>
      <c r="AH103" s="177">
        <f t="shared" si="117"/>
        <v>43325.087760000002</v>
      </c>
      <c r="AI103" s="177">
        <f t="shared" si="117"/>
        <v>45069.931280000012</v>
      </c>
      <c r="AJ103" s="177">
        <f t="shared" si="117"/>
        <v>28353.707199999997</v>
      </c>
      <c r="AK103" s="177">
        <f t="shared" si="117"/>
        <v>20096.858400000001</v>
      </c>
      <c r="AL103" s="177">
        <f t="shared" si="117"/>
        <v>4486.7404799999995</v>
      </c>
      <c r="AM103" s="177">
        <f t="shared" si="98"/>
        <v>347628.91344000003</v>
      </c>
      <c r="AN103" s="178">
        <f t="shared" si="99"/>
        <v>5.787429590352331E-4</v>
      </c>
      <c r="AO103" s="47"/>
      <c r="BA103" s="439" t="s">
        <v>1449</v>
      </c>
    </row>
    <row r="104" spans="1:53" ht="16.899999999999999" customHeight="1" x14ac:dyDescent="0.2">
      <c r="A104" s="10" t="s">
        <v>1450</v>
      </c>
      <c r="B104" s="10" t="s">
        <v>1287</v>
      </c>
      <c r="C104" s="10" t="s">
        <v>1291</v>
      </c>
      <c r="D104" s="180" t="s">
        <v>1430</v>
      </c>
      <c r="E104" s="180" t="s">
        <v>190</v>
      </c>
      <c r="F104" s="221"/>
      <c r="G104" s="177">
        <f t="shared" ref="G104:O104" si="118">$K$91*G83</f>
        <v>0</v>
      </c>
      <c r="H104" s="177">
        <f t="shared" si="118"/>
        <v>590.09999999999991</v>
      </c>
      <c r="I104" s="177">
        <f t="shared" si="118"/>
        <v>1278.55</v>
      </c>
      <c r="J104" s="177">
        <f t="shared" si="118"/>
        <v>1124</v>
      </c>
      <c r="K104" s="177">
        <f t="shared" si="118"/>
        <v>1138.05</v>
      </c>
      <c r="L104" s="177">
        <f t="shared" si="118"/>
        <v>1236.4000000000001</v>
      </c>
      <c r="M104" s="177">
        <f t="shared" si="118"/>
        <v>547.94999999999993</v>
      </c>
      <c r="N104" s="177">
        <f t="shared" si="118"/>
        <v>0</v>
      </c>
      <c r="O104" s="177">
        <f t="shared" si="118"/>
        <v>0</v>
      </c>
      <c r="P104" s="177">
        <f t="shared" si="95"/>
        <v>5915.05</v>
      </c>
      <c r="Q104" s="178">
        <f t="shared" si="96"/>
        <v>1.0919189111447591E-5</v>
      </c>
      <c r="R104" s="47"/>
      <c r="AD104" s="177">
        <f t="shared" ref="AD104:AL104" si="119">$AH$91*AD83</f>
        <v>0</v>
      </c>
      <c r="AE104" s="177">
        <f t="shared" si="119"/>
        <v>654.31631999999991</v>
      </c>
      <c r="AF104" s="177">
        <f t="shared" si="119"/>
        <v>1417.6853600000002</v>
      </c>
      <c r="AG104" s="177">
        <f t="shared" si="119"/>
        <v>1246.3167999999998</v>
      </c>
      <c r="AH104" s="177">
        <f t="shared" si="119"/>
        <v>1261.8957600000001</v>
      </c>
      <c r="AI104" s="177">
        <f t="shared" si="119"/>
        <v>1370.94848</v>
      </c>
      <c r="AJ104" s="177">
        <f t="shared" si="119"/>
        <v>607.57944000000009</v>
      </c>
      <c r="AK104" s="177">
        <f t="shared" si="119"/>
        <v>0</v>
      </c>
      <c r="AL104" s="177">
        <f t="shared" si="119"/>
        <v>0</v>
      </c>
      <c r="AM104" s="177">
        <f t="shared" si="98"/>
        <v>6558.7421600000007</v>
      </c>
      <c r="AN104" s="178">
        <f t="shared" si="99"/>
        <v>1.0919189107906836E-5</v>
      </c>
      <c r="AO104" s="47"/>
      <c r="BA104" s="439" t="s">
        <v>1451</v>
      </c>
    </row>
    <row r="105" spans="1:53" ht="16.899999999999999" customHeight="1" x14ac:dyDescent="0.2">
      <c r="A105" s="10" t="s">
        <v>1452</v>
      </c>
      <c r="B105" s="10" t="s">
        <v>1287</v>
      </c>
      <c r="C105" s="10" t="s">
        <v>1294</v>
      </c>
      <c r="D105" s="180" t="s">
        <v>1430</v>
      </c>
      <c r="E105" s="180" t="s">
        <v>190</v>
      </c>
      <c r="F105" s="221"/>
      <c r="G105" s="177">
        <f t="shared" ref="G105:O105" si="120">$K$91*G84</f>
        <v>70.25</v>
      </c>
      <c r="H105" s="177">
        <f t="shared" si="120"/>
        <v>2866.2</v>
      </c>
      <c r="I105" s="177">
        <f t="shared" si="120"/>
        <v>4720.8</v>
      </c>
      <c r="J105" s="177">
        <f t="shared" si="120"/>
        <v>5507.5999999999995</v>
      </c>
      <c r="K105" s="177">
        <f t="shared" si="120"/>
        <v>4172.8500000000004</v>
      </c>
      <c r="L105" s="177">
        <f t="shared" si="120"/>
        <v>1700.0500000000002</v>
      </c>
      <c r="M105" s="177">
        <f t="shared" si="120"/>
        <v>913.25</v>
      </c>
      <c r="N105" s="177">
        <f t="shared" si="120"/>
        <v>0</v>
      </c>
      <c r="O105" s="177">
        <f t="shared" si="120"/>
        <v>0</v>
      </c>
      <c r="P105" s="177">
        <f t="shared" si="95"/>
        <v>19950.999999999996</v>
      </c>
      <c r="Q105" s="178">
        <f t="shared" si="96"/>
        <v>3.6829568974478801E-5</v>
      </c>
      <c r="R105" s="47"/>
      <c r="AD105" s="177">
        <f t="shared" ref="AD105:AL105" si="121">$AH$91*AD84</f>
        <v>77.894799999999989</v>
      </c>
      <c r="AE105" s="177">
        <f t="shared" si="121"/>
        <v>3178.1078400000001</v>
      </c>
      <c r="AF105" s="177">
        <f t="shared" si="121"/>
        <v>5234.5305600000002</v>
      </c>
      <c r="AG105" s="177">
        <f t="shared" si="121"/>
        <v>6106.9523200000003</v>
      </c>
      <c r="AH105" s="177">
        <f t="shared" si="121"/>
        <v>4626.9511199999997</v>
      </c>
      <c r="AI105" s="177">
        <f t="shared" si="121"/>
        <v>1885.0541600000001</v>
      </c>
      <c r="AJ105" s="177">
        <f t="shared" si="121"/>
        <v>1012.6324</v>
      </c>
      <c r="AK105" s="177">
        <f t="shared" si="121"/>
        <v>0</v>
      </c>
      <c r="AL105" s="177">
        <f t="shared" si="121"/>
        <v>0</v>
      </c>
      <c r="AM105" s="177">
        <f t="shared" si="98"/>
        <v>22122.123199999998</v>
      </c>
      <c r="AN105" s="178">
        <f t="shared" si="99"/>
        <v>3.6829568962536118E-5</v>
      </c>
      <c r="AO105" s="47"/>
      <c r="BA105" s="439" t="s">
        <v>1453</v>
      </c>
    </row>
    <row r="106" spans="1:53" ht="16.899999999999999" customHeight="1" x14ac:dyDescent="0.2">
      <c r="A106" s="10" t="s">
        <v>1454</v>
      </c>
      <c r="B106" s="10" t="s">
        <v>1297</v>
      </c>
      <c r="C106" s="10" t="s">
        <v>1297</v>
      </c>
      <c r="D106" s="180" t="s">
        <v>1430</v>
      </c>
      <c r="E106" s="180" t="s">
        <v>190</v>
      </c>
      <c r="F106" s="221"/>
      <c r="G106" s="177">
        <f t="shared" ref="G106:O106" si="122">$K$91*G85</f>
        <v>0</v>
      </c>
      <c r="H106" s="177">
        <f t="shared" si="122"/>
        <v>0</v>
      </c>
      <c r="I106" s="177">
        <f t="shared" si="122"/>
        <v>0</v>
      </c>
      <c r="J106" s="177">
        <f t="shared" si="122"/>
        <v>0</v>
      </c>
      <c r="K106" s="177">
        <f t="shared" si="122"/>
        <v>0</v>
      </c>
      <c r="L106" s="177">
        <f t="shared" si="122"/>
        <v>0</v>
      </c>
      <c r="M106" s="177">
        <f t="shared" si="122"/>
        <v>0</v>
      </c>
      <c r="N106" s="177">
        <f t="shared" si="122"/>
        <v>0</v>
      </c>
      <c r="O106" s="177">
        <f t="shared" si="122"/>
        <v>0</v>
      </c>
      <c r="P106" s="177">
        <f t="shared" si="95"/>
        <v>0</v>
      </c>
      <c r="Q106" s="178">
        <f t="shared" si="96"/>
        <v>0</v>
      </c>
      <c r="R106" s="47"/>
      <c r="AD106" s="177">
        <f t="shared" ref="AD106:AL106" si="123">$AH$91*AD85</f>
        <v>0</v>
      </c>
      <c r="AE106" s="177">
        <f t="shared" si="123"/>
        <v>0</v>
      </c>
      <c r="AF106" s="177">
        <f t="shared" si="123"/>
        <v>0</v>
      </c>
      <c r="AG106" s="177">
        <f t="shared" si="123"/>
        <v>0</v>
      </c>
      <c r="AH106" s="177">
        <f t="shared" si="123"/>
        <v>0</v>
      </c>
      <c r="AI106" s="177">
        <f t="shared" si="123"/>
        <v>0</v>
      </c>
      <c r="AJ106" s="177">
        <f t="shared" si="123"/>
        <v>0</v>
      </c>
      <c r="AK106" s="177">
        <f t="shared" si="123"/>
        <v>0</v>
      </c>
      <c r="AL106" s="177">
        <f t="shared" si="123"/>
        <v>0</v>
      </c>
      <c r="AM106" s="177">
        <f t="shared" si="98"/>
        <v>0</v>
      </c>
      <c r="AN106" s="178">
        <f t="shared" si="99"/>
        <v>0</v>
      </c>
      <c r="AO106" s="47"/>
      <c r="BA106" s="439" t="s">
        <v>1455</v>
      </c>
    </row>
    <row r="107" spans="1:53" ht="16.899999999999999" customHeight="1" x14ac:dyDescent="0.2">
      <c r="A107" s="10" t="s">
        <v>1456</v>
      </c>
      <c r="B107" s="10" t="s">
        <v>1301</v>
      </c>
      <c r="C107" s="10" t="s">
        <v>1301</v>
      </c>
      <c r="D107" s="180" t="s">
        <v>1430</v>
      </c>
      <c r="E107" s="180" t="s">
        <v>190</v>
      </c>
      <c r="F107" s="221"/>
      <c r="G107" s="177">
        <f t="shared" ref="G107:O107" si="124">$K$91*G86</f>
        <v>0</v>
      </c>
      <c r="H107" s="177">
        <f t="shared" si="124"/>
        <v>0</v>
      </c>
      <c r="I107" s="177">
        <f t="shared" si="124"/>
        <v>0</v>
      </c>
      <c r="J107" s="177">
        <f t="shared" si="124"/>
        <v>0</v>
      </c>
      <c r="K107" s="177">
        <f t="shared" si="124"/>
        <v>0</v>
      </c>
      <c r="L107" s="177">
        <f t="shared" si="124"/>
        <v>0</v>
      </c>
      <c r="M107" s="177">
        <f t="shared" si="124"/>
        <v>0</v>
      </c>
      <c r="N107" s="177">
        <f t="shared" si="124"/>
        <v>0</v>
      </c>
      <c r="O107" s="177">
        <f t="shared" si="124"/>
        <v>0</v>
      </c>
      <c r="P107" s="177">
        <f t="shared" si="95"/>
        <v>0</v>
      </c>
      <c r="Q107" s="178">
        <f t="shared" si="96"/>
        <v>0</v>
      </c>
      <c r="R107" s="47"/>
      <c r="AD107" s="177">
        <f t="shared" ref="AD107:AL107" si="125">$AH$91*AD86</f>
        <v>0</v>
      </c>
      <c r="AE107" s="177">
        <f t="shared" si="125"/>
        <v>0</v>
      </c>
      <c r="AF107" s="177">
        <f t="shared" si="125"/>
        <v>0</v>
      </c>
      <c r="AG107" s="177">
        <f t="shared" si="125"/>
        <v>0</v>
      </c>
      <c r="AH107" s="177">
        <f t="shared" si="125"/>
        <v>0</v>
      </c>
      <c r="AI107" s="177">
        <f t="shared" si="125"/>
        <v>0</v>
      </c>
      <c r="AJ107" s="177">
        <f t="shared" si="125"/>
        <v>0</v>
      </c>
      <c r="AK107" s="177">
        <f t="shared" si="125"/>
        <v>0</v>
      </c>
      <c r="AL107" s="177">
        <f t="shared" si="125"/>
        <v>0</v>
      </c>
      <c r="AM107" s="177">
        <f t="shared" si="98"/>
        <v>0</v>
      </c>
      <c r="AN107" s="178">
        <f t="shared" si="99"/>
        <v>0</v>
      </c>
      <c r="AO107" s="47"/>
      <c r="BA107" s="439" t="s">
        <v>1457</v>
      </c>
    </row>
    <row r="108" spans="1:53" ht="16.899999999999999" customHeight="1" x14ac:dyDescent="0.2">
      <c r="A108" s="10" t="s">
        <v>1458</v>
      </c>
      <c r="B108" s="10"/>
      <c r="C108" s="10" t="s">
        <v>1459</v>
      </c>
      <c r="D108" s="180" t="s">
        <v>1430</v>
      </c>
      <c r="E108" s="180" t="s">
        <v>190</v>
      </c>
      <c r="F108" s="221"/>
      <c r="G108" s="177">
        <f t="shared" ref="G108:P108" si="126">SUM(G94:G107)</f>
        <v>75853.858366488144</v>
      </c>
      <c r="H108" s="177">
        <f t="shared" si="126"/>
        <v>63499270.696852386</v>
      </c>
      <c r="I108" s="177">
        <f t="shared" si="126"/>
        <v>92087105.967083916</v>
      </c>
      <c r="J108" s="177">
        <f t="shared" si="126"/>
        <v>78407274.204262286</v>
      </c>
      <c r="K108" s="177">
        <f t="shared" si="126"/>
        <v>78847873.905334964</v>
      </c>
      <c r="L108" s="177">
        <f t="shared" si="126"/>
        <v>98230653.787341803</v>
      </c>
      <c r="M108" s="177">
        <f t="shared" si="126"/>
        <v>71710233.641005948</v>
      </c>
      <c r="N108" s="177">
        <f t="shared" si="126"/>
        <v>52766271.732837953</v>
      </c>
      <c r="O108" s="177">
        <f t="shared" si="126"/>
        <v>6086933.6016817503</v>
      </c>
      <c r="P108" s="177">
        <f t="shared" si="126"/>
        <v>541711471.39476764</v>
      </c>
      <c r="Q108" s="178">
        <f t="shared" si="96"/>
        <v>1</v>
      </c>
      <c r="R108" s="47"/>
      <c r="AD108" s="177">
        <f t="shared" ref="AD108:AM108" si="127">SUM(AD94:AD107)</f>
        <v>84108.485562981834</v>
      </c>
      <c r="AE108" s="177">
        <f t="shared" si="127"/>
        <v>70409437.604732126</v>
      </c>
      <c r="AF108" s="177">
        <f t="shared" si="127"/>
        <v>102108280.45719942</v>
      </c>
      <c r="AG108" s="177">
        <f t="shared" si="127"/>
        <v>86939771.426697269</v>
      </c>
      <c r="AH108" s="177">
        <f t="shared" si="127"/>
        <v>87428318.395487368</v>
      </c>
      <c r="AI108" s="177">
        <f t="shared" si="127"/>
        <v>108920386.23040542</v>
      </c>
      <c r="AJ108" s="177">
        <f t="shared" si="127"/>
        <v>79513940.386762515</v>
      </c>
      <c r="AK108" s="177">
        <f t="shared" si="127"/>
        <v>58508443.93572282</v>
      </c>
      <c r="AL108" s="177">
        <f t="shared" si="127"/>
        <v>6749330.6672403431</v>
      </c>
      <c r="AM108" s="177">
        <f t="shared" si="127"/>
        <v>600662017.58981025</v>
      </c>
      <c r="AN108" s="178">
        <f t="shared" si="99"/>
        <v>1</v>
      </c>
      <c r="AO108" s="47"/>
      <c r="BA108" s="439" t="s">
        <v>1460</v>
      </c>
    </row>
    <row r="109" spans="1:53" ht="16.899999999999999" customHeight="1" x14ac:dyDescent="0.2">
      <c r="A109" s="10" t="s">
        <v>1461</v>
      </c>
      <c r="B109" s="10"/>
      <c r="C109" s="10" t="s">
        <v>1308</v>
      </c>
      <c r="D109" s="180" t="s">
        <v>1275</v>
      </c>
      <c r="E109" s="180" t="s">
        <v>190</v>
      </c>
      <c r="F109" s="221"/>
      <c r="G109" s="178">
        <f t="shared" ref="G109:P109" si="128">IFERROR(G108/$P$108,"")</f>
        <v>1.4002630989368563E-4</v>
      </c>
      <c r="H109" s="178">
        <f t="shared" si="128"/>
        <v>0.11721972682867154</v>
      </c>
      <c r="I109" s="178">
        <f t="shared" si="128"/>
        <v>0.1699929036577042</v>
      </c>
      <c r="J109" s="178">
        <f t="shared" si="128"/>
        <v>0.14473991847059051</v>
      </c>
      <c r="K109" s="178">
        <f t="shared" si="128"/>
        <v>0.14555326602614116</v>
      </c>
      <c r="L109" s="178">
        <f t="shared" si="128"/>
        <v>0.18133390000847341</v>
      </c>
      <c r="M109" s="178">
        <f t="shared" si="128"/>
        <v>0.13237717387887421</v>
      </c>
      <c r="N109" s="178">
        <f t="shared" si="128"/>
        <v>9.7406598381567192E-2</v>
      </c>
      <c r="O109" s="178">
        <f t="shared" si="128"/>
        <v>1.1236486438083842E-2</v>
      </c>
      <c r="P109" s="178">
        <f t="shared" si="128"/>
        <v>1</v>
      </c>
      <c r="Q109" s="222"/>
      <c r="AD109" s="178">
        <f t="shared" ref="AD109:AM109" si="129">IFERROR(AD108/$AM$108,"")</f>
        <v>1.4002630947179215E-4</v>
      </c>
      <c r="AE109" s="178">
        <f t="shared" si="129"/>
        <v>0.11721972680618946</v>
      </c>
      <c r="AF109" s="178">
        <f t="shared" si="129"/>
        <v>0.16999290360811323</v>
      </c>
      <c r="AG109" s="178">
        <f t="shared" si="129"/>
        <v>0.14473991842458747</v>
      </c>
      <c r="AH109" s="178">
        <f t="shared" si="129"/>
        <v>0.14555326595528439</v>
      </c>
      <c r="AI109" s="178">
        <f t="shared" si="129"/>
        <v>0.18133389999829608</v>
      </c>
      <c r="AJ109" s="178">
        <f t="shared" si="129"/>
        <v>0.13237717394853202</v>
      </c>
      <c r="AK109" s="178">
        <f t="shared" si="129"/>
        <v>9.7406598423671276E-2</v>
      </c>
      <c r="AL109" s="178">
        <f t="shared" si="129"/>
        <v>1.123648652585427E-2</v>
      </c>
      <c r="AM109" s="178">
        <f t="shared" si="129"/>
        <v>1</v>
      </c>
      <c r="AN109" s="222"/>
      <c r="BA109" s="439" t="s">
        <v>1462</v>
      </c>
    </row>
    <row r="110" spans="1:53" ht="16.899999999999999" customHeight="1" x14ac:dyDescent="0.2">
      <c r="A110" s="10" t="s">
        <v>1463</v>
      </c>
      <c r="B110" s="10"/>
      <c r="C110" s="10" t="s">
        <v>1464</v>
      </c>
      <c r="D110" s="180" t="s">
        <v>1424</v>
      </c>
      <c r="E110" s="180" t="s">
        <v>190</v>
      </c>
      <c r="F110" s="221"/>
      <c r="G110" s="177">
        <f t="shared" ref="G110:P110" si="130">(G52-G87)*$K$91</f>
        <v>20107.64163351187</v>
      </c>
      <c r="H110" s="177">
        <f t="shared" si="130"/>
        <v>27790716.68628763</v>
      </c>
      <c r="I110" s="177">
        <f t="shared" si="130"/>
        <v>26108547.152586099</v>
      </c>
      <c r="J110" s="177">
        <f t="shared" si="130"/>
        <v>18458371.395737723</v>
      </c>
      <c r="K110" s="177">
        <f t="shared" si="130"/>
        <v>14297219.319955032</v>
      </c>
      <c r="L110" s="177">
        <f t="shared" si="130"/>
        <v>13642527.381748203</v>
      </c>
      <c r="M110" s="177">
        <f t="shared" si="130"/>
        <v>7010089.8224640414</v>
      </c>
      <c r="N110" s="177">
        <f t="shared" si="130"/>
        <v>4050242.2671620431</v>
      </c>
      <c r="O110" s="177">
        <f t="shared" si="130"/>
        <v>597213.34773825132</v>
      </c>
      <c r="P110" s="177">
        <f t="shared" si="130"/>
        <v>111975035.01531287</v>
      </c>
      <c r="Q110" s="47"/>
      <c r="AD110" s="177">
        <f t="shared" ref="AD110:AM110" si="131">(AD52-AD87)*$AH$91</f>
        <v>22295.811237018159</v>
      </c>
      <c r="AE110" s="177">
        <f t="shared" si="131"/>
        <v>30814979.626947884</v>
      </c>
      <c r="AF110" s="177">
        <f t="shared" si="131"/>
        <v>28949751.722336601</v>
      </c>
      <c r="AG110" s="177">
        <f t="shared" si="131"/>
        <v>20467062.607222714</v>
      </c>
      <c r="AH110" s="177">
        <f t="shared" si="131"/>
        <v>15853082.398752667</v>
      </c>
      <c r="AI110" s="177">
        <f t="shared" si="131"/>
        <v>15127145.085434632</v>
      </c>
      <c r="AJ110" s="177">
        <f t="shared" si="131"/>
        <v>7772947.2685815478</v>
      </c>
      <c r="AK110" s="177">
        <f t="shared" si="131"/>
        <v>4491000.8753971886</v>
      </c>
      <c r="AL110" s="177">
        <f t="shared" si="131"/>
        <v>662203.7631596569</v>
      </c>
      <c r="AM110" s="177">
        <f t="shared" si="131"/>
        <v>124160469.15906964</v>
      </c>
      <c r="AN110" s="47"/>
      <c r="BA110" s="439" t="s">
        <v>1465</v>
      </c>
    </row>
    <row r="111" spans="1:53" ht="16.899999999999999" customHeight="1" x14ac:dyDescent="0.2">
      <c r="A111" s="40"/>
      <c r="B111" s="40"/>
      <c r="C111" s="40"/>
      <c r="D111" s="232"/>
      <c r="E111" s="232"/>
      <c r="G111" s="40"/>
      <c r="H111" s="40"/>
      <c r="I111" s="40"/>
      <c r="J111" s="40"/>
      <c r="K111" s="40"/>
      <c r="L111" s="40"/>
      <c r="M111" s="40"/>
      <c r="N111" s="40"/>
      <c r="O111" s="40"/>
      <c r="P111" s="40"/>
      <c r="AD111" s="40"/>
      <c r="AE111" s="40"/>
      <c r="AF111" s="40"/>
      <c r="AG111" s="40"/>
      <c r="AH111" s="40"/>
      <c r="AI111" s="40"/>
      <c r="AJ111" s="40"/>
      <c r="AK111" s="40"/>
      <c r="AL111" s="40"/>
      <c r="AM111" s="40"/>
    </row>
    <row r="112" spans="1:53" ht="16.899999999999999" customHeight="1" x14ac:dyDescent="0.2"/>
    <row r="113" spans="2:8" ht="17.649999999999999" customHeight="1" x14ac:dyDescent="0.2"/>
    <row r="114" spans="2:8" ht="16.899999999999999" customHeight="1" x14ac:dyDescent="0.2">
      <c r="B114" s="440"/>
      <c r="C114" s="441"/>
      <c r="D114" s="441"/>
      <c r="E114" s="441"/>
      <c r="F114" s="441"/>
      <c r="G114" s="442"/>
      <c r="H114" s="226"/>
    </row>
    <row r="115" spans="2:8" ht="16.899999999999999" customHeight="1" x14ac:dyDescent="0.2">
      <c r="B115" s="443" t="s">
        <v>148</v>
      </c>
      <c r="E115" s="444" t="s">
        <v>149</v>
      </c>
      <c r="H115" s="226"/>
    </row>
    <row r="116" spans="2:8" ht="16.899999999999999" customHeight="1" x14ac:dyDescent="0.2">
      <c r="B116" s="445"/>
      <c r="H116" s="226"/>
    </row>
    <row r="117" spans="2:8" ht="16.899999999999999" customHeight="1" x14ac:dyDescent="0.2">
      <c r="B117" s="443" t="s">
        <v>150</v>
      </c>
      <c r="E117" s="444" t="s">
        <v>151</v>
      </c>
      <c r="H117" s="226"/>
    </row>
    <row r="118" spans="2:8" ht="16.899999999999999" customHeight="1" x14ac:dyDescent="0.2">
      <c r="B118" s="445"/>
      <c r="H118" s="226"/>
    </row>
    <row r="119" spans="2:8" ht="16.899999999999999" customHeight="1" x14ac:dyDescent="0.2">
      <c r="B119" s="443" t="s">
        <v>1466</v>
      </c>
      <c r="E119" s="444" t="s">
        <v>151</v>
      </c>
      <c r="F119" s="386">
        <v>45821</v>
      </c>
      <c r="H119" s="226"/>
    </row>
    <row r="120" spans="2:8" ht="17.649999999999999" customHeight="1" x14ac:dyDescent="0.2">
      <c r="B120" s="446"/>
      <c r="H120" s="226"/>
    </row>
    <row r="121" spans="2:8" ht="16.899999999999999" customHeight="1" x14ac:dyDescent="0.2">
      <c r="B121" s="233"/>
      <c r="C121" s="233"/>
      <c r="D121" s="234"/>
      <c r="E121" s="234"/>
      <c r="F121" s="233"/>
      <c r="G121" s="233"/>
    </row>
    <row r="122" spans="2:8" ht="16.899999999999999" customHeight="1" x14ac:dyDescent="0.2"/>
    <row r="123" spans="2:8" ht="16.899999999999999" customHeight="1" x14ac:dyDescent="0.2"/>
    <row r="124" spans="2:8" ht="16.899999999999999" customHeight="1" x14ac:dyDescent="0.2"/>
    <row r="125" spans="2:8" ht="16.899999999999999" customHeight="1" x14ac:dyDescent="0.2"/>
    <row r="126" spans="2:8" ht="16.899999999999999" customHeight="1" x14ac:dyDescent="0.2"/>
    <row r="127" spans="2:8" ht="16.899999999999999" customHeight="1" x14ac:dyDescent="0.2"/>
    <row r="128" spans="2:8" ht="16.899999999999999" customHeight="1" x14ac:dyDescent="0.2"/>
    <row r="129" ht="16.899999999999999" customHeight="1" x14ac:dyDescent="0.2"/>
    <row r="130" ht="16.899999999999999" customHeight="1" x14ac:dyDescent="0.2"/>
    <row r="131" ht="16.899999999999999" customHeight="1" x14ac:dyDescent="0.2"/>
    <row r="132" ht="16.899999999999999" customHeight="1" x14ac:dyDescent="0.2"/>
    <row r="133" ht="16.899999999999999" customHeight="1" x14ac:dyDescent="0.2"/>
  </sheetData>
  <mergeCells count="21">
    <mergeCell ref="A33:E33"/>
    <mergeCell ref="A37:E37"/>
    <mergeCell ref="A55:E55"/>
    <mergeCell ref="A72:E72"/>
    <mergeCell ref="A93:E93"/>
    <mergeCell ref="A13:E13"/>
    <mergeCell ref="G9:AB9"/>
    <mergeCell ref="S10:AB10"/>
    <mergeCell ref="AD10:AN10"/>
    <mergeCell ref="AD9:AY9"/>
    <mergeCell ref="AP10:AY10"/>
    <mergeCell ref="A1:C1"/>
    <mergeCell ref="A3:C3"/>
    <mergeCell ref="A7:E7"/>
    <mergeCell ref="A6:E6"/>
    <mergeCell ref="G10:Q10"/>
    <mergeCell ref="E9:E11"/>
    <mergeCell ref="D9:D11"/>
    <mergeCell ref="C9:C11"/>
    <mergeCell ref="B9:B11"/>
    <mergeCell ref="A9:A11"/>
  </mergeCells>
  <pageMargins left="0.75" right="0.75" top="1" bottom="1" header="0.5" footer="0.5"/>
  <pageSetup paperSize="9" orientation="portrait" r:id="rId1"/>
  <headerFooter>
    <oddFooter>&amp;L_x000D_&amp;1#&amp;"Calibri"&amp;11&amp;K000000 SW Internal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35"/>
  <sheetViews>
    <sheetView showRuler="0" zoomScaleNormal="100" workbookViewId="0">
      <selection sqref="A1:XFD1048576"/>
    </sheetView>
  </sheetViews>
  <sheetFormatPr defaultColWidth="13.7109375" defaultRowHeight="12.75" x14ac:dyDescent="0.2"/>
  <cols>
    <col min="1" max="1" width="8.28515625" customWidth="1"/>
    <col min="2" max="2" width="86.5703125" customWidth="1"/>
    <col min="3" max="3" width="10.42578125" customWidth="1"/>
    <col min="4" max="4" width="15.7109375" customWidth="1"/>
    <col min="5" max="5" width="1.5703125" customWidth="1"/>
    <col min="6" max="6" width="26.5703125" customWidth="1"/>
    <col min="7" max="7" width="4.7109375" customWidth="1"/>
    <col min="8" max="8" width="1.5703125" customWidth="1"/>
    <col min="9" max="9" width="20.28515625" customWidth="1"/>
    <col min="10" max="10" width="5" customWidth="1"/>
    <col min="11" max="11" width="15.7109375" customWidth="1"/>
    <col min="12" max="12" width="166.28515625" customWidth="1"/>
    <col min="13" max="24" width="15.7109375" customWidth="1"/>
    <col min="25" max="36" width="9.28515625" customWidth="1"/>
  </cols>
  <sheetData>
    <row r="1" spans="1:13" ht="23.25" customHeight="1" x14ac:dyDescent="0.3">
      <c r="A1" s="493" t="s">
        <v>0</v>
      </c>
      <c r="B1" s="478"/>
    </row>
    <row r="2" spans="1:13" ht="23.25" customHeight="1" x14ac:dyDescent="0.2"/>
    <row r="3" spans="1:13" ht="24.4" customHeight="1" x14ac:dyDescent="0.3">
      <c r="A3" s="479" t="s">
        <v>1</v>
      </c>
      <c r="B3" s="478"/>
      <c r="C3" s="478"/>
      <c r="D3" s="478"/>
    </row>
    <row r="4" spans="1:13" ht="16.899999999999999" customHeight="1" x14ac:dyDescent="0.3">
      <c r="A4" s="43"/>
      <c r="B4" s="260"/>
      <c r="C4" s="260"/>
      <c r="D4" s="205"/>
      <c r="E4" s="205"/>
      <c r="F4" s="205"/>
      <c r="G4" s="205"/>
      <c r="H4" s="205"/>
      <c r="I4" s="205"/>
      <c r="J4" s="205"/>
    </row>
    <row r="5" spans="1:13" ht="16.899999999999999" customHeight="1" x14ac:dyDescent="0.2"/>
    <row r="6" spans="1:13" ht="23.25" customHeight="1" x14ac:dyDescent="0.3">
      <c r="A6" s="480" t="s">
        <v>2</v>
      </c>
      <c r="B6" s="497"/>
      <c r="C6" s="261"/>
      <c r="D6" s="262"/>
      <c r="E6" s="56"/>
    </row>
    <row r="7" spans="1:13" ht="22.5" customHeight="1" x14ac:dyDescent="0.3">
      <c r="A7" s="522" t="s">
        <v>1467</v>
      </c>
      <c r="B7" s="523"/>
      <c r="C7" s="523"/>
      <c r="D7" s="524"/>
      <c r="E7" s="56"/>
    </row>
    <row r="8" spans="1:13" ht="22.5" customHeight="1" x14ac:dyDescent="0.25">
      <c r="A8" s="263"/>
      <c r="B8" s="264"/>
      <c r="C8" s="264"/>
      <c r="D8" s="58"/>
    </row>
    <row r="9" spans="1:13" ht="23.25" customHeight="1" x14ac:dyDescent="0.2">
      <c r="F9" s="235">
        <v>10</v>
      </c>
      <c r="G9" s="265"/>
      <c r="H9" s="266"/>
      <c r="I9" s="235">
        <v>20</v>
      </c>
      <c r="J9" s="265"/>
      <c r="K9" s="267"/>
    </row>
    <row r="10" spans="1:13" ht="18.399999999999999" customHeight="1" x14ac:dyDescent="0.25">
      <c r="A10" s="236" t="s">
        <v>1468</v>
      </c>
      <c r="B10" s="237" t="s">
        <v>1227</v>
      </c>
      <c r="C10" s="238" t="s">
        <v>1228</v>
      </c>
      <c r="D10" s="239" t="s">
        <v>1469</v>
      </c>
      <c r="E10" s="268"/>
      <c r="F10" s="269"/>
      <c r="G10" s="270"/>
      <c r="H10" s="271"/>
      <c r="I10" s="269"/>
      <c r="J10" s="270"/>
      <c r="K10" s="213"/>
      <c r="L10" s="167" t="s">
        <v>166</v>
      </c>
      <c r="M10" s="272"/>
    </row>
    <row r="11" spans="1:13" ht="20.100000000000001" customHeight="1" x14ac:dyDescent="0.25">
      <c r="A11" s="240" t="s">
        <v>1470</v>
      </c>
      <c r="B11" s="273"/>
      <c r="C11" s="274"/>
      <c r="D11" s="241" t="s">
        <v>1471</v>
      </c>
      <c r="E11" s="268"/>
      <c r="F11" s="242" t="s">
        <v>1472</v>
      </c>
      <c r="G11" s="275"/>
      <c r="H11" s="271"/>
      <c r="I11" s="242" t="s">
        <v>1473</v>
      </c>
      <c r="J11" s="275"/>
      <c r="K11" s="272"/>
      <c r="L11" s="216"/>
    </row>
    <row r="12" spans="1:13" ht="21.6" customHeight="1" x14ac:dyDescent="0.25">
      <c r="A12" s="276"/>
      <c r="B12" s="277"/>
      <c r="C12" s="278"/>
      <c r="D12" s="279"/>
      <c r="E12" s="268"/>
      <c r="F12" s="242" t="s">
        <v>1765</v>
      </c>
      <c r="G12" s="243" t="s">
        <v>1474</v>
      </c>
      <c r="H12" s="271"/>
      <c r="I12" s="242" t="s">
        <v>1766</v>
      </c>
      <c r="J12" s="243" t="s">
        <v>1474</v>
      </c>
      <c r="K12" s="272"/>
    </row>
    <row r="13" spans="1:13" ht="15" customHeight="1" x14ac:dyDescent="0.2">
      <c r="A13" s="280"/>
      <c r="B13" s="280"/>
      <c r="C13" s="280"/>
      <c r="D13" s="280"/>
      <c r="F13" s="281"/>
      <c r="G13" s="281"/>
      <c r="I13" s="281"/>
      <c r="J13" s="281"/>
    </row>
    <row r="14" spans="1:13" ht="18.399999999999999" customHeight="1" thickBot="1" x14ac:dyDescent="0.3">
      <c r="A14" s="282"/>
      <c r="B14" s="525" t="s">
        <v>1475</v>
      </c>
      <c r="C14" s="525"/>
      <c r="D14" s="526"/>
      <c r="E14" s="101"/>
    </row>
    <row r="15" spans="1:13" ht="16.899999999999999" customHeight="1" x14ac:dyDescent="0.25">
      <c r="A15" s="245" t="s">
        <v>1476</v>
      </c>
      <c r="B15" s="246" t="s">
        <v>222</v>
      </c>
      <c r="C15" s="247" t="s">
        <v>1477</v>
      </c>
      <c r="D15" s="248" t="s">
        <v>223</v>
      </c>
      <c r="E15" s="101"/>
      <c r="F15" s="422">
        <v>326</v>
      </c>
      <c r="G15" s="393" t="s">
        <v>1249</v>
      </c>
      <c r="H15" s="65"/>
      <c r="I15" s="425">
        <v>329</v>
      </c>
      <c r="J15" s="393" t="s">
        <v>1249</v>
      </c>
      <c r="K15" s="250"/>
      <c r="L15" s="250" t="s">
        <v>1478</v>
      </c>
    </row>
    <row r="16" spans="1:13" ht="16.899999999999999" customHeight="1" x14ac:dyDescent="0.25">
      <c r="A16" s="251" t="s">
        <v>1479</v>
      </c>
      <c r="B16" s="77" t="s">
        <v>226</v>
      </c>
      <c r="C16" s="63" t="s">
        <v>1477</v>
      </c>
      <c r="D16" s="252" t="s">
        <v>223</v>
      </c>
      <c r="E16" s="101"/>
      <c r="F16" s="423">
        <v>0</v>
      </c>
      <c r="G16" s="395" t="s">
        <v>1249</v>
      </c>
      <c r="H16" s="65"/>
      <c r="I16" s="423">
        <v>0</v>
      </c>
      <c r="J16" s="395" t="s">
        <v>1249</v>
      </c>
      <c r="K16" s="250"/>
      <c r="L16" s="250" t="s">
        <v>1480</v>
      </c>
    </row>
    <row r="17" spans="1:12" ht="16.899999999999999" customHeight="1" x14ac:dyDescent="0.25">
      <c r="A17" s="251" t="s">
        <v>1481</v>
      </c>
      <c r="B17" s="77" t="s">
        <v>229</v>
      </c>
      <c r="C17" s="63" t="s">
        <v>1477</v>
      </c>
      <c r="D17" s="252" t="s">
        <v>223</v>
      </c>
      <c r="E17" s="101"/>
      <c r="F17" s="423">
        <v>0</v>
      </c>
      <c r="G17" s="395" t="s">
        <v>1249</v>
      </c>
      <c r="H17" s="65"/>
      <c r="I17" s="423">
        <v>0</v>
      </c>
      <c r="J17" s="395" t="s">
        <v>1249</v>
      </c>
      <c r="K17" s="250"/>
      <c r="L17" s="250" t="s">
        <v>1482</v>
      </c>
    </row>
    <row r="18" spans="1:12" ht="16.899999999999999" customHeight="1" x14ac:dyDescent="0.25">
      <c r="A18" s="251" t="s">
        <v>1483</v>
      </c>
      <c r="B18" s="77" t="s">
        <v>232</v>
      </c>
      <c r="C18" s="63" t="s">
        <v>1477</v>
      </c>
      <c r="D18" s="252" t="s">
        <v>223</v>
      </c>
      <c r="E18" s="101"/>
      <c r="F18" s="423">
        <v>0</v>
      </c>
      <c r="G18" s="395" t="s">
        <v>1249</v>
      </c>
      <c r="H18" s="65"/>
      <c r="I18" s="423">
        <v>0</v>
      </c>
      <c r="J18" s="395" t="s">
        <v>1249</v>
      </c>
      <c r="K18" s="250"/>
      <c r="L18" s="250" t="s">
        <v>1484</v>
      </c>
    </row>
    <row r="19" spans="1:12" ht="17.649999999999999" customHeight="1" thickBot="1" x14ac:dyDescent="0.3">
      <c r="A19" s="253" t="s">
        <v>1485</v>
      </c>
      <c r="B19" s="254" t="s">
        <v>1486</v>
      </c>
      <c r="C19" s="255" t="s">
        <v>1477</v>
      </c>
      <c r="D19" s="256" t="s">
        <v>190</v>
      </c>
      <c r="E19" s="101"/>
      <c r="F19" s="424">
        <f>SUM(F15:F18)</f>
        <v>326</v>
      </c>
      <c r="G19" s="398" t="s">
        <v>1249</v>
      </c>
      <c r="H19" s="65"/>
      <c r="I19" s="424">
        <f>SUM(I15:I18)</f>
        <v>329</v>
      </c>
      <c r="J19" s="398" t="s">
        <v>1487</v>
      </c>
      <c r="K19" s="250"/>
      <c r="L19" s="250" t="s">
        <v>1488</v>
      </c>
    </row>
    <row r="20" spans="1:12" ht="18.399999999999999" customHeight="1" thickBot="1" x14ac:dyDescent="0.3">
      <c r="A20" s="283"/>
      <c r="B20" s="220"/>
      <c r="C20" s="284"/>
      <c r="D20" s="284"/>
      <c r="F20" s="420"/>
      <c r="G20" s="65"/>
      <c r="I20" s="421"/>
      <c r="J20" s="65"/>
    </row>
    <row r="21" spans="1:12" ht="18.399999999999999" customHeight="1" thickBot="1" x14ac:dyDescent="0.3">
      <c r="A21" s="282"/>
      <c r="B21" s="244" t="s">
        <v>1489</v>
      </c>
      <c r="C21" s="285"/>
      <c r="D21" s="286"/>
      <c r="E21" s="101"/>
      <c r="I21" s="373"/>
    </row>
    <row r="22" spans="1:12" ht="16.899999999999999" customHeight="1" x14ac:dyDescent="0.25">
      <c r="A22" s="245" t="s">
        <v>1490</v>
      </c>
      <c r="B22" s="257" t="s">
        <v>1491</v>
      </c>
      <c r="C22" s="247" t="s">
        <v>1492</v>
      </c>
      <c r="D22" s="248" t="s">
        <v>223</v>
      </c>
      <c r="E22" s="101"/>
      <c r="F22" s="426">
        <v>7184</v>
      </c>
      <c r="G22" s="393" t="s">
        <v>1249</v>
      </c>
      <c r="H22" s="65"/>
      <c r="I22" s="426">
        <v>7104</v>
      </c>
      <c r="J22" s="393" t="s">
        <v>1249</v>
      </c>
      <c r="K22" s="250"/>
      <c r="L22" s="250" t="s">
        <v>1493</v>
      </c>
    </row>
    <row r="23" spans="1:12" ht="16.899999999999999" customHeight="1" x14ac:dyDescent="0.25">
      <c r="A23" s="251" t="s">
        <v>1494</v>
      </c>
      <c r="B23" s="62" t="s">
        <v>1495</v>
      </c>
      <c r="C23" s="63" t="s">
        <v>1492</v>
      </c>
      <c r="D23" s="252" t="s">
        <v>223</v>
      </c>
      <c r="E23" s="101"/>
      <c r="F23" s="427">
        <v>82863</v>
      </c>
      <c r="G23" s="395" t="s">
        <v>1249</v>
      </c>
      <c r="H23" s="65"/>
      <c r="I23" s="427">
        <v>84801</v>
      </c>
      <c r="J23" s="395" t="s">
        <v>1249</v>
      </c>
      <c r="K23" s="250"/>
      <c r="L23" s="250" t="s">
        <v>1496</v>
      </c>
    </row>
    <row r="24" spans="1:12" ht="16.899999999999999" customHeight="1" x14ac:dyDescent="0.25">
      <c r="A24" s="251" t="s">
        <v>1497</v>
      </c>
      <c r="B24" s="62" t="s">
        <v>1498</v>
      </c>
      <c r="C24" s="63" t="s">
        <v>1492</v>
      </c>
      <c r="D24" s="252" t="s">
        <v>223</v>
      </c>
      <c r="E24" s="101"/>
      <c r="F24" s="427">
        <v>0</v>
      </c>
      <c r="G24" s="395" t="s">
        <v>1249</v>
      </c>
      <c r="H24" s="65"/>
      <c r="I24" s="427">
        <v>0</v>
      </c>
      <c r="J24" s="395" t="s">
        <v>1249</v>
      </c>
      <c r="K24" s="250"/>
      <c r="L24" s="250" t="s">
        <v>1499</v>
      </c>
    </row>
    <row r="25" spans="1:12" ht="17.649999999999999" customHeight="1" thickBot="1" x14ac:dyDescent="0.3">
      <c r="A25" s="253" t="s">
        <v>1500</v>
      </c>
      <c r="B25" s="258" t="s">
        <v>238</v>
      </c>
      <c r="C25" s="255" t="s">
        <v>1492</v>
      </c>
      <c r="D25" s="256" t="s">
        <v>190</v>
      </c>
      <c r="E25" s="101"/>
      <c r="F25" s="428">
        <f>SUM(F22:F24)</f>
        <v>90047</v>
      </c>
      <c r="G25" s="398" t="s">
        <v>1249</v>
      </c>
      <c r="H25" s="65"/>
      <c r="I25" s="428">
        <f>SUM(I22:I24)</f>
        <v>91905</v>
      </c>
      <c r="J25" s="398" t="s">
        <v>1249</v>
      </c>
      <c r="K25" s="250"/>
      <c r="L25" s="250" t="s">
        <v>1501</v>
      </c>
    </row>
    <row r="26" spans="1:12" ht="18.399999999999999" customHeight="1" thickBot="1" x14ac:dyDescent="0.3">
      <c r="A26" s="283"/>
      <c r="B26" s="220"/>
      <c r="C26" s="284"/>
      <c r="D26" s="284"/>
      <c r="F26" s="421"/>
      <c r="G26" s="65"/>
      <c r="I26" s="421"/>
      <c r="J26" s="65"/>
    </row>
    <row r="27" spans="1:12" ht="18.399999999999999" customHeight="1" thickBot="1" x14ac:dyDescent="0.3">
      <c r="A27" s="282"/>
      <c r="B27" s="244" t="s">
        <v>1502</v>
      </c>
      <c r="C27" s="285"/>
      <c r="D27" s="286"/>
      <c r="E27" s="101"/>
      <c r="F27" s="373"/>
      <c r="I27" s="373"/>
    </row>
    <row r="28" spans="1:12" ht="17.649999999999999" customHeight="1" x14ac:dyDescent="0.25">
      <c r="A28" s="245" t="s">
        <v>1503</v>
      </c>
      <c r="B28" s="246" t="s">
        <v>222</v>
      </c>
      <c r="C28" s="247" t="s">
        <v>1424</v>
      </c>
      <c r="D28" s="248" t="s">
        <v>223</v>
      </c>
      <c r="E28" s="101"/>
      <c r="F28" s="429">
        <v>189.9</v>
      </c>
      <c r="G28" s="393" t="s">
        <v>1504</v>
      </c>
      <c r="H28" s="65"/>
      <c r="I28" s="429">
        <v>208.7</v>
      </c>
      <c r="J28" s="393" t="s">
        <v>1504</v>
      </c>
      <c r="K28" s="250"/>
      <c r="L28" s="250" t="s">
        <v>1505</v>
      </c>
    </row>
    <row r="29" spans="1:12" ht="17.649999999999999" customHeight="1" x14ac:dyDescent="0.25">
      <c r="A29" s="251" t="s">
        <v>1506</v>
      </c>
      <c r="B29" s="77" t="s">
        <v>226</v>
      </c>
      <c r="C29" s="63" t="s">
        <v>1424</v>
      </c>
      <c r="D29" s="252" t="s">
        <v>223</v>
      </c>
      <c r="E29" s="101"/>
      <c r="F29" s="430">
        <v>564</v>
      </c>
      <c r="G29" s="395" t="s">
        <v>1504</v>
      </c>
      <c r="H29" s="65"/>
      <c r="I29" s="430">
        <v>620</v>
      </c>
      <c r="J29" s="395" t="s">
        <v>1504</v>
      </c>
      <c r="K29" s="250"/>
      <c r="L29" s="250" t="s">
        <v>1507</v>
      </c>
    </row>
    <row r="30" spans="1:12" ht="17.649999999999999" customHeight="1" x14ac:dyDescent="0.25">
      <c r="A30" s="251" t="s">
        <v>1508</v>
      </c>
      <c r="B30" s="77" t="s">
        <v>229</v>
      </c>
      <c r="C30" s="63" t="s">
        <v>1424</v>
      </c>
      <c r="D30" s="252" t="s">
        <v>223</v>
      </c>
      <c r="E30" s="101"/>
      <c r="F30" s="430">
        <v>1597</v>
      </c>
      <c r="G30" s="395" t="s">
        <v>1504</v>
      </c>
      <c r="H30" s="65"/>
      <c r="I30" s="430">
        <v>1755</v>
      </c>
      <c r="J30" s="395" t="s">
        <v>1504</v>
      </c>
      <c r="K30" s="250"/>
      <c r="L30" s="250" t="s">
        <v>1509</v>
      </c>
    </row>
    <row r="31" spans="1:12" ht="17.649999999999999" customHeight="1" thickBot="1" x14ac:dyDescent="0.3">
      <c r="A31" s="253" t="s">
        <v>1510</v>
      </c>
      <c r="B31" s="254" t="s">
        <v>232</v>
      </c>
      <c r="C31" s="255" t="s">
        <v>1424</v>
      </c>
      <c r="D31" s="256" t="s">
        <v>223</v>
      </c>
      <c r="E31" s="101"/>
      <c r="F31" s="431">
        <v>3550</v>
      </c>
      <c r="G31" s="398" t="s">
        <v>1504</v>
      </c>
      <c r="H31" s="65"/>
      <c r="I31" s="431">
        <v>3901</v>
      </c>
      <c r="J31" s="398" t="s">
        <v>1504</v>
      </c>
      <c r="K31" s="250"/>
      <c r="L31" s="250" t="s">
        <v>1511</v>
      </c>
    </row>
    <row r="32" spans="1:12" ht="18.399999999999999" customHeight="1" thickBot="1" x14ac:dyDescent="0.3">
      <c r="A32" s="283"/>
      <c r="B32" s="220"/>
      <c r="C32" s="284"/>
      <c r="D32" s="284"/>
      <c r="F32" s="421"/>
      <c r="G32" s="65"/>
      <c r="I32" s="421"/>
      <c r="J32" s="65"/>
    </row>
    <row r="33" spans="1:12" ht="18.399999999999999" customHeight="1" thickBot="1" x14ac:dyDescent="0.3">
      <c r="A33" s="282"/>
      <c r="B33" s="244" t="s">
        <v>1512</v>
      </c>
      <c r="C33" s="285"/>
      <c r="D33" s="286"/>
      <c r="E33" s="101"/>
      <c r="F33" s="373"/>
      <c r="I33" s="373"/>
    </row>
    <row r="34" spans="1:12" ht="17.649999999999999" customHeight="1" x14ac:dyDescent="0.25">
      <c r="A34" s="245" t="s">
        <v>1513</v>
      </c>
      <c r="B34" s="257" t="s">
        <v>1514</v>
      </c>
      <c r="C34" s="247" t="s">
        <v>1515</v>
      </c>
      <c r="D34" s="248" t="s">
        <v>223</v>
      </c>
      <c r="E34" s="101"/>
      <c r="F34" s="432">
        <v>2.9817999999999998</v>
      </c>
      <c r="G34" s="393" t="s">
        <v>1504</v>
      </c>
      <c r="H34" s="65"/>
      <c r="I34" s="432">
        <v>3.2770000000000001</v>
      </c>
      <c r="J34" s="393" t="s">
        <v>1504</v>
      </c>
      <c r="K34" s="250"/>
      <c r="L34" s="250" t="s">
        <v>1516</v>
      </c>
    </row>
    <row r="35" spans="1:12" ht="17.649999999999999" customHeight="1" x14ac:dyDescent="0.25">
      <c r="A35" s="251" t="s">
        <v>1517</v>
      </c>
      <c r="B35" s="62" t="s">
        <v>1518</v>
      </c>
      <c r="C35" s="63" t="s">
        <v>1515</v>
      </c>
      <c r="D35" s="252" t="s">
        <v>223</v>
      </c>
      <c r="E35" s="101"/>
      <c r="F35" s="433">
        <v>1.0804</v>
      </c>
      <c r="G35" s="395" t="s">
        <v>1504</v>
      </c>
      <c r="H35" s="65"/>
      <c r="I35" s="433">
        <v>1.1874</v>
      </c>
      <c r="J35" s="395" t="s">
        <v>1504</v>
      </c>
      <c r="K35" s="250"/>
      <c r="L35" s="250" t="s">
        <v>1519</v>
      </c>
    </row>
    <row r="36" spans="1:12" ht="17.649999999999999" customHeight="1" thickBot="1" x14ac:dyDescent="0.3">
      <c r="A36" s="253" t="s">
        <v>1520</v>
      </c>
      <c r="B36" s="259" t="s">
        <v>1498</v>
      </c>
      <c r="C36" s="255" t="s">
        <v>1515</v>
      </c>
      <c r="D36" s="256" t="s">
        <v>223</v>
      </c>
      <c r="E36" s="101"/>
      <c r="F36" s="434">
        <v>1.0804</v>
      </c>
      <c r="G36" s="398" t="s">
        <v>1504</v>
      </c>
      <c r="H36" s="65"/>
      <c r="I36" s="434">
        <v>1.1874</v>
      </c>
      <c r="J36" s="398" t="s">
        <v>1504</v>
      </c>
      <c r="K36" s="250"/>
      <c r="L36" s="250" t="s">
        <v>1521</v>
      </c>
    </row>
    <row r="37" spans="1:12" ht="18.399999999999999" customHeight="1" thickBot="1" x14ac:dyDescent="0.3">
      <c r="A37" s="283"/>
      <c r="B37" s="220"/>
      <c r="C37" s="284"/>
      <c r="D37" s="284"/>
      <c r="F37" s="421"/>
      <c r="G37" s="65"/>
      <c r="I37" s="421"/>
      <c r="J37" s="65"/>
    </row>
    <row r="38" spans="1:12" ht="18.399999999999999" customHeight="1" thickBot="1" x14ac:dyDescent="0.3">
      <c r="A38" s="282"/>
      <c r="B38" s="244" t="s">
        <v>1522</v>
      </c>
      <c r="C38" s="285"/>
      <c r="D38" s="286"/>
      <c r="E38" s="101"/>
      <c r="F38" s="373"/>
      <c r="G38" s="65"/>
      <c r="I38" s="373"/>
    </row>
    <row r="39" spans="1:12" ht="16.899999999999999" customHeight="1" x14ac:dyDescent="0.25">
      <c r="A39" s="245" t="s">
        <v>1523</v>
      </c>
      <c r="B39" s="257" t="s">
        <v>1524</v>
      </c>
      <c r="C39" s="247" t="s">
        <v>1424</v>
      </c>
      <c r="D39" s="248" t="s">
        <v>190</v>
      </c>
      <c r="E39" s="101"/>
      <c r="F39" s="435">
        <f>SUMPRODUCT(F15:F18,F28:F31)</f>
        <v>61907.4</v>
      </c>
      <c r="G39" s="393" t="s">
        <v>1249</v>
      </c>
      <c r="H39" s="65"/>
      <c r="I39" s="435">
        <f>SUMPRODUCT(I15:I18,I28:I31)</f>
        <v>68662.3</v>
      </c>
      <c r="J39" s="393" t="s">
        <v>1249</v>
      </c>
      <c r="K39" s="250"/>
      <c r="L39" s="250" t="s">
        <v>1525</v>
      </c>
    </row>
    <row r="40" spans="1:12" ht="16.899999999999999" customHeight="1" x14ac:dyDescent="0.25">
      <c r="A40" s="251" t="s">
        <v>1526</v>
      </c>
      <c r="B40" s="62" t="s">
        <v>1527</v>
      </c>
      <c r="C40" s="63" t="s">
        <v>1424</v>
      </c>
      <c r="D40" s="252" t="s">
        <v>190</v>
      </c>
      <c r="E40" s="101"/>
      <c r="F40" s="436">
        <f>F22*F34</f>
        <v>21421.251199999999</v>
      </c>
      <c r="G40" s="395" t="s">
        <v>1249</v>
      </c>
      <c r="H40" s="65"/>
      <c r="I40" s="436">
        <f>I22*I34</f>
        <v>23279.808000000001</v>
      </c>
      <c r="J40" s="395" t="s">
        <v>1249</v>
      </c>
      <c r="K40" s="250"/>
      <c r="L40" s="250" t="s">
        <v>1528</v>
      </c>
    </row>
    <row r="41" spans="1:12" ht="16.899999999999999" customHeight="1" x14ac:dyDescent="0.25">
      <c r="A41" s="251" t="s">
        <v>1529</v>
      </c>
      <c r="B41" s="62" t="s">
        <v>1530</v>
      </c>
      <c r="C41" s="63" t="s">
        <v>1424</v>
      </c>
      <c r="D41" s="252" t="s">
        <v>190</v>
      </c>
      <c r="E41" s="101"/>
      <c r="F41" s="436">
        <f>F23*F35</f>
        <v>89525.185200000007</v>
      </c>
      <c r="G41" s="395" t="s">
        <v>1249</v>
      </c>
      <c r="H41" s="65"/>
      <c r="I41" s="436">
        <f>I23*I35</f>
        <v>100692.7074</v>
      </c>
      <c r="J41" s="395" t="s">
        <v>1249</v>
      </c>
      <c r="K41" s="250"/>
      <c r="L41" s="250" t="s">
        <v>1531</v>
      </c>
    </row>
    <row r="42" spans="1:12" ht="16.899999999999999" customHeight="1" x14ac:dyDescent="0.25">
      <c r="A42" s="251" t="s">
        <v>1532</v>
      </c>
      <c r="B42" s="62" t="s">
        <v>1498</v>
      </c>
      <c r="C42" s="63" t="s">
        <v>1424</v>
      </c>
      <c r="D42" s="252" t="s">
        <v>190</v>
      </c>
      <c r="E42" s="101"/>
      <c r="F42" s="436">
        <f>F24*F36</f>
        <v>0</v>
      </c>
      <c r="G42" s="395" t="s">
        <v>1249</v>
      </c>
      <c r="H42" s="65"/>
      <c r="I42" s="436">
        <f>I24*I36</f>
        <v>0</v>
      </c>
      <c r="J42" s="395" t="s">
        <v>1249</v>
      </c>
      <c r="K42" s="250"/>
      <c r="L42" s="250" t="s">
        <v>1533</v>
      </c>
    </row>
    <row r="43" spans="1:12" ht="17.649999999999999" customHeight="1" thickBot="1" x14ac:dyDescent="0.3">
      <c r="A43" s="253" t="s">
        <v>1534</v>
      </c>
      <c r="B43" s="258" t="s">
        <v>189</v>
      </c>
      <c r="C43" s="255" t="s">
        <v>1424</v>
      </c>
      <c r="D43" s="256" t="s">
        <v>190</v>
      </c>
      <c r="E43" s="101"/>
      <c r="F43" s="428">
        <f>SUM(F39:F42)</f>
        <v>172853.8364</v>
      </c>
      <c r="G43" s="398" t="s">
        <v>1249</v>
      </c>
      <c r="H43" s="65"/>
      <c r="I43" s="428">
        <f>SUM(I39:I42)</f>
        <v>192634.81540000002</v>
      </c>
      <c r="J43" s="398" t="s">
        <v>1249</v>
      </c>
      <c r="K43" s="250"/>
      <c r="L43" s="250" t="s">
        <v>1535</v>
      </c>
    </row>
    <row r="44" spans="1:12" ht="14.1" customHeight="1" x14ac:dyDescent="0.2">
      <c r="A44" s="58"/>
      <c r="B44" s="216"/>
      <c r="C44" s="58"/>
      <c r="D44" s="58"/>
      <c r="F44" s="250"/>
      <c r="G44" s="250"/>
      <c r="I44" s="250"/>
      <c r="J44" s="250"/>
    </row>
    <row r="45" spans="1:12" ht="15" customHeight="1" thickBot="1" x14ac:dyDescent="0.25"/>
    <row r="46" spans="1:12" ht="14.1" customHeight="1" x14ac:dyDescent="0.2">
      <c r="B46" s="403"/>
      <c r="C46" s="404"/>
      <c r="D46" s="437"/>
      <c r="E46" s="250"/>
    </row>
    <row r="47" spans="1:12" ht="14.1" customHeight="1" x14ac:dyDescent="0.2">
      <c r="B47" s="406" t="s">
        <v>1536</v>
      </c>
      <c r="C47" s="383" t="s">
        <v>151</v>
      </c>
      <c r="D47" s="377"/>
      <c r="E47" s="250"/>
    </row>
    <row r="48" spans="1:12" ht="14.1" customHeight="1" x14ac:dyDescent="0.2">
      <c r="B48" s="406"/>
      <c r="D48" s="377"/>
      <c r="E48" s="250"/>
    </row>
    <row r="49" spans="2:5" ht="14.1" customHeight="1" x14ac:dyDescent="0.2">
      <c r="B49" s="406" t="s">
        <v>1537</v>
      </c>
      <c r="D49" s="377"/>
      <c r="E49" s="250"/>
    </row>
    <row r="50" spans="2:5" ht="14.1" customHeight="1" x14ac:dyDescent="0.2">
      <c r="B50" s="406"/>
      <c r="D50" s="377"/>
      <c r="E50" s="250"/>
    </row>
    <row r="51" spans="2:5" ht="15" customHeight="1" thickBot="1" x14ac:dyDescent="0.25">
      <c r="B51" s="407" t="s">
        <v>1466</v>
      </c>
      <c r="C51" s="408" t="s">
        <v>826</v>
      </c>
      <c r="D51" s="409"/>
      <c r="E51" s="250"/>
    </row>
    <row r="52" spans="2:5" ht="14.1" customHeight="1" x14ac:dyDescent="0.2">
      <c r="B52" s="402"/>
      <c r="D52" s="250"/>
    </row>
    <row r="53" spans="2:5" ht="14.1" customHeight="1" x14ac:dyDescent="0.2"/>
    <row r="54" spans="2:5" ht="14.1" customHeight="1" x14ac:dyDescent="0.2"/>
    <row r="55" spans="2:5" ht="14.1" customHeight="1" x14ac:dyDescent="0.2"/>
    <row r="56" spans="2:5" ht="14.1" customHeight="1" x14ac:dyDescent="0.2"/>
    <row r="57" spans="2:5" ht="14.1" customHeight="1" x14ac:dyDescent="0.2"/>
    <row r="58" spans="2:5" ht="14.1" customHeight="1" x14ac:dyDescent="0.2"/>
    <row r="59" spans="2:5" ht="14.1" customHeight="1" x14ac:dyDescent="0.2"/>
    <row r="60" spans="2:5" ht="14.1" customHeight="1" x14ac:dyDescent="0.2"/>
    <row r="61" spans="2:5" ht="14.1" customHeight="1" x14ac:dyDescent="0.2"/>
    <row r="62" spans="2:5" ht="14.1" customHeight="1" x14ac:dyDescent="0.2"/>
    <row r="63" spans="2:5" ht="14.1" customHeight="1" x14ac:dyDescent="0.2"/>
    <row r="64" spans="2:5"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sheetData>
  <mergeCells count="5">
    <mergeCell ref="A1:B1"/>
    <mergeCell ref="A3:D3"/>
    <mergeCell ref="A6:B6"/>
    <mergeCell ref="A7:D7"/>
    <mergeCell ref="B14:D14"/>
  </mergeCells>
  <dataValidations count="1">
    <dataValidation type="list" allowBlank="1" sqref="J22:J25 G15:G19 G22:G25 G39:G43 J39:J43 J15:J19" xr:uid="{00000000-0002-0000-0700-000000000000}">
      <formula1>#REF!</formula1>
    </dataValidation>
  </dataValidations>
  <pageMargins left="0.75" right="0.75" top="1" bottom="1" header="0.5" footer="0.5"/>
  <pageSetup paperSize="9" orientation="portrait" r:id="rId1"/>
  <headerFooter>
    <oddFooter>&amp;L_x000D_&amp;1#&amp;"Calibri"&amp;11&amp;K000000 SW Internal
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133"/>
  <sheetViews>
    <sheetView showRuler="0" zoomScaleNormal="100" workbookViewId="0">
      <selection sqref="A1:XFD1048576"/>
    </sheetView>
  </sheetViews>
  <sheetFormatPr defaultColWidth="13.7109375" defaultRowHeight="12.75" x14ac:dyDescent="0.2"/>
  <cols>
    <col min="1" max="1" width="10.7109375" customWidth="1"/>
    <col min="2" max="2" width="22.28515625" customWidth="1"/>
    <col min="3" max="3" width="76.28515625" customWidth="1"/>
    <col min="4" max="4" width="10" customWidth="1"/>
    <col min="5" max="5" width="12.28515625" customWidth="1"/>
    <col min="6" max="6" width="10.42578125" bestFit="1" customWidth="1"/>
    <col min="7" max="7" width="11.42578125" customWidth="1"/>
    <col min="8" max="14" width="15" customWidth="1"/>
    <col min="15" max="15" width="13.42578125" customWidth="1"/>
    <col min="16" max="16" width="16.42578125" customWidth="1"/>
    <col min="17" max="17" width="7.7109375" customWidth="1"/>
    <col min="18" max="18" width="2" customWidth="1"/>
    <col min="19" max="19" width="10.7109375" customWidth="1"/>
    <col min="20" max="29" width="8.7109375" customWidth="1"/>
    <col min="30" max="30" width="11.42578125" customWidth="1"/>
    <col min="31" max="31" width="15" customWidth="1"/>
    <col min="32" max="32" width="16.28515625" customWidth="1"/>
    <col min="33" max="34" width="15" customWidth="1"/>
    <col min="35" max="35" width="16.42578125" customWidth="1"/>
    <col min="36" max="37" width="15" customWidth="1"/>
    <col min="38" max="38" width="13.42578125" customWidth="1"/>
    <col min="39" max="39" width="16.42578125" customWidth="1"/>
    <col min="40" max="40" width="7.7109375" customWidth="1"/>
    <col min="41" max="41" width="2" customWidth="1"/>
    <col min="42" max="42" width="10.7109375" customWidth="1"/>
    <col min="43" max="52" width="8.7109375" customWidth="1"/>
    <col min="53" max="53" width="151.42578125" customWidth="1"/>
    <col min="54" max="54" width="24" customWidth="1"/>
  </cols>
  <sheetData>
    <row r="1" spans="1:54" ht="22.5" customHeight="1" x14ac:dyDescent="0.3">
      <c r="A1" s="493" t="s">
        <v>0</v>
      </c>
      <c r="B1" s="478"/>
      <c r="C1" s="478"/>
    </row>
    <row r="2" spans="1:54" ht="22.5" customHeight="1" x14ac:dyDescent="0.2"/>
    <row r="3" spans="1:54" ht="23.25" customHeight="1" x14ac:dyDescent="0.3">
      <c r="A3" s="479" t="s">
        <v>1</v>
      </c>
      <c r="B3" s="478"/>
      <c r="C3" s="478"/>
    </row>
    <row r="4" spans="1:54" ht="16.899999999999999" customHeight="1" x14ac:dyDescent="0.3">
      <c r="A4" s="43"/>
      <c r="B4" s="43"/>
      <c r="C4" s="43"/>
      <c r="D4" s="203"/>
      <c r="E4" s="204"/>
    </row>
    <row r="5" spans="1:54" ht="16.899999999999999" customHeight="1" x14ac:dyDescent="0.2"/>
    <row r="6" spans="1:54" ht="22.5" customHeight="1" x14ac:dyDescent="0.3">
      <c r="A6" s="480" t="s">
        <v>2</v>
      </c>
      <c r="B6" s="497"/>
      <c r="C6" s="497"/>
      <c r="D6" s="311"/>
      <c r="E6" s="312"/>
      <c r="F6" s="208"/>
    </row>
    <row r="7" spans="1:54" ht="23.25" customHeight="1" x14ac:dyDescent="0.3">
      <c r="A7" s="482" t="s">
        <v>1538</v>
      </c>
      <c r="B7" s="527"/>
      <c r="C7" s="527"/>
      <c r="D7" s="313"/>
      <c r="E7" s="314"/>
      <c r="F7" s="208"/>
    </row>
    <row r="8" spans="1:54" ht="18.399999999999999" customHeight="1" x14ac:dyDescent="0.25">
      <c r="A8" s="209"/>
      <c r="B8" s="209"/>
      <c r="C8" s="210"/>
      <c r="D8" s="211"/>
      <c r="E8" s="211"/>
    </row>
    <row r="9" spans="1:54" ht="18.399999999999999" customHeight="1" x14ac:dyDescent="0.25">
      <c r="A9" s="507" t="s">
        <v>4</v>
      </c>
      <c r="B9" s="504" t="s">
        <v>1226</v>
      </c>
      <c r="C9" s="504" t="s">
        <v>1227</v>
      </c>
      <c r="D9" s="504" t="s">
        <v>1228</v>
      </c>
      <c r="E9" s="501" t="s">
        <v>159</v>
      </c>
      <c r="F9" s="212"/>
      <c r="G9" s="513" t="s">
        <v>1768</v>
      </c>
      <c r="H9" s="514"/>
      <c r="I9" s="514"/>
      <c r="J9" s="514"/>
      <c r="K9" s="514"/>
      <c r="L9" s="514"/>
      <c r="M9" s="514"/>
      <c r="N9" s="514"/>
      <c r="O9" s="514"/>
      <c r="P9" s="514"/>
      <c r="Q9" s="514"/>
      <c r="R9" s="514"/>
      <c r="S9" s="514"/>
      <c r="T9" s="514"/>
      <c r="U9" s="514"/>
      <c r="V9" s="514"/>
      <c r="W9" s="514"/>
      <c r="X9" s="514"/>
      <c r="Y9" s="514"/>
      <c r="Z9" s="514"/>
      <c r="AA9" s="514"/>
      <c r="AB9" s="515"/>
      <c r="AC9" s="213"/>
      <c r="AD9" s="498" t="s">
        <v>1539</v>
      </c>
      <c r="AE9" s="499"/>
      <c r="AF9" s="499"/>
      <c r="AG9" s="499"/>
      <c r="AH9" s="499"/>
      <c r="AI9" s="499"/>
      <c r="AJ9" s="499"/>
      <c r="AK9" s="499"/>
      <c r="AL9" s="499"/>
      <c r="AM9" s="499"/>
      <c r="AN9" s="499"/>
      <c r="AO9" s="499"/>
      <c r="AP9" s="499"/>
      <c r="AQ9" s="499"/>
      <c r="AR9" s="499"/>
      <c r="AS9" s="499"/>
      <c r="AT9" s="499"/>
      <c r="AU9" s="499"/>
      <c r="AV9" s="499"/>
      <c r="AW9" s="499"/>
      <c r="AX9" s="499"/>
      <c r="AY9" s="500"/>
      <c r="AZ9" s="213"/>
      <c r="BA9" s="287" t="s">
        <v>166</v>
      </c>
      <c r="BB9" s="288"/>
    </row>
    <row r="10" spans="1:54" ht="18.399999999999999" customHeight="1" x14ac:dyDescent="0.25">
      <c r="A10" s="508"/>
      <c r="B10" s="505"/>
      <c r="C10" s="505"/>
      <c r="D10" s="505"/>
      <c r="E10" s="502"/>
      <c r="F10" s="212"/>
      <c r="G10" s="498" t="s">
        <v>1229</v>
      </c>
      <c r="H10" s="499"/>
      <c r="I10" s="499"/>
      <c r="J10" s="499"/>
      <c r="K10" s="499"/>
      <c r="L10" s="499"/>
      <c r="M10" s="499"/>
      <c r="N10" s="499"/>
      <c r="O10" s="499"/>
      <c r="P10" s="499"/>
      <c r="Q10" s="500"/>
      <c r="R10" s="215"/>
      <c r="S10" s="498" t="s">
        <v>1230</v>
      </c>
      <c r="T10" s="499"/>
      <c r="U10" s="499"/>
      <c r="V10" s="499"/>
      <c r="W10" s="499"/>
      <c r="X10" s="499"/>
      <c r="Y10" s="499"/>
      <c r="Z10" s="499"/>
      <c r="AA10" s="499"/>
      <c r="AB10" s="500"/>
      <c r="AC10" s="213"/>
      <c r="AD10" s="498" t="s">
        <v>1229</v>
      </c>
      <c r="AE10" s="499"/>
      <c r="AF10" s="499"/>
      <c r="AG10" s="499"/>
      <c r="AH10" s="499"/>
      <c r="AI10" s="499"/>
      <c r="AJ10" s="499"/>
      <c r="AK10" s="499"/>
      <c r="AL10" s="499"/>
      <c r="AM10" s="499"/>
      <c r="AN10" s="500"/>
      <c r="AO10" s="215"/>
      <c r="AP10" s="498" t="s">
        <v>1230</v>
      </c>
      <c r="AQ10" s="499"/>
      <c r="AR10" s="499"/>
      <c r="AS10" s="499"/>
      <c r="AT10" s="499"/>
      <c r="AU10" s="499"/>
      <c r="AV10" s="499"/>
      <c r="AW10" s="499"/>
      <c r="AX10" s="499"/>
      <c r="AY10" s="500"/>
      <c r="AZ10" s="272"/>
      <c r="BA10" s="216"/>
    </row>
    <row r="11" spans="1:54" ht="18.399999999999999" customHeight="1" x14ac:dyDescent="0.25">
      <c r="A11" s="509"/>
      <c r="B11" s="506"/>
      <c r="C11" s="506"/>
      <c r="D11" s="506"/>
      <c r="E11" s="503"/>
      <c r="F11" s="217"/>
      <c r="G11" s="168" t="s">
        <v>1231</v>
      </c>
      <c r="H11" s="169" t="s">
        <v>1232</v>
      </c>
      <c r="I11" s="169" t="s">
        <v>1233</v>
      </c>
      <c r="J11" s="169" t="s">
        <v>1234</v>
      </c>
      <c r="K11" s="169" t="s">
        <v>1235</v>
      </c>
      <c r="L11" s="169" t="s">
        <v>1236</v>
      </c>
      <c r="M11" s="169" t="s">
        <v>1237</v>
      </c>
      <c r="N11" s="169" t="s">
        <v>1238</v>
      </c>
      <c r="O11" s="169" t="s">
        <v>1239</v>
      </c>
      <c r="P11" s="169" t="s">
        <v>1240</v>
      </c>
      <c r="Q11" s="170" t="s">
        <v>1241</v>
      </c>
      <c r="R11" s="218"/>
      <c r="S11" s="168" t="s">
        <v>1231</v>
      </c>
      <c r="T11" s="169" t="s">
        <v>1232</v>
      </c>
      <c r="U11" s="169" t="s">
        <v>1233</v>
      </c>
      <c r="V11" s="169" t="s">
        <v>1234</v>
      </c>
      <c r="W11" s="169" t="s">
        <v>1235</v>
      </c>
      <c r="X11" s="169" t="s">
        <v>1236</v>
      </c>
      <c r="Y11" s="169" t="s">
        <v>1237</v>
      </c>
      <c r="Z11" s="169" t="s">
        <v>1238</v>
      </c>
      <c r="AA11" s="169" t="s">
        <v>1239</v>
      </c>
      <c r="AB11" s="170" t="s">
        <v>1240</v>
      </c>
      <c r="AC11" s="218"/>
      <c r="AD11" s="168" t="s">
        <v>1231</v>
      </c>
      <c r="AE11" s="169" t="s">
        <v>1232</v>
      </c>
      <c r="AF11" s="169" t="s">
        <v>1233</v>
      </c>
      <c r="AG11" s="169" t="s">
        <v>1234</v>
      </c>
      <c r="AH11" s="169" t="s">
        <v>1235</v>
      </c>
      <c r="AI11" s="169" t="s">
        <v>1236</v>
      </c>
      <c r="AJ11" s="169" t="s">
        <v>1237</v>
      </c>
      <c r="AK11" s="169" t="s">
        <v>1238</v>
      </c>
      <c r="AL11" s="169" t="s">
        <v>1239</v>
      </c>
      <c r="AM11" s="169" t="s">
        <v>1240</v>
      </c>
      <c r="AN11" s="170" t="s">
        <v>1241</v>
      </c>
      <c r="AO11" s="218"/>
      <c r="AP11" s="168" t="s">
        <v>1231</v>
      </c>
      <c r="AQ11" s="169" t="s">
        <v>1232</v>
      </c>
      <c r="AR11" s="169" t="s">
        <v>1233</v>
      </c>
      <c r="AS11" s="169" t="s">
        <v>1234</v>
      </c>
      <c r="AT11" s="169" t="s">
        <v>1235</v>
      </c>
      <c r="AU11" s="169" t="s">
        <v>1236</v>
      </c>
      <c r="AV11" s="169" t="s">
        <v>1237</v>
      </c>
      <c r="AW11" s="169" t="s">
        <v>1238</v>
      </c>
      <c r="AX11" s="169" t="s">
        <v>1239</v>
      </c>
      <c r="AY11" s="170" t="s">
        <v>1240</v>
      </c>
      <c r="AZ11" s="315"/>
    </row>
    <row r="12" spans="1:54" ht="17.649999999999999" customHeight="1" thickBot="1" x14ac:dyDescent="0.25">
      <c r="A12" s="219"/>
      <c r="B12" s="219"/>
      <c r="C12" s="219"/>
      <c r="D12" s="220"/>
      <c r="E12" s="220"/>
      <c r="G12" s="171">
        <v>1</v>
      </c>
      <c r="H12" s="171">
        <v>2</v>
      </c>
      <c r="I12" s="171">
        <v>3</v>
      </c>
      <c r="J12" s="171">
        <v>4</v>
      </c>
      <c r="K12" s="171">
        <v>5</v>
      </c>
      <c r="L12" s="171">
        <v>6</v>
      </c>
      <c r="M12" s="171">
        <v>7</v>
      </c>
      <c r="N12" s="171">
        <v>8</v>
      </c>
      <c r="O12" s="171">
        <v>9</v>
      </c>
      <c r="P12" s="171">
        <v>10</v>
      </c>
      <c r="Q12" s="171">
        <v>11</v>
      </c>
      <c r="R12" s="104"/>
      <c r="S12" s="171">
        <v>12</v>
      </c>
      <c r="T12" s="171">
        <v>13</v>
      </c>
      <c r="U12" s="171">
        <v>14</v>
      </c>
      <c r="V12" s="171">
        <v>15</v>
      </c>
      <c r="W12" s="171">
        <v>16</v>
      </c>
      <c r="X12" s="171">
        <v>17</v>
      </c>
      <c r="Y12" s="171">
        <v>18</v>
      </c>
      <c r="Z12" s="171">
        <v>19</v>
      </c>
      <c r="AA12" s="171">
        <v>20</v>
      </c>
      <c r="AB12" s="171">
        <v>21</v>
      </c>
      <c r="AC12" s="104"/>
      <c r="AD12" s="171">
        <v>22</v>
      </c>
      <c r="AE12" s="171">
        <v>23</v>
      </c>
      <c r="AF12" s="171">
        <v>24</v>
      </c>
      <c r="AG12" s="171">
        <v>25</v>
      </c>
      <c r="AH12" s="171">
        <v>26</v>
      </c>
      <c r="AI12" s="171">
        <v>27</v>
      </c>
      <c r="AJ12" s="171">
        <v>28</v>
      </c>
      <c r="AK12" s="171">
        <v>29</v>
      </c>
      <c r="AL12" s="171">
        <v>30</v>
      </c>
      <c r="AM12" s="171">
        <v>31</v>
      </c>
      <c r="AN12" s="171">
        <v>32</v>
      </c>
      <c r="AO12" s="104"/>
      <c r="AP12" s="171">
        <v>33</v>
      </c>
      <c r="AQ12" s="171">
        <v>34</v>
      </c>
      <c r="AR12" s="171">
        <v>35</v>
      </c>
      <c r="AS12" s="171">
        <v>36</v>
      </c>
      <c r="AT12" s="171">
        <v>37</v>
      </c>
      <c r="AU12" s="171">
        <v>38</v>
      </c>
      <c r="AV12" s="171">
        <v>39</v>
      </c>
      <c r="AW12" s="171">
        <v>40</v>
      </c>
      <c r="AX12" s="171">
        <v>41</v>
      </c>
      <c r="AY12" s="171">
        <v>42</v>
      </c>
      <c r="AZ12" s="46"/>
    </row>
    <row r="13" spans="1:54" ht="18.399999999999999" customHeight="1" thickBot="1" x14ac:dyDescent="0.3">
      <c r="A13" s="316"/>
      <c r="B13" s="172"/>
      <c r="C13" s="389" t="s">
        <v>1540</v>
      </c>
      <c r="D13" s="317"/>
      <c r="E13" s="318"/>
      <c r="F13" s="101"/>
      <c r="G13" s="106"/>
      <c r="H13" s="106"/>
      <c r="I13" s="106"/>
      <c r="J13" s="106"/>
      <c r="K13" s="106"/>
      <c r="L13" s="106"/>
      <c r="M13" s="106"/>
      <c r="N13" s="106"/>
      <c r="O13" s="106"/>
      <c r="P13" s="106"/>
      <c r="Q13" s="106"/>
      <c r="S13" s="106"/>
      <c r="T13" s="106"/>
      <c r="U13" s="106"/>
      <c r="V13" s="106"/>
      <c r="W13" s="106"/>
      <c r="X13" s="106"/>
      <c r="Y13" s="106"/>
      <c r="Z13" s="106"/>
      <c r="AA13" s="106"/>
      <c r="AB13" s="106"/>
      <c r="AD13" s="106"/>
      <c r="AE13" s="106"/>
      <c r="AF13" s="106"/>
      <c r="AG13" s="106"/>
      <c r="AH13" s="106"/>
      <c r="AI13" s="106"/>
      <c r="AJ13" s="106"/>
      <c r="AK13" s="106"/>
      <c r="AL13" s="106"/>
      <c r="AM13" s="106"/>
      <c r="AN13" s="106"/>
      <c r="AP13" s="106"/>
      <c r="AQ13" s="106"/>
      <c r="AR13" s="106"/>
      <c r="AS13" s="106"/>
      <c r="AT13" s="106"/>
      <c r="AU13" s="106"/>
      <c r="AV13" s="106"/>
      <c r="AW13" s="106"/>
      <c r="AX13" s="106"/>
      <c r="AY13" s="106"/>
    </row>
    <row r="14" spans="1:54" ht="17.649999999999999" customHeight="1" x14ac:dyDescent="0.25">
      <c r="A14" s="289" t="s">
        <v>1541</v>
      </c>
      <c r="B14" s="289" t="s">
        <v>1244</v>
      </c>
      <c r="C14" s="289" t="s">
        <v>1318</v>
      </c>
      <c r="D14" s="290" t="s">
        <v>1246</v>
      </c>
      <c r="E14" s="247" t="s">
        <v>1247</v>
      </c>
      <c r="F14" s="104"/>
      <c r="G14" s="291">
        <v>223</v>
      </c>
      <c r="H14" s="291">
        <v>101505.6306</v>
      </c>
      <c r="I14" s="291">
        <v>206021.65539999999</v>
      </c>
      <c r="J14" s="291">
        <v>180305.98300000001</v>
      </c>
      <c r="K14" s="291">
        <v>190455.10949999999</v>
      </c>
      <c r="L14" s="291">
        <v>219431.7887</v>
      </c>
      <c r="M14" s="291">
        <v>146900.9939</v>
      </c>
      <c r="N14" s="291">
        <v>93135.175300000003</v>
      </c>
      <c r="O14" s="291">
        <v>8669.9431999999997</v>
      </c>
      <c r="P14" s="292">
        <f t="shared" ref="P14:P20" si="0">SUM(G14:O14)</f>
        <v>1146649.2796</v>
      </c>
      <c r="Q14" s="293">
        <f t="shared" ref="Q14:Q30" si="1">IFERROR(P14/$P$30,"")</f>
        <v>0.44814585166127113</v>
      </c>
      <c r="R14" s="104"/>
      <c r="S14" s="249" t="s">
        <v>1249</v>
      </c>
      <c r="T14" s="249" t="s">
        <v>1249</v>
      </c>
      <c r="U14" s="249" t="s">
        <v>1249</v>
      </c>
      <c r="V14" s="249" t="s">
        <v>1249</v>
      </c>
      <c r="W14" s="249" t="s">
        <v>1249</v>
      </c>
      <c r="X14" s="249" t="s">
        <v>1249</v>
      </c>
      <c r="Y14" s="249" t="s">
        <v>1249</v>
      </c>
      <c r="Z14" s="249" t="s">
        <v>1249</v>
      </c>
      <c r="AA14" s="249" t="s">
        <v>1249</v>
      </c>
      <c r="AB14" s="249" t="s">
        <v>1249</v>
      </c>
      <c r="AC14" s="104"/>
      <c r="AD14" s="291">
        <v>225.00700000000001</v>
      </c>
      <c r="AE14" s="291">
        <v>102419.1813</v>
      </c>
      <c r="AF14" s="291">
        <v>207875.85029999999</v>
      </c>
      <c r="AG14" s="291">
        <v>181928.73689999999</v>
      </c>
      <c r="AH14" s="291">
        <v>192169.20550000001</v>
      </c>
      <c r="AI14" s="291">
        <v>221406.67480000001</v>
      </c>
      <c r="AJ14" s="291">
        <v>148223.1029</v>
      </c>
      <c r="AK14" s="291">
        <v>93973.391900000002</v>
      </c>
      <c r="AL14" s="291">
        <v>8747.9727000000003</v>
      </c>
      <c r="AM14" s="292">
        <f t="shared" ref="AM14:AM20" si="2">SUM(AD14:AL14)</f>
        <v>1156969.1233000001</v>
      </c>
      <c r="AN14" s="293">
        <f t="shared" ref="AN14:AN30" si="3">IFERROR(AM14/$AM$30,"")</f>
        <v>0.44814585174958999</v>
      </c>
      <c r="AO14" s="104"/>
      <c r="AP14" s="249" t="s">
        <v>1250</v>
      </c>
      <c r="AQ14" s="249" t="s">
        <v>1250</v>
      </c>
      <c r="AR14" s="249" t="s">
        <v>1250</v>
      </c>
      <c r="AS14" s="249" t="s">
        <v>1250</v>
      </c>
      <c r="AT14" s="249" t="s">
        <v>1250</v>
      </c>
      <c r="AU14" s="249" t="s">
        <v>1250</v>
      </c>
      <c r="AV14" s="249" t="s">
        <v>1250</v>
      </c>
      <c r="AW14" s="249" t="s">
        <v>1250</v>
      </c>
      <c r="AX14" s="249" t="s">
        <v>1250</v>
      </c>
      <c r="AY14" s="249" t="s">
        <v>1250</v>
      </c>
      <c r="AZ14" s="46"/>
      <c r="BA14" s="65" t="s">
        <v>1251</v>
      </c>
    </row>
    <row r="15" spans="1:54" ht="17.649999999999999" customHeight="1" x14ac:dyDescent="0.25">
      <c r="A15" s="71" t="s">
        <v>1542</v>
      </c>
      <c r="B15" s="71" t="s">
        <v>1244</v>
      </c>
      <c r="C15" s="71" t="s">
        <v>1253</v>
      </c>
      <c r="D15" s="129" t="s">
        <v>1246</v>
      </c>
      <c r="E15" s="63" t="s">
        <v>1247</v>
      </c>
      <c r="F15" s="104"/>
      <c r="G15" s="291">
        <v>0</v>
      </c>
      <c r="H15" s="291">
        <v>1869.7601999999999</v>
      </c>
      <c r="I15" s="291">
        <v>2433.3348000000001</v>
      </c>
      <c r="J15" s="291">
        <v>2693.3555000000001</v>
      </c>
      <c r="K15" s="291">
        <v>2511.5016000000001</v>
      </c>
      <c r="L15" s="291">
        <v>2639.0001999999999</v>
      </c>
      <c r="M15" s="291">
        <v>1432.0381</v>
      </c>
      <c r="N15" s="291">
        <v>931.53229999999996</v>
      </c>
      <c r="O15" s="291">
        <v>162.7602</v>
      </c>
      <c r="P15" s="292">
        <f t="shared" si="0"/>
        <v>14673.282900000002</v>
      </c>
      <c r="Q15" s="293">
        <f t="shared" si="1"/>
        <v>5.7347708483113302E-3</v>
      </c>
      <c r="R15" s="104"/>
      <c r="S15" s="249" t="s">
        <v>1249</v>
      </c>
      <c r="T15" s="249" t="s">
        <v>1249</v>
      </c>
      <c r="U15" s="249" t="s">
        <v>1249</v>
      </c>
      <c r="V15" s="249" t="s">
        <v>1249</v>
      </c>
      <c r="W15" s="249" t="s">
        <v>1249</v>
      </c>
      <c r="X15" s="249" t="s">
        <v>1249</v>
      </c>
      <c r="Y15" s="249" t="s">
        <v>1249</v>
      </c>
      <c r="Z15" s="249" t="s">
        <v>1249</v>
      </c>
      <c r="AA15" s="249" t="s">
        <v>1249</v>
      </c>
      <c r="AB15" s="249" t="s">
        <v>1249</v>
      </c>
      <c r="AC15" s="104"/>
      <c r="AD15" s="291">
        <v>0</v>
      </c>
      <c r="AE15" s="291">
        <v>1886.588</v>
      </c>
      <c r="AF15" s="291">
        <v>2455.2348000000002</v>
      </c>
      <c r="AG15" s="291">
        <v>2717.5956999999999</v>
      </c>
      <c r="AH15" s="291">
        <v>2534.1051000000002</v>
      </c>
      <c r="AI15" s="291">
        <v>2662.7512000000002</v>
      </c>
      <c r="AJ15" s="291">
        <v>1444.9265</v>
      </c>
      <c r="AK15" s="291">
        <v>939.91610000000003</v>
      </c>
      <c r="AL15" s="291">
        <v>164.22499999999999</v>
      </c>
      <c r="AM15" s="292">
        <f t="shared" si="2"/>
        <v>14805.342400000001</v>
      </c>
      <c r="AN15" s="293">
        <f t="shared" si="3"/>
        <v>5.734770830674871E-3</v>
      </c>
      <c r="AO15" s="104"/>
      <c r="AP15" s="249" t="s">
        <v>1250</v>
      </c>
      <c r="AQ15" s="249" t="s">
        <v>1250</v>
      </c>
      <c r="AR15" s="249" t="s">
        <v>1250</v>
      </c>
      <c r="AS15" s="249" t="s">
        <v>1250</v>
      </c>
      <c r="AT15" s="249" t="s">
        <v>1250</v>
      </c>
      <c r="AU15" s="249" t="s">
        <v>1250</v>
      </c>
      <c r="AV15" s="249" t="s">
        <v>1250</v>
      </c>
      <c r="AW15" s="249" t="s">
        <v>1250</v>
      </c>
      <c r="AX15" s="249" t="s">
        <v>1250</v>
      </c>
      <c r="AY15" s="249" t="s">
        <v>1250</v>
      </c>
      <c r="AZ15" s="46"/>
      <c r="BA15" s="65" t="s">
        <v>1254</v>
      </c>
    </row>
    <row r="16" spans="1:54" ht="17.649999999999999" customHeight="1" x14ac:dyDescent="0.25">
      <c r="A16" s="71" t="s">
        <v>1543</v>
      </c>
      <c r="B16" s="71" t="s">
        <v>1244</v>
      </c>
      <c r="C16" s="71" t="s">
        <v>1256</v>
      </c>
      <c r="D16" s="129" t="s">
        <v>1246</v>
      </c>
      <c r="E16" s="63" t="s">
        <v>1247</v>
      </c>
      <c r="F16" s="104"/>
      <c r="G16" s="291">
        <v>0</v>
      </c>
      <c r="H16" s="291">
        <v>8030.4970000000003</v>
      </c>
      <c r="I16" s="291">
        <v>7904.3797999999997</v>
      </c>
      <c r="J16" s="291">
        <v>5221.7837</v>
      </c>
      <c r="K16" s="291">
        <v>4300.9822999999997</v>
      </c>
      <c r="L16" s="291">
        <v>3273.1569</v>
      </c>
      <c r="M16" s="291">
        <v>1562.2108000000001</v>
      </c>
      <c r="N16" s="291">
        <v>963.24580000000003</v>
      </c>
      <c r="O16" s="291">
        <v>169.29660000000001</v>
      </c>
      <c r="P16" s="292">
        <f t="shared" si="0"/>
        <v>31425.552899999999</v>
      </c>
      <c r="Q16" s="293">
        <f t="shared" si="1"/>
        <v>1.2282073881570535E-2</v>
      </c>
      <c r="R16" s="104"/>
      <c r="S16" s="249" t="s">
        <v>1249</v>
      </c>
      <c r="T16" s="249" t="s">
        <v>1249</v>
      </c>
      <c r="U16" s="249" t="s">
        <v>1249</v>
      </c>
      <c r="V16" s="249" t="s">
        <v>1249</v>
      </c>
      <c r="W16" s="249" t="s">
        <v>1249</v>
      </c>
      <c r="X16" s="249" t="s">
        <v>1249</v>
      </c>
      <c r="Y16" s="249" t="s">
        <v>1249</v>
      </c>
      <c r="Z16" s="249" t="s">
        <v>1249</v>
      </c>
      <c r="AA16" s="249" t="s">
        <v>1249</v>
      </c>
      <c r="AB16" s="249" t="s">
        <v>1249</v>
      </c>
      <c r="AC16" s="104"/>
      <c r="AD16" s="291">
        <v>0</v>
      </c>
      <c r="AE16" s="291">
        <v>8102.7714999999998</v>
      </c>
      <c r="AF16" s="291">
        <v>7975.5191999999997</v>
      </c>
      <c r="AG16" s="291">
        <v>5268.7797</v>
      </c>
      <c r="AH16" s="291">
        <v>4339.6912000000002</v>
      </c>
      <c r="AI16" s="291">
        <v>3302.6152999999999</v>
      </c>
      <c r="AJ16" s="291">
        <v>1576.2707</v>
      </c>
      <c r="AK16" s="291">
        <v>971.91499999999996</v>
      </c>
      <c r="AL16" s="291">
        <v>170.8203</v>
      </c>
      <c r="AM16" s="292">
        <f t="shared" si="2"/>
        <v>31708.382900000004</v>
      </c>
      <c r="AN16" s="293">
        <f t="shared" si="3"/>
        <v>1.2282073891299528E-2</v>
      </c>
      <c r="AO16" s="104"/>
      <c r="AP16" s="249" t="s">
        <v>1250</v>
      </c>
      <c r="AQ16" s="249" t="s">
        <v>1250</v>
      </c>
      <c r="AR16" s="249" t="s">
        <v>1250</v>
      </c>
      <c r="AS16" s="249" t="s">
        <v>1250</v>
      </c>
      <c r="AT16" s="249" t="s">
        <v>1250</v>
      </c>
      <c r="AU16" s="249" t="s">
        <v>1250</v>
      </c>
      <c r="AV16" s="249" t="s">
        <v>1250</v>
      </c>
      <c r="AW16" s="249" t="s">
        <v>1250</v>
      </c>
      <c r="AX16" s="249" t="s">
        <v>1250</v>
      </c>
      <c r="AY16" s="249" t="s">
        <v>1250</v>
      </c>
      <c r="AZ16" s="46"/>
      <c r="BA16" s="65" t="s">
        <v>1257</v>
      </c>
    </row>
    <row r="17" spans="1:53" ht="17.649999999999999" customHeight="1" x14ac:dyDescent="0.25">
      <c r="A17" s="71" t="s">
        <v>1544</v>
      </c>
      <c r="B17" s="71" t="s">
        <v>1244</v>
      </c>
      <c r="C17" s="71" t="s">
        <v>1326</v>
      </c>
      <c r="D17" s="129" t="s">
        <v>1246</v>
      </c>
      <c r="E17" s="63" t="s">
        <v>1247</v>
      </c>
      <c r="F17" s="104"/>
      <c r="G17" s="291">
        <v>43.936300000000003</v>
      </c>
      <c r="H17" s="291">
        <v>31678.490099999999</v>
      </c>
      <c r="I17" s="291">
        <v>27427.6479</v>
      </c>
      <c r="J17" s="291">
        <v>14489.752200000001</v>
      </c>
      <c r="K17" s="291">
        <v>7564.6578</v>
      </c>
      <c r="L17" s="291">
        <v>4779.2966999999999</v>
      </c>
      <c r="M17" s="291">
        <v>1861.982</v>
      </c>
      <c r="N17" s="291">
        <v>630.38729999999998</v>
      </c>
      <c r="O17" s="291">
        <v>31.7273</v>
      </c>
      <c r="P17" s="292">
        <f t="shared" si="0"/>
        <v>88507.877600000007</v>
      </c>
      <c r="Q17" s="293">
        <f t="shared" si="1"/>
        <v>3.4591604330506523E-2</v>
      </c>
      <c r="R17" s="104"/>
      <c r="S17" s="249" t="s">
        <v>1260</v>
      </c>
      <c r="T17" s="249" t="s">
        <v>1260</v>
      </c>
      <c r="U17" s="249" t="s">
        <v>1260</v>
      </c>
      <c r="V17" s="249" t="s">
        <v>1260</v>
      </c>
      <c r="W17" s="249" t="s">
        <v>1260</v>
      </c>
      <c r="X17" s="249" t="s">
        <v>1260</v>
      </c>
      <c r="Y17" s="249" t="s">
        <v>1260</v>
      </c>
      <c r="Z17" s="249" t="s">
        <v>1260</v>
      </c>
      <c r="AA17" s="249" t="s">
        <v>1260</v>
      </c>
      <c r="AB17" s="249" t="s">
        <v>1260</v>
      </c>
      <c r="AC17" s="104"/>
      <c r="AD17" s="291">
        <v>44.331699999999998</v>
      </c>
      <c r="AE17" s="291">
        <v>31963.5965</v>
      </c>
      <c r="AF17" s="291">
        <v>27674.496800000001</v>
      </c>
      <c r="AG17" s="291">
        <v>14620.159900000001</v>
      </c>
      <c r="AH17" s="291">
        <v>7632.7397000000001</v>
      </c>
      <c r="AI17" s="291">
        <v>4822.3104000000003</v>
      </c>
      <c r="AJ17" s="291">
        <v>1878.7398000000001</v>
      </c>
      <c r="AK17" s="291">
        <v>636.06079999999997</v>
      </c>
      <c r="AL17" s="291">
        <v>32.012799999999999</v>
      </c>
      <c r="AM17" s="292">
        <f t="shared" si="2"/>
        <v>89304.448400000008</v>
      </c>
      <c r="AN17" s="293">
        <f t="shared" si="3"/>
        <v>3.4591604293719623E-2</v>
      </c>
      <c r="AO17" s="104"/>
      <c r="AP17" s="249" t="s">
        <v>1250</v>
      </c>
      <c r="AQ17" s="249" t="s">
        <v>1250</v>
      </c>
      <c r="AR17" s="249" t="s">
        <v>1250</v>
      </c>
      <c r="AS17" s="249" t="s">
        <v>1250</v>
      </c>
      <c r="AT17" s="249" t="s">
        <v>1250</v>
      </c>
      <c r="AU17" s="249" t="s">
        <v>1250</v>
      </c>
      <c r="AV17" s="249" t="s">
        <v>1250</v>
      </c>
      <c r="AW17" s="249" t="s">
        <v>1250</v>
      </c>
      <c r="AX17" s="249" t="s">
        <v>1250</v>
      </c>
      <c r="AY17" s="249" t="s">
        <v>1250</v>
      </c>
      <c r="AZ17" s="46"/>
      <c r="BA17" s="65" t="s">
        <v>1261</v>
      </c>
    </row>
    <row r="18" spans="1:53" ht="17.649999999999999" customHeight="1" x14ac:dyDescent="0.25">
      <c r="A18" s="71" t="s">
        <v>1545</v>
      </c>
      <c r="B18" s="71" t="s">
        <v>1244</v>
      </c>
      <c r="C18" s="71" t="s">
        <v>1329</v>
      </c>
      <c r="D18" s="129" t="s">
        <v>1246</v>
      </c>
      <c r="E18" s="63" t="s">
        <v>1247</v>
      </c>
      <c r="F18" s="104"/>
      <c r="G18" s="291">
        <v>77.408299999999997</v>
      </c>
      <c r="H18" s="291">
        <v>45291.299800000001</v>
      </c>
      <c r="I18" s="291">
        <v>38463.572200000002</v>
      </c>
      <c r="J18" s="291">
        <v>20703.269700000001</v>
      </c>
      <c r="K18" s="291">
        <v>9666.7389999999996</v>
      </c>
      <c r="L18" s="291">
        <v>3994.3591000000001</v>
      </c>
      <c r="M18" s="291">
        <v>1228.8936000000001</v>
      </c>
      <c r="N18" s="291">
        <v>467.22579999999999</v>
      </c>
      <c r="O18" s="291">
        <v>22.555599999999998</v>
      </c>
      <c r="P18" s="292">
        <f t="shared" si="0"/>
        <v>119915.32310000002</v>
      </c>
      <c r="Q18" s="293">
        <f t="shared" si="1"/>
        <v>4.6866601282506061E-2</v>
      </c>
      <c r="R18" s="104"/>
      <c r="S18" s="249" t="s">
        <v>1260</v>
      </c>
      <c r="T18" s="249" t="s">
        <v>1260</v>
      </c>
      <c r="U18" s="249" t="s">
        <v>1260</v>
      </c>
      <c r="V18" s="249" t="s">
        <v>1260</v>
      </c>
      <c r="W18" s="249" t="s">
        <v>1260</v>
      </c>
      <c r="X18" s="249" t="s">
        <v>1260</v>
      </c>
      <c r="Y18" s="249" t="s">
        <v>1260</v>
      </c>
      <c r="Z18" s="249" t="s">
        <v>1260</v>
      </c>
      <c r="AA18" s="249" t="s">
        <v>1260</v>
      </c>
      <c r="AB18" s="249" t="s">
        <v>1260</v>
      </c>
      <c r="AC18" s="104"/>
      <c r="AD18" s="291">
        <v>78.105000000000004</v>
      </c>
      <c r="AE18" s="291">
        <v>45698.921499999997</v>
      </c>
      <c r="AF18" s="291">
        <v>38809.744400000003</v>
      </c>
      <c r="AG18" s="291">
        <v>20889.599200000001</v>
      </c>
      <c r="AH18" s="291">
        <v>9753.7396000000008</v>
      </c>
      <c r="AI18" s="291">
        <v>4030.3083000000001</v>
      </c>
      <c r="AJ18" s="291">
        <v>1239.9536000000001</v>
      </c>
      <c r="AK18" s="291">
        <v>471.43079999999998</v>
      </c>
      <c r="AL18" s="291">
        <v>22.758600000000001</v>
      </c>
      <c r="AM18" s="292">
        <f t="shared" si="2"/>
        <v>120994.561</v>
      </c>
      <c r="AN18" s="293">
        <f t="shared" si="3"/>
        <v>4.6866601281245028E-2</v>
      </c>
      <c r="AO18" s="104"/>
      <c r="AP18" s="249" t="s">
        <v>1250</v>
      </c>
      <c r="AQ18" s="249" t="s">
        <v>1250</v>
      </c>
      <c r="AR18" s="249" t="s">
        <v>1250</v>
      </c>
      <c r="AS18" s="249" t="s">
        <v>1250</v>
      </c>
      <c r="AT18" s="249" t="s">
        <v>1250</v>
      </c>
      <c r="AU18" s="249" t="s">
        <v>1250</v>
      </c>
      <c r="AV18" s="249" t="s">
        <v>1250</v>
      </c>
      <c r="AW18" s="249" t="s">
        <v>1250</v>
      </c>
      <c r="AX18" s="249" t="s">
        <v>1250</v>
      </c>
      <c r="AY18" s="249" t="s">
        <v>1250</v>
      </c>
      <c r="AZ18" s="46"/>
      <c r="BA18" s="65" t="s">
        <v>1264</v>
      </c>
    </row>
    <row r="19" spans="1:53" ht="17.649999999999999" customHeight="1" x14ac:dyDescent="0.25">
      <c r="A19" s="71" t="s">
        <v>1546</v>
      </c>
      <c r="B19" s="71" t="s">
        <v>1266</v>
      </c>
      <c r="C19" s="71" t="s">
        <v>1288</v>
      </c>
      <c r="D19" s="129" t="s">
        <v>1246</v>
      </c>
      <c r="E19" s="63" t="s">
        <v>1247</v>
      </c>
      <c r="F19" s="104"/>
      <c r="G19" s="291">
        <v>144</v>
      </c>
      <c r="H19" s="291">
        <v>146924</v>
      </c>
      <c r="I19" s="291">
        <v>177571</v>
      </c>
      <c r="J19" s="291">
        <v>124881</v>
      </c>
      <c r="K19" s="291">
        <v>100083</v>
      </c>
      <c r="L19" s="291">
        <v>79461</v>
      </c>
      <c r="M19" s="291">
        <v>35754</v>
      </c>
      <c r="N19" s="291">
        <v>18313</v>
      </c>
      <c r="O19" s="291">
        <v>1321</v>
      </c>
      <c r="P19" s="292">
        <f t="shared" si="0"/>
        <v>684452</v>
      </c>
      <c r="Q19" s="293">
        <f t="shared" si="1"/>
        <v>0.26750492057018715</v>
      </c>
      <c r="R19" s="104"/>
      <c r="S19" s="249" t="s">
        <v>1249</v>
      </c>
      <c r="T19" s="249" t="s">
        <v>1249</v>
      </c>
      <c r="U19" s="249" t="s">
        <v>1249</v>
      </c>
      <c r="V19" s="249" t="s">
        <v>1249</v>
      </c>
      <c r="W19" s="249" t="s">
        <v>1249</v>
      </c>
      <c r="X19" s="249" t="s">
        <v>1249</v>
      </c>
      <c r="Y19" s="249" t="s">
        <v>1249</v>
      </c>
      <c r="Z19" s="249" t="s">
        <v>1249</v>
      </c>
      <c r="AA19" s="249" t="s">
        <v>1249</v>
      </c>
      <c r="AB19" s="249" t="s">
        <v>1249</v>
      </c>
      <c r="AC19" s="104"/>
      <c r="AD19" s="291">
        <v>145.29599999999999</v>
      </c>
      <c r="AE19" s="291">
        <v>148246.31599999999</v>
      </c>
      <c r="AF19" s="291">
        <v>179169.139</v>
      </c>
      <c r="AG19" s="291">
        <v>126004.929</v>
      </c>
      <c r="AH19" s="291">
        <v>100983.747</v>
      </c>
      <c r="AI19" s="291">
        <v>80176.149000000005</v>
      </c>
      <c r="AJ19" s="291">
        <v>36075.786</v>
      </c>
      <c r="AK19" s="291">
        <v>18477.816999999999</v>
      </c>
      <c r="AL19" s="291">
        <v>1332.8889999999999</v>
      </c>
      <c r="AM19" s="292">
        <f t="shared" si="2"/>
        <v>690612.06799999997</v>
      </c>
      <c r="AN19" s="293">
        <f t="shared" si="3"/>
        <v>0.2675049205804555</v>
      </c>
      <c r="AO19" s="104"/>
      <c r="AP19" s="249" t="s">
        <v>1250</v>
      </c>
      <c r="AQ19" s="249" t="s">
        <v>1250</v>
      </c>
      <c r="AR19" s="249" t="s">
        <v>1250</v>
      </c>
      <c r="AS19" s="249" t="s">
        <v>1250</v>
      </c>
      <c r="AT19" s="249" t="s">
        <v>1250</v>
      </c>
      <c r="AU19" s="249" t="s">
        <v>1250</v>
      </c>
      <c r="AV19" s="249" t="s">
        <v>1250</v>
      </c>
      <c r="AW19" s="249" t="s">
        <v>1250</v>
      </c>
      <c r="AX19" s="249" t="s">
        <v>1250</v>
      </c>
      <c r="AY19" s="249" t="s">
        <v>1250</v>
      </c>
      <c r="AZ19" s="46"/>
      <c r="BA19" s="65" t="s">
        <v>1268</v>
      </c>
    </row>
    <row r="20" spans="1:53" ht="17.649999999999999" customHeight="1" x14ac:dyDescent="0.25">
      <c r="A20" s="71" t="s">
        <v>1547</v>
      </c>
      <c r="B20" s="71" t="s">
        <v>1266</v>
      </c>
      <c r="C20" s="71" t="s">
        <v>1270</v>
      </c>
      <c r="D20" s="129" t="s">
        <v>1246</v>
      </c>
      <c r="E20" s="63" t="s">
        <v>1247</v>
      </c>
      <c r="F20" s="104"/>
      <c r="G20" s="291">
        <v>25.063700000000001</v>
      </c>
      <c r="H20" s="291">
        <v>22529.282899999998</v>
      </c>
      <c r="I20" s="291">
        <v>17374.043799999999</v>
      </c>
      <c r="J20" s="291">
        <v>8989.4213999999993</v>
      </c>
      <c r="K20" s="291">
        <v>4179.4807000000001</v>
      </c>
      <c r="L20" s="291">
        <v>2575.6813000000002</v>
      </c>
      <c r="M20" s="291">
        <v>794.14049999999997</v>
      </c>
      <c r="N20" s="291">
        <v>209.88210000000001</v>
      </c>
      <c r="O20" s="291">
        <v>5.2727000000000004</v>
      </c>
      <c r="P20" s="292">
        <f t="shared" si="0"/>
        <v>56682.269099999998</v>
      </c>
      <c r="Q20" s="293">
        <f t="shared" si="1"/>
        <v>2.2153176400000987E-2</v>
      </c>
      <c r="R20" s="104"/>
      <c r="S20" s="249" t="s">
        <v>1260</v>
      </c>
      <c r="T20" s="249" t="s">
        <v>1260</v>
      </c>
      <c r="U20" s="249" t="s">
        <v>1260</v>
      </c>
      <c r="V20" s="249" t="s">
        <v>1260</v>
      </c>
      <c r="W20" s="249" t="s">
        <v>1260</v>
      </c>
      <c r="X20" s="249" t="s">
        <v>1260</v>
      </c>
      <c r="Y20" s="249" t="s">
        <v>1260</v>
      </c>
      <c r="Z20" s="249" t="s">
        <v>1260</v>
      </c>
      <c r="AA20" s="249" t="s">
        <v>1260</v>
      </c>
      <c r="AB20" s="249" t="s">
        <v>1260</v>
      </c>
      <c r="AC20" s="104"/>
      <c r="AD20" s="291">
        <v>25.289300000000001</v>
      </c>
      <c r="AE20" s="291">
        <v>22732.0465</v>
      </c>
      <c r="AF20" s="291">
        <v>17530.410199999998</v>
      </c>
      <c r="AG20" s="291">
        <v>9070.3261999999995</v>
      </c>
      <c r="AH20" s="291">
        <v>4217.0959999999995</v>
      </c>
      <c r="AI20" s="291">
        <v>2598.8624</v>
      </c>
      <c r="AJ20" s="291">
        <v>801.28769999999997</v>
      </c>
      <c r="AK20" s="291">
        <v>211.77099999999999</v>
      </c>
      <c r="AL20" s="291">
        <v>5.3201999999999998</v>
      </c>
      <c r="AM20" s="292">
        <f t="shared" si="2"/>
        <v>57192.409499999994</v>
      </c>
      <c r="AN20" s="293">
        <f t="shared" si="3"/>
        <v>2.2153176392368495E-2</v>
      </c>
      <c r="AO20" s="104"/>
      <c r="AP20" s="249" t="s">
        <v>1250</v>
      </c>
      <c r="AQ20" s="249" t="s">
        <v>1250</v>
      </c>
      <c r="AR20" s="249" t="s">
        <v>1250</v>
      </c>
      <c r="AS20" s="249" t="s">
        <v>1250</v>
      </c>
      <c r="AT20" s="249" t="s">
        <v>1250</v>
      </c>
      <c r="AU20" s="249" t="s">
        <v>1250</v>
      </c>
      <c r="AV20" s="249" t="s">
        <v>1250</v>
      </c>
      <c r="AW20" s="249" t="s">
        <v>1250</v>
      </c>
      <c r="AX20" s="249" t="s">
        <v>1250</v>
      </c>
      <c r="AY20" s="249" t="s">
        <v>1250</v>
      </c>
      <c r="AZ20" s="46"/>
      <c r="BA20" s="65" t="s">
        <v>1271</v>
      </c>
    </row>
    <row r="21" spans="1:53" ht="17.649999999999999" customHeight="1" x14ac:dyDescent="0.25">
      <c r="A21" s="71" t="s">
        <v>1548</v>
      </c>
      <c r="B21" s="71" t="s">
        <v>1273</v>
      </c>
      <c r="C21" s="71" t="s">
        <v>1274</v>
      </c>
      <c r="D21" s="129" t="s">
        <v>1275</v>
      </c>
      <c r="E21" s="63" t="s">
        <v>1247</v>
      </c>
      <c r="F21" s="104"/>
      <c r="G21" s="294">
        <v>0.31275199999999997</v>
      </c>
      <c r="H21" s="294">
        <v>0.40996300000000002</v>
      </c>
      <c r="I21" s="294">
        <v>0.40068900000000002</v>
      </c>
      <c r="J21" s="294">
        <v>0.40354899999999999</v>
      </c>
      <c r="K21" s="294">
        <v>0.40444600000000003</v>
      </c>
      <c r="L21" s="294">
        <v>0.30599900000000002</v>
      </c>
      <c r="M21" s="294">
        <v>0.32401799999999997</v>
      </c>
      <c r="N21" s="294">
        <v>0.34291700000000003</v>
      </c>
      <c r="O21" s="294">
        <v>0.12189700000000001</v>
      </c>
      <c r="P21" s="319"/>
      <c r="Q21" s="293">
        <f t="shared" si="1"/>
        <v>0</v>
      </c>
      <c r="R21" s="104"/>
      <c r="S21" s="249" t="s">
        <v>1260</v>
      </c>
      <c r="T21" s="249" t="s">
        <v>1260</v>
      </c>
      <c r="U21" s="249" t="s">
        <v>1260</v>
      </c>
      <c r="V21" s="249" t="s">
        <v>1260</v>
      </c>
      <c r="W21" s="249" t="s">
        <v>1260</v>
      </c>
      <c r="X21" s="249" t="s">
        <v>1260</v>
      </c>
      <c r="Y21" s="249" t="s">
        <v>1260</v>
      </c>
      <c r="Z21" s="249" t="s">
        <v>1260</v>
      </c>
      <c r="AA21" s="249" t="s">
        <v>1260</v>
      </c>
      <c r="AB21" s="249" t="s">
        <v>1260</v>
      </c>
      <c r="AC21" s="104"/>
      <c r="AD21" s="295">
        <v>0.32310480000000003</v>
      </c>
      <c r="AE21" s="295">
        <v>0.42044209999999999</v>
      </c>
      <c r="AF21" s="295">
        <v>0.41087509999999999</v>
      </c>
      <c r="AG21" s="295">
        <v>0.41360049999999998</v>
      </c>
      <c r="AH21" s="295">
        <v>0.41424339999999998</v>
      </c>
      <c r="AI21" s="295">
        <v>0.315637</v>
      </c>
      <c r="AJ21" s="295">
        <v>0.33392899999999998</v>
      </c>
      <c r="AK21" s="295">
        <v>0.35231279999999998</v>
      </c>
      <c r="AL21" s="295">
        <v>0.12845819999999999</v>
      </c>
      <c r="AM21" s="319"/>
      <c r="AN21" s="293">
        <f t="shared" si="3"/>
        <v>0</v>
      </c>
      <c r="AO21" s="104"/>
      <c r="AP21" s="249" t="s">
        <v>1250</v>
      </c>
      <c r="AQ21" s="249" t="s">
        <v>1250</v>
      </c>
      <c r="AR21" s="249" t="s">
        <v>1250</v>
      </c>
      <c r="AS21" s="249" t="s">
        <v>1250</v>
      </c>
      <c r="AT21" s="249" t="s">
        <v>1250</v>
      </c>
      <c r="AU21" s="249" t="s">
        <v>1250</v>
      </c>
      <c r="AV21" s="249" t="s">
        <v>1250</v>
      </c>
      <c r="AW21" s="249" t="s">
        <v>1250</v>
      </c>
      <c r="AX21" s="249" t="s">
        <v>1250</v>
      </c>
      <c r="AY21" s="249" t="s">
        <v>1250</v>
      </c>
      <c r="AZ21" s="46"/>
      <c r="BA21" s="65" t="s">
        <v>1276</v>
      </c>
    </row>
    <row r="22" spans="1:53" ht="17.649999999999999" customHeight="1" x14ac:dyDescent="0.25">
      <c r="A22" s="71" t="s">
        <v>1549</v>
      </c>
      <c r="B22" s="71" t="s">
        <v>1266</v>
      </c>
      <c r="C22" s="71" t="s">
        <v>1334</v>
      </c>
      <c r="D22" s="129" t="s">
        <v>1246</v>
      </c>
      <c r="E22" s="63" t="s">
        <v>1247</v>
      </c>
      <c r="F22" s="104"/>
      <c r="G22" s="292">
        <f t="shared" ref="G22:O22" si="4">G20*G21</f>
        <v>7.8387223023999999</v>
      </c>
      <c r="H22" s="292">
        <f t="shared" si="4"/>
        <v>9236.1724055326995</v>
      </c>
      <c r="I22" s="292">
        <f t="shared" si="4"/>
        <v>6961.5882361782005</v>
      </c>
      <c r="J22" s="292">
        <f t="shared" si="4"/>
        <v>3627.6720165485995</v>
      </c>
      <c r="K22" s="292">
        <f t="shared" si="4"/>
        <v>1690.3742511922001</v>
      </c>
      <c r="L22" s="292">
        <f t="shared" si="4"/>
        <v>788.15590211870017</v>
      </c>
      <c r="M22" s="292">
        <f t="shared" si="4"/>
        <v>257.31581652899996</v>
      </c>
      <c r="N22" s="292">
        <f t="shared" si="4"/>
        <v>71.972140085700005</v>
      </c>
      <c r="O22" s="292">
        <f t="shared" si="4"/>
        <v>0.64272631190000007</v>
      </c>
      <c r="P22" s="292">
        <f t="shared" ref="P22:P29" si="5">SUM(G22:O22)</f>
        <v>22641.732216799399</v>
      </c>
      <c r="Q22" s="293">
        <f t="shared" si="1"/>
        <v>8.8490862445085583E-3</v>
      </c>
      <c r="R22" s="104"/>
      <c r="S22" s="249" t="s">
        <v>1260</v>
      </c>
      <c r="T22" s="249" t="s">
        <v>1260</v>
      </c>
      <c r="U22" s="249" t="s">
        <v>1260</v>
      </c>
      <c r="V22" s="249" t="s">
        <v>1260</v>
      </c>
      <c r="W22" s="249" t="s">
        <v>1260</v>
      </c>
      <c r="X22" s="249" t="s">
        <v>1260</v>
      </c>
      <c r="Y22" s="249" t="s">
        <v>1260</v>
      </c>
      <c r="Z22" s="249" t="s">
        <v>1260</v>
      </c>
      <c r="AA22" s="249" t="s">
        <v>1260</v>
      </c>
      <c r="AB22" s="249" t="s">
        <v>1260</v>
      </c>
      <c r="AC22" s="104"/>
      <c r="AD22" s="292">
        <f t="shared" ref="AD22:AL22" si="6">AD20*AD21</f>
        <v>8.1710942186400004</v>
      </c>
      <c r="AE22" s="292">
        <f t="shared" si="6"/>
        <v>9557.5093677576497</v>
      </c>
      <c r="AF22" s="292">
        <f t="shared" si="6"/>
        <v>7202.8090439660191</v>
      </c>
      <c r="AG22" s="292">
        <f t="shared" si="6"/>
        <v>3751.4914514830998</v>
      </c>
      <c r="AH22" s="292">
        <f t="shared" si="6"/>
        <v>1746.9041851663997</v>
      </c>
      <c r="AI22" s="292">
        <f t="shared" si="6"/>
        <v>820.29713134880001</v>
      </c>
      <c r="AJ22" s="292">
        <f t="shared" si="6"/>
        <v>267.57320037329998</v>
      </c>
      <c r="AK22" s="292">
        <f t="shared" si="6"/>
        <v>74.609633968799997</v>
      </c>
      <c r="AL22" s="292">
        <f t="shared" si="6"/>
        <v>0.68342331563999992</v>
      </c>
      <c r="AM22" s="292">
        <f t="shared" ref="AM22:AM29" si="7">SUM(AD22:AL22)</f>
        <v>23430.04853159835</v>
      </c>
      <c r="AN22" s="293">
        <f t="shared" si="3"/>
        <v>9.0755049934074343E-3</v>
      </c>
      <c r="AO22" s="104"/>
      <c r="AP22" s="249" t="s">
        <v>1250</v>
      </c>
      <c r="AQ22" s="249" t="s">
        <v>1250</v>
      </c>
      <c r="AR22" s="249" t="s">
        <v>1250</v>
      </c>
      <c r="AS22" s="249" t="s">
        <v>1250</v>
      </c>
      <c r="AT22" s="249" t="s">
        <v>1250</v>
      </c>
      <c r="AU22" s="249" t="s">
        <v>1250</v>
      </c>
      <c r="AV22" s="249" t="s">
        <v>1250</v>
      </c>
      <c r="AW22" s="249" t="s">
        <v>1250</v>
      </c>
      <c r="AX22" s="249" t="s">
        <v>1250</v>
      </c>
      <c r="AY22" s="249" t="s">
        <v>1250</v>
      </c>
      <c r="AZ22" s="46"/>
      <c r="BA22" s="65" t="s">
        <v>1279</v>
      </c>
    </row>
    <row r="23" spans="1:53" ht="17.649999999999999" customHeight="1" x14ac:dyDescent="0.25">
      <c r="A23" s="71" t="s">
        <v>1550</v>
      </c>
      <c r="B23" s="71" t="s">
        <v>1266</v>
      </c>
      <c r="C23" s="71" t="s">
        <v>1337</v>
      </c>
      <c r="D23" s="129" t="s">
        <v>1246</v>
      </c>
      <c r="E23" s="63" t="s">
        <v>1247</v>
      </c>
      <c r="F23" s="104"/>
      <c r="G23" s="292">
        <f t="shared" ref="G23:O23" si="8">G20-G22</f>
        <v>17.2249776976</v>
      </c>
      <c r="H23" s="292">
        <f t="shared" si="8"/>
        <v>13293.110494467299</v>
      </c>
      <c r="I23" s="292">
        <f t="shared" si="8"/>
        <v>10412.455563821799</v>
      </c>
      <c r="J23" s="292">
        <f t="shared" si="8"/>
        <v>5361.7493834513998</v>
      </c>
      <c r="K23" s="292">
        <f t="shared" si="8"/>
        <v>2489.1064488078</v>
      </c>
      <c r="L23" s="292">
        <f t="shared" si="8"/>
        <v>1787.5253978813</v>
      </c>
      <c r="M23" s="292">
        <f t="shared" si="8"/>
        <v>536.82468347100007</v>
      </c>
      <c r="N23" s="292">
        <f t="shared" si="8"/>
        <v>137.9099599143</v>
      </c>
      <c r="O23" s="292">
        <f t="shared" si="8"/>
        <v>4.6299736881000007</v>
      </c>
      <c r="P23" s="292">
        <f t="shared" si="5"/>
        <v>34040.536883200599</v>
      </c>
      <c r="Q23" s="293">
        <f t="shared" si="1"/>
        <v>1.3304090155492427E-2</v>
      </c>
      <c r="R23" s="104"/>
      <c r="S23" s="249" t="s">
        <v>1260</v>
      </c>
      <c r="T23" s="249" t="s">
        <v>1260</v>
      </c>
      <c r="U23" s="249" t="s">
        <v>1260</v>
      </c>
      <c r="V23" s="249" t="s">
        <v>1260</v>
      </c>
      <c r="W23" s="249" t="s">
        <v>1260</v>
      </c>
      <c r="X23" s="249" t="s">
        <v>1260</v>
      </c>
      <c r="Y23" s="249" t="s">
        <v>1260</v>
      </c>
      <c r="Z23" s="249" t="s">
        <v>1260</v>
      </c>
      <c r="AA23" s="249" t="s">
        <v>1260</v>
      </c>
      <c r="AB23" s="249" t="s">
        <v>1260</v>
      </c>
      <c r="AC23" s="104"/>
      <c r="AD23" s="292">
        <f t="shared" ref="AD23:AL23" si="9">AD20-AD22</f>
        <v>17.11820578136</v>
      </c>
      <c r="AE23" s="292">
        <f t="shared" si="9"/>
        <v>13174.537132242351</v>
      </c>
      <c r="AF23" s="292">
        <f t="shared" si="9"/>
        <v>10327.601156033979</v>
      </c>
      <c r="AG23" s="292">
        <f t="shared" si="9"/>
        <v>5318.8347485168997</v>
      </c>
      <c r="AH23" s="292">
        <f t="shared" si="9"/>
        <v>2470.1918148335999</v>
      </c>
      <c r="AI23" s="292">
        <f t="shared" si="9"/>
        <v>1778.5652686511999</v>
      </c>
      <c r="AJ23" s="292">
        <f t="shared" si="9"/>
        <v>533.71449962669999</v>
      </c>
      <c r="AK23" s="292">
        <f t="shared" si="9"/>
        <v>137.16136603119998</v>
      </c>
      <c r="AL23" s="292">
        <f t="shared" si="9"/>
        <v>4.63677668436</v>
      </c>
      <c r="AM23" s="292">
        <f t="shared" si="7"/>
        <v>33762.360968401656</v>
      </c>
      <c r="AN23" s="293">
        <f t="shared" si="3"/>
        <v>1.3077671398961066E-2</v>
      </c>
      <c r="AO23" s="104"/>
      <c r="AP23" s="249" t="s">
        <v>1250</v>
      </c>
      <c r="AQ23" s="249" t="s">
        <v>1250</v>
      </c>
      <c r="AR23" s="249" t="s">
        <v>1250</v>
      </c>
      <c r="AS23" s="249" t="s">
        <v>1250</v>
      </c>
      <c r="AT23" s="249" t="s">
        <v>1250</v>
      </c>
      <c r="AU23" s="249" t="s">
        <v>1250</v>
      </c>
      <c r="AV23" s="249" t="s">
        <v>1250</v>
      </c>
      <c r="AW23" s="249" t="s">
        <v>1250</v>
      </c>
      <c r="AX23" s="249" t="s">
        <v>1250</v>
      </c>
      <c r="AY23" s="249" t="s">
        <v>1250</v>
      </c>
      <c r="AZ23" s="46"/>
      <c r="BA23" s="65" t="s">
        <v>1282</v>
      </c>
    </row>
    <row r="24" spans="1:53" ht="17.649999999999999" customHeight="1" x14ac:dyDescent="0.25">
      <c r="A24" s="71" t="s">
        <v>1551</v>
      </c>
      <c r="B24" s="71" t="s">
        <v>1266</v>
      </c>
      <c r="C24" s="71" t="s">
        <v>1284</v>
      </c>
      <c r="D24" s="129" t="s">
        <v>1246</v>
      </c>
      <c r="E24" s="63" t="s">
        <v>1247</v>
      </c>
      <c r="F24" s="104"/>
      <c r="G24" s="291">
        <v>141.5917</v>
      </c>
      <c r="H24" s="291">
        <v>120079.03939999999</v>
      </c>
      <c r="I24" s="291">
        <v>78772.365999999995</v>
      </c>
      <c r="J24" s="291">
        <v>35797.434500000003</v>
      </c>
      <c r="K24" s="291">
        <v>13101.5291</v>
      </c>
      <c r="L24" s="291">
        <v>4702.7170999999998</v>
      </c>
      <c r="M24" s="291">
        <v>1086.7411</v>
      </c>
      <c r="N24" s="291">
        <v>322.5514</v>
      </c>
      <c r="O24" s="291">
        <v>8.4443999999999999</v>
      </c>
      <c r="P24" s="292">
        <f t="shared" si="5"/>
        <v>254012.41470000002</v>
      </c>
      <c r="Q24" s="293">
        <f t="shared" si="1"/>
        <v>9.9275874448704879E-2</v>
      </c>
      <c r="R24" s="104"/>
      <c r="S24" s="249" t="s">
        <v>1249</v>
      </c>
      <c r="T24" s="249" t="s">
        <v>1249</v>
      </c>
      <c r="U24" s="249" t="s">
        <v>1249</v>
      </c>
      <c r="V24" s="249" t="s">
        <v>1249</v>
      </c>
      <c r="W24" s="249" t="s">
        <v>1249</v>
      </c>
      <c r="X24" s="249" t="s">
        <v>1249</v>
      </c>
      <c r="Y24" s="249" t="s">
        <v>1249</v>
      </c>
      <c r="Z24" s="249" t="s">
        <v>1249</v>
      </c>
      <c r="AA24" s="249" t="s">
        <v>1249</v>
      </c>
      <c r="AB24" s="249" t="s">
        <v>1249</v>
      </c>
      <c r="AC24" s="104"/>
      <c r="AD24" s="291">
        <v>142.86600000000001</v>
      </c>
      <c r="AE24" s="291">
        <v>121159.7507</v>
      </c>
      <c r="AF24" s="291">
        <v>79481.317299999995</v>
      </c>
      <c r="AG24" s="291">
        <v>36119.611400000002</v>
      </c>
      <c r="AH24" s="291">
        <v>13219.442800000001</v>
      </c>
      <c r="AI24" s="291">
        <v>4745.0415000000003</v>
      </c>
      <c r="AJ24" s="291">
        <v>1096.5218</v>
      </c>
      <c r="AK24" s="291">
        <v>325.45440000000002</v>
      </c>
      <c r="AL24" s="291">
        <v>8.5204000000000004</v>
      </c>
      <c r="AM24" s="292">
        <f t="shared" si="7"/>
        <v>256298.52629999997</v>
      </c>
      <c r="AN24" s="293">
        <f t="shared" si="3"/>
        <v>9.9275874401269906E-2</v>
      </c>
      <c r="AO24" s="104"/>
      <c r="AP24" s="249" t="s">
        <v>1250</v>
      </c>
      <c r="AQ24" s="249" t="s">
        <v>1250</v>
      </c>
      <c r="AR24" s="249" t="s">
        <v>1250</v>
      </c>
      <c r="AS24" s="249" t="s">
        <v>1250</v>
      </c>
      <c r="AT24" s="249" t="s">
        <v>1250</v>
      </c>
      <c r="AU24" s="249" t="s">
        <v>1250</v>
      </c>
      <c r="AV24" s="249" t="s">
        <v>1250</v>
      </c>
      <c r="AW24" s="249" t="s">
        <v>1250</v>
      </c>
      <c r="AX24" s="249" t="s">
        <v>1250</v>
      </c>
      <c r="AY24" s="249" t="s">
        <v>1250</v>
      </c>
      <c r="AZ24" s="46"/>
      <c r="BA24" s="65" t="s">
        <v>1285</v>
      </c>
    </row>
    <row r="25" spans="1:53" ht="17.649999999999999" customHeight="1" x14ac:dyDescent="0.25">
      <c r="A25" s="71" t="s">
        <v>1552</v>
      </c>
      <c r="B25" s="71" t="s">
        <v>1287</v>
      </c>
      <c r="C25" s="71" t="s">
        <v>1288</v>
      </c>
      <c r="D25" s="129" t="s">
        <v>1246</v>
      </c>
      <c r="E25" s="63" t="s">
        <v>1247</v>
      </c>
      <c r="F25" s="104"/>
      <c r="G25" s="291">
        <v>1</v>
      </c>
      <c r="H25" s="291">
        <v>868</v>
      </c>
      <c r="I25" s="291">
        <v>602</v>
      </c>
      <c r="J25" s="291">
        <v>368</v>
      </c>
      <c r="K25" s="291">
        <v>270</v>
      </c>
      <c r="L25" s="291">
        <v>226</v>
      </c>
      <c r="M25" s="291">
        <v>123</v>
      </c>
      <c r="N25" s="291">
        <v>79</v>
      </c>
      <c r="O25" s="291">
        <v>18</v>
      </c>
      <c r="P25" s="292">
        <f t="shared" si="5"/>
        <v>2555</v>
      </c>
      <c r="Q25" s="293">
        <f t="shared" si="1"/>
        <v>9.9857268596896249E-4</v>
      </c>
      <c r="R25" s="104"/>
      <c r="S25" s="249" t="s">
        <v>1249</v>
      </c>
      <c r="T25" s="249" t="s">
        <v>1249</v>
      </c>
      <c r="U25" s="249" t="s">
        <v>1249</v>
      </c>
      <c r="V25" s="249" t="s">
        <v>1249</v>
      </c>
      <c r="W25" s="249" t="s">
        <v>1249</v>
      </c>
      <c r="X25" s="249" t="s">
        <v>1249</v>
      </c>
      <c r="Y25" s="249" t="s">
        <v>1249</v>
      </c>
      <c r="Z25" s="249" t="s">
        <v>1249</v>
      </c>
      <c r="AA25" s="249" t="s">
        <v>1249</v>
      </c>
      <c r="AB25" s="249" t="s">
        <v>1249</v>
      </c>
      <c r="AC25" s="104"/>
      <c r="AD25" s="291">
        <v>1.0089999999999999</v>
      </c>
      <c r="AE25" s="291">
        <v>875.81200000000001</v>
      </c>
      <c r="AF25" s="291">
        <v>607.41800000000001</v>
      </c>
      <c r="AG25" s="291">
        <v>371.31200000000001</v>
      </c>
      <c r="AH25" s="291">
        <v>272.43</v>
      </c>
      <c r="AI25" s="291">
        <v>228.03399999999999</v>
      </c>
      <c r="AJ25" s="291">
        <v>124.107</v>
      </c>
      <c r="AK25" s="291">
        <v>79.710999999999999</v>
      </c>
      <c r="AL25" s="291">
        <v>18.161999999999999</v>
      </c>
      <c r="AM25" s="292">
        <f t="shared" si="7"/>
        <v>2577.9949999999994</v>
      </c>
      <c r="AN25" s="293">
        <f t="shared" si="3"/>
        <v>9.9857268600729294E-4</v>
      </c>
      <c r="AO25" s="104"/>
      <c r="AP25" s="249" t="s">
        <v>1250</v>
      </c>
      <c r="AQ25" s="249" t="s">
        <v>1250</v>
      </c>
      <c r="AR25" s="249" t="s">
        <v>1250</v>
      </c>
      <c r="AS25" s="249" t="s">
        <v>1250</v>
      </c>
      <c r="AT25" s="249" t="s">
        <v>1250</v>
      </c>
      <c r="AU25" s="249" t="s">
        <v>1250</v>
      </c>
      <c r="AV25" s="249" t="s">
        <v>1250</v>
      </c>
      <c r="AW25" s="249" t="s">
        <v>1250</v>
      </c>
      <c r="AX25" s="249" t="s">
        <v>1250</v>
      </c>
      <c r="AY25" s="249" t="s">
        <v>1250</v>
      </c>
      <c r="AZ25" s="46"/>
      <c r="BA25" s="65" t="s">
        <v>1289</v>
      </c>
    </row>
    <row r="26" spans="1:53" ht="17.649999999999999" customHeight="1" x14ac:dyDescent="0.25">
      <c r="A26" s="71" t="s">
        <v>1553</v>
      </c>
      <c r="B26" s="71" t="s">
        <v>1287</v>
      </c>
      <c r="C26" s="71" t="s">
        <v>1291</v>
      </c>
      <c r="D26" s="129" t="s">
        <v>1246</v>
      </c>
      <c r="E26" s="63" t="s">
        <v>1247</v>
      </c>
      <c r="F26" s="104"/>
      <c r="G26" s="291">
        <v>0</v>
      </c>
      <c r="H26" s="291">
        <v>7</v>
      </c>
      <c r="I26" s="291">
        <v>13</v>
      </c>
      <c r="J26" s="291">
        <v>10</v>
      </c>
      <c r="K26" s="291">
        <v>9</v>
      </c>
      <c r="L26" s="291">
        <v>8</v>
      </c>
      <c r="M26" s="291">
        <v>3</v>
      </c>
      <c r="N26" s="291">
        <v>0</v>
      </c>
      <c r="O26" s="291">
        <v>0</v>
      </c>
      <c r="P26" s="292">
        <f t="shared" si="5"/>
        <v>50</v>
      </c>
      <c r="Q26" s="293">
        <f t="shared" si="1"/>
        <v>1.9541539842836837E-5</v>
      </c>
      <c r="R26" s="104"/>
      <c r="S26" s="249" t="s">
        <v>1249</v>
      </c>
      <c r="T26" s="249" t="s">
        <v>1249</v>
      </c>
      <c r="U26" s="249" t="s">
        <v>1249</v>
      </c>
      <c r="V26" s="249" t="s">
        <v>1249</v>
      </c>
      <c r="W26" s="249" t="s">
        <v>1249</v>
      </c>
      <c r="X26" s="249" t="s">
        <v>1249</v>
      </c>
      <c r="Y26" s="249" t="s">
        <v>1249</v>
      </c>
      <c r="Z26" s="249" t="s">
        <v>1249</v>
      </c>
      <c r="AA26" s="249" t="s">
        <v>1249</v>
      </c>
      <c r="AB26" s="249" t="s">
        <v>1249</v>
      </c>
      <c r="AC26" s="104"/>
      <c r="AD26" s="291">
        <v>0</v>
      </c>
      <c r="AE26" s="291">
        <v>7.0629999999999997</v>
      </c>
      <c r="AF26" s="291">
        <v>13.117000000000001</v>
      </c>
      <c r="AG26" s="291">
        <v>10.09</v>
      </c>
      <c r="AH26" s="291">
        <v>9.0809999999999995</v>
      </c>
      <c r="AI26" s="291">
        <v>8.0719999999999992</v>
      </c>
      <c r="AJ26" s="291">
        <v>3.0270000000000001</v>
      </c>
      <c r="AK26" s="291">
        <v>0</v>
      </c>
      <c r="AL26" s="291">
        <v>0</v>
      </c>
      <c r="AM26" s="292">
        <f t="shared" si="7"/>
        <v>50.45</v>
      </c>
      <c r="AN26" s="293">
        <f t="shared" si="3"/>
        <v>1.9541539843586952E-5</v>
      </c>
      <c r="AO26" s="104"/>
      <c r="AP26" s="249" t="s">
        <v>1250</v>
      </c>
      <c r="AQ26" s="249" t="s">
        <v>1250</v>
      </c>
      <c r="AR26" s="249" t="s">
        <v>1250</v>
      </c>
      <c r="AS26" s="249" t="s">
        <v>1250</v>
      </c>
      <c r="AT26" s="249" t="s">
        <v>1250</v>
      </c>
      <c r="AU26" s="249" t="s">
        <v>1250</v>
      </c>
      <c r="AV26" s="249" t="s">
        <v>1250</v>
      </c>
      <c r="AW26" s="249" t="s">
        <v>1250</v>
      </c>
      <c r="AX26" s="249" t="s">
        <v>1250</v>
      </c>
      <c r="AY26" s="249" t="s">
        <v>1250</v>
      </c>
      <c r="AZ26" s="46"/>
      <c r="BA26" s="65" t="s">
        <v>1292</v>
      </c>
    </row>
    <row r="27" spans="1:53" ht="17.649999999999999" customHeight="1" x14ac:dyDescent="0.25">
      <c r="A27" s="71" t="s">
        <v>1554</v>
      </c>
      <c r="B27" s="71" t="s">
        <v>1287</v>
      </c>
      <c r="C27" s="71" t="s">
        <v>1294</v>
      </c>
      <c r="D27" s="129" t="s">
        <v>1246</v>
      </c>
      <c r="E27" s="63" t="s">
        <v>1247</v>
      </c>
      <c r="F27" s="104"/>
      <c r="G27" s="291">
        <v>1</v>
      </c>
      <c r="H27" s="291">
        <v>33</v>
      </c>
      <c r="I27" s="291">
        <v>48</v>
      </c>
      <c r="J27" s="291">
        <v>49</v>
      </c>
      <c r="K27" s="291">
        <v>31</v>
      </c>
      <c r="L27" s="291">
        <v>11</v>
      </c>
      <c r="M27" s="291">
        <v>3</v>
      </c>
      <c r="N27" s="291">
        <v>0</v>
      </c>
      <c r="O27" s="291">
        <v>0</v>
      </c>
      <c r="P27" s="292">
        <f t="shared" si="5"/>
        <v>176</v>
      </c>
      <c r="Q27" s="293">
        <f t="shared" si="1"/>
        <v>6.8786220246785668E-5</v>
      </c>
      <c r="R27" s="104"/>
      <c r="S27" s="249" t="s">
        <v>1249</v>
      </c>
      <c r="T27" s="249" t="s">
        <v>1249</v>
      </c>
      <c r="U27" s="249" t="s">
        <v>1249</v>
      </c>
      <c r="V27" s="249" t="s">
        <v>1249</v>
      </c>
      <c r="W27" s="249" t="s">
        <v>1249</v>
      </c>
      <c r="X27" s="249" t="s">
        <v>1249</v>
      </c>
      <c r="Y27" s="249" t="s">
        <v>1249</v>
      </c>
      <c r="Z27" s="249" t="s">
        <v>1249</v>
      </c>
      <c r="AA27" s="249" t="s">
        <v>1249</v>
      </c>
      <c r="AB27" s="249" t="s">
        <v>1249</v>
      </c>
      <c r="AC27" s="104"/>
      <c r="AD27" s="291">
        <v>1.0089999999999999</v>
      </c>
      <c r="AE27" s="291">
        <v>33.296999999999997</v>
      </c>
      <c r="AF27" s="291">
        <v>48.432000000000002</v>
      </c>
      <c r="AG27" s="291">
        <v>49.441000000000003</v>
      </c>
      <c r="AH27" s="291">
        <v>31.279</v>
      </c>
      <c r="AI27" s="291">
        <v>11.099</v>
      </c>
      <c r="AJ27" s="291">
        <v>3.0270000000000001</v>
      </c>
      <c r="AK27" s="291">
        <v>0</v>
      </c>
      <c r="AL27" s="291">
        <v>0</v>
      </c>
      <c r="AM27" s="292">
        <f t="shared" si="7"/>
        <v>177.58399999999997</v>
      </c>
      <c r="AN27" s="293">
        <f t="shared" si="3"/>
        <v>6.8786220249426053E-5</v>
      </c>
      <c r="AO27" s="104"/>
      <c r="AP27" s="249" t="s">
        <v>1250</v>
      </c>
      <c r="AQ27" s="249" t="s">
        <v>1250</v>
      </c>
      <c r="AR27" s="249" t="s">
        <v>1250</v>
      </c>
      <c r="AS27" s="249" t="s">
        <v>1250</v>
      </c>
      <c r="AT27" s="249" t="s">
        <v>1250</v>
      </c>
      <c r="AU27" s="249" t="s">
        <v>1250</v>
      </c>
      <c r="AV27" s="249" t="s">
        <v>1250</v>
      </c>
      <c r="AW27" s="249" t="s">
        <v>1250</v>
      </c>
      <c r="AX27" s="249" t="s">
        <v>1250</v>
      </c>
      <c r="AY27" s="249" t="s">
        <v>1250</v>
      </c>
      <c r="AZ27" s="46"/>
      <c r="BA27" s="65" t="s">
        <v>1295</v>
      </c>
    </row>
    <row r="28" spans="1:53" ht="17.649999999999999" customHeight="1" x14ac:dyDescent="0.25">
      <c r="A28" s="71" t="s">
        <v>1555</v>
      </c>
      <c r="B28" s="71" t="s">
        <v>1297</v>
      </c>
      <c r="C28" s="71" t="s">
        <v>1297</v>
      </c>
      <c r="D28" s="129" t="s">
        <v>1246</v>
      </c>
      <c r="E28" s="63" t="s">
        <v>1247</v>
      </c>
      <c r="F28" s="104"/>
      <c r="G28" s="291">
        <v>5.3441999999999998</v>
      </c>
      <c r="H28" s="291">
        <v>35341.781600000002</v>
      </c>
      <c r="I28" s="291">
        <v>21610.786499999998</v>
      </c>
      <c r="J28" s="291">
        <v>14891.562</v>
      </c>
      <c r="K28" s="291">
        <v>12324.7834</v>
      </c>
      <c r="L28" s="291">
        <v>11608.8863</v>
      </c>
      <c r="M28" s="291">
        <v>5049.2511000000004</v>
      </c>
      <c r="N28" s="291">
        <v>2241.7901000000002</v>
      </c>
      <c r="O28" s="291">
        <v>454.45819999999998</v>
      </c>
      <c r="P28" s="292">
        <f t="shared" si="5"/>
        <v>103528.64339999999</v>
      </c>
      <c r="Q28" s="293">
        <f t="shared" si="1"/>
        <v>4.0462182197518931E-2</v>
      </c>
      <c r="R28" s="104"/>
      <c r="S28" s="249" t="s">
        <v>1249</v>
      </c>
      <c r="T28" s="249" t="s">
        <v>1249</v>
      </c>
      <c r="U28" s="249" t="s">
        <v>1249</v>
      </c>
      <c r="V28" s="249" t="s">
        <v>1249</v>
      </c>
      <c r="W28" s="249" t="s">
        <v>1249</v>
      </c>
      <c r="X28" s="249" t="s">
        <v>1249</v>
      </c>
      <c r="Y28" s="249" t="s">
        <v>1249</v>
      </c>
      <c r="Z28" s="249" t="s">
        <v>1249</v>
      </c>
      <c r="AA28" s="249" t="s">
        <v>1249</v>
      </c>
      <c r="AB28" s="249" t="s">
        <v>1249</v>
      </c>
      <c r="AC28" s="104"/>
      <c r="AD28" s="291">
        <v>5.3921999999999999</v>
      </c>
      <c r="AE28" s="291">
        <v>35659.857600000003</v>
      </c>
      <c r="AF28" s="291">
        <v>21805.283500000001</v>
      </c>
      <c r="AG28" s="291">
        <v>15025.5861</v>
      </c>
      <c r="AH28" s="291">
        <v>12435.7065</v>
      </c>
      <c r="AI28" s="291">
        <v>11713.3663</v>
      </c>
      <c r="AJ28" s="291">
        <v>5094.6944000000003</v>
      </c>
      <c r="AK28" s="291">
        <v>2261.9663</v>
      </c>
      <c r="AL28" s="291">
        <v>458.54829999999998</v>
      </c>
      <c r="AM28" s="292">
        <f t="shared" si="7"/>
        <v>104460.40119999999</v>
      </c>
      <c r="AN28" s="293">
        <f t="shared" si="3"/>
        <v>4.0462182202713137E-2</v>
      </c>
      <c r="AO28" s="104"/>
      <c r="AP28" s="249" t="s">
        <v>1250</v>
      </c>
      <c r="AQ28" s="249" t="s">
        <v>1250</v>
      </c>
      <c r="AR28" s="249" t="s">
        <v>1250</v>
      </c>
      <c r="AS28" s="249" t="s">
        <v>1250</v>
      </c>
      <c r="AT28" s="249" t="s">
        <v>1250</v>
      </c>
      <c r="AU28" s="249" t="s">
        <v>1250</v>
      </c>
      <c r="AV28" s="249" t="s">
        <v>1250</v>
      </c>
      <c r="AW28" s="249" t="s">
        <v>1250</v>
      </c>
      <c r="AX28" s="249" t="s">
        <v>1250</v>
      </c>
      <c r="AY28" s="249" t="s">
        <v>1250</v>
      </c>
      <c r="AZ28" s="46"/>
      <c r="BA28" s="65" t="s">
        <v>1299</v>
      </c>
    </row>
    <row r="29" spans="1:53" ht="17.649999999999999" customHeight="1" x14ac:dyDescent="0.25">
      <c r="A29" s="71" t="s">
        <v>1556</v>
      </c>
      <c r="B29" s="71" t="s">
        <v>1301</v>
      </c>
      <c r="C29" s="71" t="s">
        <v>1301</v>
      </c>
      <c r="D29" s="129" t="s">
        <v>1246</v>
      </c>
      <c r="E29" s="63" t="s">
        <v>1247</v>
      </c>
      <c r="F29" s="104"/>
      <c r="G29" s="291">
        <v>6.6558000000000002</v>
      </c>
      <c r="H29" s="291">
        <v>19980.218400000002</v>
      </c>
      <c r="I29" s="291">
        <v>13051.2135</v>
      </c>
      <c r="J29" s="291">
        <v>8053.4380000000001</v>
      </c>
      <c r="K29" s="291">
        <v>6033.2165999999997</v>
      </c>
      <c r="L29" s="291">
        <v>5285.1136999999999</v>
      </c>
      <c r="M29" s="291">
        <v>2278.7489</v>
      </c>
      <c r="N29" s="291">
        <v>1130.2099000000001</v>
      </c>
      <c r="O29" s="291">
        <v>205.54179999999999</v>
      </c>
      <c r="P29" s="292">
        <f t="shared" si="5"/>
        <v>56024.356600000006</v>
      </c>
      <c r="Q29" s="293">
        <f t="shared" si="1"/>
        <v>2.189604393336398E-2</v>
      </c>
      <c r="R29" s="104"/>
      <c r="S29" s="249" t="s">
        <v>1249</v>
      </c>
      <c r="T29" s="249" t="s">
        <v>1249</v>
      </c>
      <c r="U29" s="249" t="s">
        <v>1249</v>
      </c>
      <c r="V29" s="249" t="s">
        <v>1249</v>
      </c>
      <c r="W29" s="249" t="s">
        <v>1249</v>
      </c>
      <c r="X29" s="249" t="s">
        <v>1249</v>
      </c>
      <c r="Y29" s="249" t="s">
        <v>1249</v>
      </c>
      <c r="Z29" s="249" t="s">
        <v>1249</v>
      </c>
      <c r="AA29" s="249" t="s">
        <v>1249</v>
      </c>
      <c r="AB29" s="249" t="s">
        <v>1249</v>
      </c>
      <c r="AC29" s="104"/>
      <c r="AD29" s="291">
        <v>6.7157999999999998</v>
      </c>
      <c r="AE29" s="291">
        <v>20160.040400000002</v>
      </c>
      <c r="AF29" s="291">
        <v>13168.674499999999</v>
      </c>
      <c r="AG29" s="291">
        <v>8125.9188999999997</v>
      </c>
      <c r="AH29" s="291">
        <v>6087.5155000000004</v>
      </c>
      <c r="AI29" s="291">
        <v>5332.6796999999997</v>
      </c>
      <c r="AJ29" s="291">
        <v>2299.2575999999999</v>
      </c>
      <c r="AK29" s="291">
        <v>1140.3816999999999</v>
      </c>
      <c r="AL29" s="291">
        <v>207.39169999999999</v>
      </c>
      <c r="AM29" s="292">
        <f t="shared" si="7"/>
        <v>56528.575799999999</v>
      </c>
      <c r="AN29" s="293">
        <f t="shared" si="3"/>
        <v>2.1896043930563429E-2</v>
      </c>
      <c r="AO29" s="104"/>
      <c r="AP29" s="249" t="s">
        <v>1250</v>
      </c>
      <c r="AQ29" s="249" t="s">
        <v>1250</v>
      </c>
      <c r="AR29" s="249" t="s">
        <v>1250</v>
      </c>
      <c r="AS29" s="249" t="s">
        <v>1250</v>
      </c>
      <c r="AT29" s="249" t="s">
        <v>1250</v>
      </c>
      <c r="AU29" s="249" t="s">
        <v>1250</v>
      </c>
      <c r="AV29" s="249" t="s">
        <v>1250</v>
      </c>
      <c r="AW29" s="249" t="s">
        <v>1250</v>
      </c>
      <c r="AX29" s="249" t="s">
        <v>1250</v>
      </c>
      <c r="AY29" s="249" t="s">
        <v>1250</v>
      </c>
      <c r="AZ29" s="46"/>
      <c r="BA29" s="65" t="s">
        <v>1303</v>
      </c>
    </row>
    <row r="30" spans="1:53" ht="17.649999999999999" customHeight="1" x14ac:dyDescent="0.25">
      <c r="A30" s="71" t="s">
        <v>1557</v>
      </c>
      <c r="B30" s="71"/>
      <c r="C30" s="71" t="s">
        <v>1558</v>
      </c>
      <c r="D30" s="129" t="s">
        <v>1246</v>
      </c>
      <c r="E30" s="129" t="s">
        <v>190</v>
      </c>
      <c r="F30" s="104"/>
      <c r="G30" s="292">
        <f t="shared" ref="G30:P30" si="10">SUM(G14:G29)-G20-G21</f>
        <v>669.00000000000011</v>
      </c>
      <c r="H30" s="292">
        <f t="shared" si="10"/>
        <v>534138</v>
      </c>
      <c r="I30" s="292">
        <f t="shared" si="10"/>
        <v>591292.99989999994</v>
      </c>
      <c r="J30" s="292">
        <f t="shared" si="10"/>
        <v>416454.00000000006</v>
      </c>
      <c r="K30" s="292">
        <f t="shared" si="10"/>
        <v>350531</v>
      </c>
      <c r="L30" s="292">
        <f t="shared" si="10"/>
        <v>337996.00000000006</v>
      </c>
      <c r="M30" s="292">
        <f t="shared" si="10"/>
        <v>198078.00000000003</v>
      </c>
      <c r="N30" s="292">
        <f t="shared" si="10"/>
        <v>118424</v>
      </c>
      <c r="O30" s="292">
        <f t="shared" si="10"/>
        <v>11069</v>
      </c>
      <c r="P30" s="292">
        <f t="shared" si="10"/>
        <v>2558651.9998999997</v>
      </c>
      <c r="Q30" s="293">
        <f t="shared" si="1"/>
        <v>1</v>
      </c>
      <c r="R30" s="104"/>
      <c r="S30" s="249" t="s">
        <v>1249</v>
      </c>
      <c r="T30" s="249" t="s">
        <v>1249</v>
      </c>
      <c r="U30" s="249" t="s">
        <v>1249</v>
      </c>
      <c r="V30" s="249" t="s">
        <v>1249</v>
      </c>
      <c r="W30" s="249" t="s">
        <v>1249</v>
      </c>
      <c r="X30" s="249" t="s">
        <v>1249</v>
      </c>
      <c r="Y30" s="249" t="s">
        <v>1249</v>
      </c>
      <c r="Z30" s="249" t="s">
        <v>1249</v>
      </c>
      <c r="AA30" s="249" t="s">
        <v>1249</v>
      </c>
      <c r="AB30" s="249" t="s">
        <v>1249</v>
      </c>
      <c r="AC30" s="104"/>
      <c r="AD30" s="292">
        <f t="shared" ref="AD30:AM30" si="11">SUM(AD14:AD29)-AD20-AD21</f>
        <v>675.02099999999984</v>
      </c>
      <c r="AE30" s="292">
        <f t="shared" si="11"/>
        <v>538945.24199999997</v>
      </c>
      <c r="AF30" s="292">
        <f t="shared" si="11"/>
        <v>596614.63699999999</v>
      </c>
      <c r="AG30" s="292">
        <f t="shared" si="11"/>
        <v>420202.08600000001</v>
      </c>
      <c r="AH30" s="292">
        <f t="shared" si="11"/>
        <v>353685.77890000003</v>
      </c>
      <c r="AI30" s="292">
        <f t="shared" si="11"/>
        <v>341037.96389999992</v>
      </c>
      <c r="AJ30" s="292">
        <f t="shared" si="11"/>
        <v>199860.70199999999</v>
      </c>
      <c r="AK30" s="292">
        <f t="shared" si="11"/>
        <v>119489.81599999999</v>
      </c>
      <c r="AL30" s="292">
        <f t="shared" si="11"/>
        <v>11168.620999999999</v>
      </c>
      <c r="AM30" s="292">
        <f t="shared" si="11"/>
        <v>2581679.8678000006</v>
      </c>
      <c r="AN30" s="293">
        <f t="shared" si="3"/>
        <v>1</v>
      </c>
      <c r="AO30" s="104"/>
      <c r="AP30" s="249" t="s">
        <v>1250</v>
      </c>
      <c r="AQ30" s="249" t="s">
        <v>1250</v>
      </c>
      <c r="AR30" s="249" t="s">
        <v>1250</v>
      </c>
      <c r="AS30" s="249" t="s">
        <v>1250</v>
      </c>
      <c r="AT30" s="249" t="s">
        <v>1250</v>
      </c>
      <c r="AU30" s="249" t="s">
        <v>1250</v>
      </c>
      <c r="AV30" s="249" t="s">
        <v>1250</v>
      </c>
      <c r="AW30" s="249" t="s">
        <v>1250</v>
      </c>
      <c r="AX30" s="249" t="s">
        <v>1250</v>
      </c>
      <c r="AY30" s="249" t="s">
        <v>1250</v>
      </c>
      <c r="AZ30" s="46"/>
      <c r="BA30" s="65" t="s">
        <v>1560</v>
      </c>
    </row>
    <row r="31" spans="1:53" ht="16.899999999999999" customHeight="1" x14ac:dyDescent="0.2">
      <c r="A31" s="71" t="s">
        <v>1559</v>
      </c>
      <c r="B31" s="71"/>
      <c r="C31" s="71" t="s">
        <v>1308</v>
      </c>
      <c r="D31" s="129" t="s">
        <v>1275</v>
      </c>
      <c r="E31" s="129" t="s">
        <v>190</v>
      </c>
      <c r="F31" s="104"/>
      <c r="G31" s="293">
        <f t="shared" ref="G31:P31" si="12">IFERROR(G30/$P$30,"")</f>
        <v>2.6146580309715692E-4</v>
      </c>
      <c r="H31" s="293">
        <f t="shared" si="12"/>
        <v>0.20875758017146365</v>
      </c>
      <c r="I31" s="293">
        <f t="shared" si="12"/>
        <v>0.23109551432672734</v>
      </c>
      <c r="J31" s="293">
        <f t="shared" si="12"/>
        <v>0.16276304867417546</v>
      </c>
      <c r="K31" s="293">
        <f t="shared" si="12"/>
        <v>0.13699831005298879</v>
      </c>
      <c r="L31" s="293">
        <f t="shared" si="12"/>
        <v>0.1320992460143896</v>
      </c>
      <c r="M31" s="293">
        <f t="shared" si="12"/>
        <v>7.741498257978871E-2</v>
      </c>
      <c r="N31" s="293">
        <f t="shared" si="12"/>
        <v>4.6283746286962191E-2</v>
      </c>
      <c r="O31" s="293">
        <f t="shared" si="12"/>
        <v>4.3261060904072187E-3</v>
      </c>
      <c r="P31" s="293">
        <f t="shared" si="12"/>
        <v>1</v>
      </c>
      <c r="Q31" s="320"/>
      <c r="S31" s="109"/>
      <c r="T31" s="109"/>
      <c r="U31" s="109"/>
      <c r="V31" s="109"/>
      <c r="W31" s="109"/>
      <c r="X31" s="109"/>
      <c r="Y31" s="109"/>
      <c r="Z31" s="109"/>
      <c r="AA31" s="109"/>
      <c r="AB31" s="109"/>
      <c r="AD31" s="293">
        <f t="shared" ref="AD31:AM31" si="13">IFERROR(AD30/$AM$30,"")</f>
        <v>2.6146580310719333E-4</v>
      </c>
      <c r="AE31" s="293">
        <f t="shared" si="13"/>
        <v>0.2087575801794769</v>
      </c>
      <c r="AF31" s="293">
        <f t="shared" si="13"/>
        <v>0.23109551437468115</v>
      </c>
      <c r="AG31" s="293">
        <f t="shared" si="13"/>
        <v>0.16276304868042318</v>
      </c>
      <c r="AH31" s="293">
        <f t="shared" si="13"/>
        <v>0.13699831001951307</v>
      </c>
      <c r="AI31" s="293">
        <f t="shared" si="13"/>
        <v>0.13209924598072578</v>
      </c>
      <c r="AJ31" s="293">
        <f t="shared" si="13"/>
        <v>7.7414982582760306E-2</v>
      </c>
      <c r="AK31" s="293">
        <f t="shared" si="13"/>
        <v>4.6283746288738818E-2</v>
      </c>
      <c r="AL31" s="293">
        <f t="shared" si="13"/>
        <v>4.3261060905732786E-3</v>
      </c>
      <c r="AM31" s="293">
        <f t="shared" si="13"/>
        <v>1</v>
      </c>
      <c r="AN31" s="320"/>
      <c r="AP31" s="109"/>
      <c r="AQ31" s="109"/>
      <c r="AR31" s="109"/>
      <c r="AS31" s="109"/>
      <c r="AT31" s="109"/>
      <c r="AU31" s="109"/>
      <c r="AV31" s="109"/>
      <c r="AW31" s="109"/>
      <c r="AX31" s="109"/>
      <c r="AY31" s="109"/>
      <c r="BA31" s="65" t="s">
        <v>1309</v>
      </c>
    </row>
    <row r="32" spans="1:53" ht="17.649999999999999" customHeight="1" x14ac:dyDescent="0.2">
      <c r="A32" s="124"/>
      <c r="B32" s="124"/>
      <c r="C32" s="124"/>
      <c r="D32" s="321"/>
      <c r="E32" s="321"/>
      <c r="G32" s="124"/>
      <c r="H32" s="124"/>
      <c r="I32" s="124"/>
      <c r="J32" s="124"/>
      <c r="K32" s="124"/>
      <c r="L32" s="124"/>
      <c r="M32" s="124"/>
      <c r="N32" s="124"/>
      <c r="O32" s="124"/>
      <c r="P32" s="109"/>
      <c r="AD32" s="124"/>
      <c r="AE32" s="124"/>
      <c r="AF32" s="124"/>
      <c r="AG32" s="124"/>
      <c r="AH32" s="124"/>
      <c r="AI32" s="124"/>
      <c r="AJ32" s="124"/>
      <c r="AK32" s="124"/>
      <c r="AL32" s="124"/>
      <c r="AM32" s="109"/>
    </row>
    <row r="33" spans="1:53" ht="18.399999999999999" customHeight="1" x14ac:dyDescent="0.25">
      <c r="A33" s="316"/>
      <c r="B33" s="172"/>
      <c r="C33" s="172" t="s">
        <v>1310</v>
      </c>
      <c r="D33" s="317"/>
      <c r="E33" s="318"/>
      <c r="F33" s="214"/>
      <c r="G33" s="296" t="s">
        <v>1231</v>
      </c>
      <c r="H33" s="297" t="s">
        <v>1232</v>
      </c>
      <c r="I33" s="297" t="s">
        <v>1233</v>
      </c>
      <c r="J33" s="297" t="s">
        <v>1234</v>
      </c>
      <c r="K33" s="297" t="s">
        <v>1235</v>
      </c>
      <c r="L33" s="297" t="s">
        <v>1236</v>
      </c>
      <c r="M33" s="297" t="s">
        <v>1237</v>
      </c>
      <c r="N33" s="297" t="s">
        <v>1238</v>
      </c>
      <c r="O33" s="298" t="s">
        <v>1239</v>
      </c>
      <c r="P33" s="101"/>
      <c r="AD33" s="296" t="s">
        <v>1231</v>
      </c>
      <c r="AE33" s="297" t="s">
        <v>1232</v>
      </c>
      <c r="AF33" s="297" t="s">
        <v>1233</v>
      </c>
      <c r="AG33" s="297" t="s">
        <v>1234</v>
      </c>
      <c r="AH33" s="297" t="s">
        <v>1235</v>
      </c>
      <c r="AI33" s="297" t="s">
        <v>1236</v>
      </c>
      <c r="AJ33" s="297" t="s">
        <v>1237</v>
      </c>
      <c r="AK33" s="297" t="s">
        <v>1238</v>
      </c>
      <c r="AL33" s="298" t="s">
        <v>1239</v>
      </c>
      <c r="AM33" s="101"/>
    </row>
    <row r="34" spans="1:53" ht="16.899999999999999" customHeight="1" x14ac:dyDescent="0.2">
      <c r="A34" s="289" t="s">
        <v>1561</v>
      </c>
      <c r="B34" s="289"/>
      <c r="C34" s="289" t="s">
        <v>1312</v>
      </c>
      <c r="D34" s="290" t="s">
        <v>1313</v>
      </c>
      <c r="E34" s="290" t="s">
        <v>223</v>
      </c>
      <c r="F34" s="104"/>
      <c r="G34" s="299">
        <v>5</v>
      </c>
      <c r="H34" s="299">
        <v>6</v>
      </c>
      <c r="I34" s="299">
        <v>7</v>
      </c>
      <c r="J34" s="299">
        <v>8</v>
      </c>
      <c r="K34" s="299">
        <v>9</v>
      </c>
      <c r="L34" s="299">
        <v>11</v>
      </c>
      <c r="M34" s="299">
        <v>13</v>
      </c>
      <c r="N34" s="299">
        <v>15</v>
      </c>
      <c r="O34" s="299">
        <v>18</v>
      </c>
      <c r="P34" s="46"/>
      <c r="AD34" s="299">
        <v>5</v>
      </c>
      <c r="AE34" s="299">
        <v>6</v>
      </c>
      <c r="AF34" s="299">
        <v>7</v>
      </c>
      <c r="AG34" s="299">
        <v>8</v>
      </c>
      <c r="AH34" s="299">
        <v>9</v>
      </c>
      <c r="AI34" s="299">
        <v>11</v>
      </c>
      <c r="AJ34" s="299">
        <v>13</v>
      </c>
      <c r="AK34" s="299">
        <v>15</v>
      </c>
      <c r="AL34" s="299">
        <v>18</v>
      </c>
      <c r="AM34" s="46"/>
      <c r="BA34" s="65" t="s">
        <v>1312</v>
      </c>
    </row>
    <row r="35" spans="1:53" ht="16.899999999999999" customHeight="1" x14ac:dyDescent="0.2">
      <c r="A35" s="71" t="s">
        <v>1562</v>
      </c>
      <c r="B35" s="71"/>
      <c r="C35" s="71" t="s">
        <v>1315</v>
      </c>
      <c r="D35" s="129" t="s">
        <v>1313</v>
      </c>
      <c r="E35" s="129" t="s">
        <v>190</v>
      </c>
      <c r="F35" s="104"/>
      <c r="G35" s="300">
        <f t="shared" ref="G35:O35" si="14">G34/COUNTA($G$33:$O$33)</f>
        <v>0.55555555555555558</v>
      </c>
      <c r="H35" s="300">
        <f t="shared" si="14"/>
        <v>0.66666666666666663</v>
      </c>
      <c r="I35" s="300">
        <f t="shared" si="14"/>
        <v>0.77777777777777779</v>
      </c>
      <c r="J35" s="300">
        <f t="shared" si="14"/>
        <v>0.88888888888888884</v>
      </c>
      <c r="K35" s="300">
        <f t="shared" si="14"/>
        <v>1</v>
      </c>
      <c r="L35" s="300">
        <f t="shared" si="14"/>
        <v>1.2222222222222223</v>
      </c>
      <c r="M35" s="300">
        <f t="shared" si="14"/>
        <v>1.4444444444444444</v>
      </c>
      <c r="N35" s="300">
        <f t="shared" si="14"/>
        <v>1.6666666666666667</v>
      </c>
      <c r="O35" s="300">
        <f t="shared" si="14"/>
        <v>2</v>
      </c>
      <c r="P35" s="46"/>
      <c r="AD35" s="300">
        <f t="shared" ref="AD35:AL35" si="15">AD34/COUNTA($G$33:$O$33)</f>
        <v>0.55555555555555558</v>
      </c>
      <c r="AE35" s="300">
        <f t="shared" si="15"/>
        <v>0.66666666666666663</v>
      </c>
      <c r="AF35" s="300">
        <f t="shared" si="15"/>
        <v>0.77777777777777779</v>
      </c>
      <c r="AG35" s="300">
        <f t="shared" si="15"/>
        <v>0.88888888888888884</v>
      </c>
      <c r="AH35" s="300">
        <f t="shared" si="15"/>
        <v>1</v>
      </c>
      <c r="AI35" s="300">
        <f t="shared" si="15"/>
        <v>1.2222222222222223</v>
      </c>
      <c r="AJ35" s="300">
        <f t="shared" si="15"/>
        <v>1.4444444444444444</v>
      </c>
      <c r="AK35" s="300">
        <f t="shared" si="15"/>
        <v>1.6666666666666667</v>
      </c>
      <c r="AL35" s="300">
        <f t="shared" si="15"/>
        <v>2</v>
      </c>
      <c r="AM35" s="46"/>
      <c r="BA35" s="65" t="s">
        <v>1315</v>
      </c>
    </row>
    <row r="36" spans="1:53" ht="17.649999999999999" customHeight="1" x14ac:dyDescent="0.2">
      <c r="A36" s="124"/>
      <c r="B36" s="124"/>
      <c r="C36" s="124"/>
      <c r="D36" s="321"/>
      <c r="E36" s="321"/>
      <c r="G36" s="124"/>
      <c r="H36" s="124"/>
      <c r="I36" s="124"/>
      <c r="J36" s="124"/>
      <c r="K36" s="124"/>
      <c r="L36" s="124"/>
      <c r="M36" s="124"/>
      <c r="N36" s="124"/>
      <c r="O36" s="124"/>
      <c r="AD36" s="124"/>
      <c r="AE36" s="124"/>
      <c r="AF36" s="124"/>
      <c r="AG36" s="124"/>
      <c r="AH36" s="124"/>
      <c r="AI36" s="124"/>
      <c r="AJ36" s="124"/>
      <c r="AK36" s="124"/>
      <c r="AL36" s="124"/>
    </row>
    <row r="37" spans="1:53" ht="53.25" customHeight="1" x14ac:dyDescent="0.25">
      <c r="A37" s="316"/>
      <c r="B37" s="172"/>
      <c r="C37" s="172" t="s">
        <v>1563</v>
      </c>
      <c r="D37" s="317"/>
      <c r="E37" s="318"/>
      <c r="F37" s="214"/>
      <c r="G37" s="168" t="s">
        <v>1231</v>
      </c>
      <c r="H37" s="169" t="s">
        <v>1232</v>
      </c>
      <c r="I37" s="169" t="s">
        <v>1233</v>
      </c>
      <c r="J37" s="169" t="s">
        <v>1234</v>
      </c>
      <c r="K37" s="169" t="s">
        <v>1235</v>
      </c>
      <c r="L37" s="169" t="s">
        <v>1236</v>
      </c>
      <c r="M37" s="169" t="s">
        <v>1237</v>
      </c>
      <c r="N37" s="169" t="s">
        <v>1238</v>
      </c>
      <c r="O37" s="169" t="s">
        <v>1239</v>
      </c>
      <c r="P37" s="169" t="s">
        <v>1240</v>
      </c>
      <c r="Q37" s="170" t="s">
        <v>1241</v>
      </c>
      <c r="R37" s="101"/>
      <c r="AD37" s="168" t="s">
        <v>1231</v>
      </c>
      <c r="AE37" s="169" t="s">
        <v>1232</v>
      </c>
      <c r="AF37" s="169" t="s">
        <v>1233</v>
      </c>
      <c r="AG37" s="169" t="s">
        <v>1234</v>
      </c>
      <c r="AH37" s="169" t="s">
        <v>1235</v>
      </c>
      <c r="AI37" s="169" t="s">
        <v>1236</v>
      </c>
      <c r="AJ37" s="169" t="s">
        <v>1237</v>
      </c>
      <c r="AK37" s="169" t="s">
        <v>1238</v>
      </c>
      <c r="AL37" s="169" t="s">
        <v>1239</v>
      </c>
      <c r="AM37" s="169" t="s">
        <v>1240</v>
      </c>
      <c r="AN37" s="170" t="s">
        <v>1241</v>
      </c>
      <c r="AO37" s="101"/>
    </row>
    <row r="38" spans="1:53" ht="16.899999999999999" customHeight="1" x14ac:dyDescent="0.2">
      <c r="A38" s="289" t="s">
        <v>1564</v>
      </c>
      <c r="B38" s="289" t="s">
        <v>1244</v>
      </c>
      <c r="C38" s="289" t="s">
        <v>1318</v>
      </c>
      <c r="D38" s="290" t="s">
        <v>1246</v>
      </c>
      <c r="E38" s="290" t="s">
        <v>190</v>
      </c>
      <c r="F38" s="104"/>
      <c r="G38" s="301">
        <f t="shared" ref="G38:O38" si="16">G$35*G14</f>
        <v>123.8888888888889</v>
      </c>
      <c r="H38" s="301">
        <f t="shared" si="16"/>
        <v>67670.420400000003</v>
      </c>
      <c r="I38" s="301">
        <f t="shared" si="16"/>
        <v>160239.0653111111</v>
      </c>
      <c r="J38" s="301">
        <f t="shared" si="16"/>
        <v>160271.9848888889</v>
      </c>
      <c r="K38" s="301">
        <f t="shared" si="16"/>
        <v>190455.10949999999</v>
      </c>
      <c r="L38" s="301">
        <f t="shared" si="16"/>
        <v>268194.40841111116</v>
      </c>
      <c r="M38" s="301">
        <f t="shared" si="16"/>
        <v>212190.32452222222</v>
      </c>
      <c r="N38" s="301">
        <f t="shared" si="16"/>
        <v>155225.29216666668</v>
      </c>
      <c r="O38" s="301">
        <f t="shared" si="16"/>
        <v>17339.886399999999</v>
      </c>
      <c r="P38" s="301">
        <f t="shared" ref="P38:P51" si="17">SUM(G38:O38)</f>
        <v>1231710.3804888888</v>
      </c>
      <c r="Q38" s="302">
        <f t="shared" ref="Q38:Q52" si="18">IFERROR(P38/$P$52,"")</f>
        <v>0.50155142537354236</v>
      </c>
      <c r="R38" s="46"/>
      <c r="AD38" s="301">
        <f t="shared" ref="AD38:AL38" si="19">AD$35*AD14</f>
        <v>125.00388888888889</v>
      </c>
      <c r="AE38" s="301">
        <f t="shared" si="19"/>
        <v>68279.454199999993</v>
      </c>
      <c r="AF38" s="301">
        <f t="shared" si="19"/>
        <v>161681.2169</v>
      </c>
      <c r="AG38" s="301">
        <f t="shared" si="19"/>
        <v>161714.43279999998</v>
      </c>
      <c r="AH38" s="301">
        <f t="shared" si="19"/>
        <v>192169.20550000001</v>
      </c>
      <c r="AI38" s="301">
        <f t="shared" si="19"/>
        <v>270608.15808888891</v>
      </c>
      <c r="AJ38" s="301">
        <f t="shared" si="19"/>
        <v>214100.03752222221</v>
      </c>
      <c r="AK38" s="301">
        <f t="shared" si="19"/>
        <v>156622.31983333334</v>
      </c>
      <c r="AL38" s="301">
        <f t="shared" si="19"/>
        <v>17495.945400000001</v>
      </c>
      <c r="AM38" s="301">
        <f t="shared" ref="AM38:AM51" si="20">SUM(AD38:AL38)</f>
        <v>1242795.7741333335</v>
      </c>
      <c r="AN38" s="302">
        <f t="shared" ref="AN38:AN52" si="21">IFERROR(AM38/$AM$52,"")</f>
        <v>0.50155142549144049</v>
      </c>
      <c r="AO38" s="46"/>
      <c r="BA38" s="65" t="s">
        <v>1566</v>
      </c>
    </row>
    <row r="39" spans="1:53" ht="16.899999999999999" customHeight="1" x14ac:dyDescent="0.2">
      <c r="A39" s="71" t="s">
        <v>1565</v>
      </c>
      <c r="B39" s="71" t="s">
        <v>1244</v>
      </c>
      <c r="C39" s="71" t="s">
        <v>1321</v>
      </c>
      <c r="D39" s="129" t="s">
        <v>1246</v>
      </c>
      <c r="E39" s="129" t="s">
        <v>190</v>
      </c>
      <c r="F39" s="104"/>
      <c r="G39" s="292">
        <f t="shared" ref="G39:O39" si="22">G$35*G15</f>
        <v>0</v>
      </c>
      <c r="H39" s="292">
        <f t="shared" si="22"/>
        <v>1246.5067999999999</v>
      </c>
      <c r="I39" s="292">
        <f t="shared" si="22"/>
        <v>1892.5937333333334</v>
      </c>
      <c r="J39" s="292">
        <f t="shared" si="22"/>
        <v>2394.0937777777776</v>
      </c>
      <c r="K39" s="292">
        <f t="shared" si="22"/>
        <v>2511.5016000000001</v>
      </c>
      <c r="L39" s="292">
        <f t="shared" si="22"/>
        <v>3225.4446888888892</v>
      </c>
      <c r="M39" s="292">
        <f t="shared" si="22"/>
        <v>2068.4994777777779</v>
      </c>
      <c r="N39" s="292">
        <f t="shared" si="22"/>
        <v>1552.5538333333334</v>
      </c>
      <c r="O39" s="292">
        <f t="shared" si="22"/>
        <v>325.5204</v>
      </c>
      <c r="P39" s="292">
        <f t="shared" si="17"/>
        <v>15216.714311111109</v>
      </c>
      <c r="Q39" s="293">
        <f t="shared" si="18"/>
        <v>6.1962331998943517E-3</v>
      </c>
      <c r="R39" s="46"/>
      <c r="AD39" s="292">
        <f t="shared" ref="AD39:AL39" si="23">AD$35*AD15</f>
        <v>0</v>
      </c>
      <c r="AE39" s="292">
        <f t="shared" si="23"/>
        <v>1257.7253333333333</v>
      </c>
      <c r="AF39" s="292">
        <f t="shared" si="23"/>
        <v>1909.6270666666669</v>
      </c>
      <c r="AG39" s="292">
        <f t="shared" si="23"/>
        <v>2415.6406222222217</v>
      </c>
      <c r="AH39" s="292">
        <f t="shared" si="23"/>
        <v>2534.1051000000002</v>
      </c>
      <c r="AI39" s="292">
        <f t="shared" si="23"/>
        <v>3254.4736888888892</v>
      </c>
      <c r="AJ39" s="292">
        <f t="shared" si="23"/>
        <v>2087.1160555555557</v>
      </c>
      <c r="AK39" s="292">
        <f t="shared" si="23"/>
        <v>1566.5268333333333</v>
      </c>
      <c r="AL39" s="292">
        <f t="shared" si="23"/>
        <v>328.45</v>
      </c>
      <c r="AM39" s="292">
        <f t="shared" si="20"/>
        <v>15353.664700000001</v>
      </c>
      <c r="AN39" s="293">
        <f t="shared" si="21"/>
        <v>6.1962331841469917E-3</v>
      </c>
      <c r="AO39" s="46"/>
      <c r="BA39" s="65" t="s">
        <v>1568</v>
      </c>
    </row>
    <row r="40" spans="1:53" ht="16.899999999999999" customHeight="1" x14ac:dyDescent="0.2">
      <c r="A40" s="71" t="s">
        <v>1567</v>
      </c>
      <c r="B40" s="71" t="s">
        <v>1244</v>
      </c>
      <c r="C40" s="71" t="s">
        <v>1256</v>
      </c>
      <c r="D40" s="129" t="s">
        <v>1246</v>
      </c>
      <c r="E40" s="129" t="s">
        <v>190</v>
      </c>
      <c r="F40" s="104"/>
      <c r="G40" s="292">
        <f t="shared" ref="G40:O40" si="24">G$35*G16</f>
        <v>0</v>
      </c>
      <c r="H40" s="292">
        <f t="shared" si="24"/>
        <v>5353.6646666666666</v>
      </c>
      <c r="I40" s="292">
        <f t="shared" si="24"/>
        <v>6147.8509555555556</v>
      </c>
      <c r="J40" s="292">
        <f t="shared" si="24"/>
        <v>4641.5855111111105</v>
      </c>
      <c r="K40" s="292">
        <f t="shared" si="24"/>
        <v>4300.9822999999997</v>
      </c>
      <c r="L40" s="292">
        <f t="shared" si="24"/>
        <v>4000.5251000000003</v>
      </c>
      <c r="M40" s="292">
        <f t="shared" si="24"/>
        <v>2256.5267111111111</v>
      </c>
      <c r="N40" s="292">
        <f t="shared" si="24"/>
        <v>1605.4096666666667</v>
      </c>
      <c r="O40" s="292">
        <f t="shared" si="24"/>
        <v>338.59320000000002</v>
      </c>
      <c r="P40" s="292">
        <f t="shared" si="17"/>
        <v>28645.138111111108</v>
      </c>
      <c r="Q40" s="293">
        <f t="shared" si="18"/>
        <v>1.1664276015882259E-2</v>
      </c>
      <c r="R40" s="46"/>
      <c r="AD40" s="292">
        <f t="shared" ref="AD40:AL40" si="25">AD$35*AD16</f>
        <v>0</v>
      </c>
      <c r="AE40" s="292">
        <f t="shared" si="25"/>
        <v>5401.8476666666666</v>
      </c>
      <c r="AF40" s="292">
        <f t="shared" si="25"/>
        <v>6203.1815999999999</v>
      </c>
      <c r="AG40" s="292">
        <f t="shared" si="25"/>
        <v>4683.3597333333328</v>
      </c>
      <c r="AH40" s="292">
        <f t="shared" si="25"/>
        <v>4339.6912000000002</v>
      </c>
      <c r="AI40" s="292">
        <f t="shared" si="25"/>
        <v>4036.5298111111115</v>
      </c>
      <c r="AJ40" s="292">
        <f t="shared" si="25"/>
        <v>2276.8354555555557</v>
      </c>
      <c r="AK40" s="292">
        <f t="shared" si="25"/>
        <v>1619.8583333333333</v>
      </c>
      <c r="AL40" s="292">
        <f t="shared" si="25"/>
        <v>341.64060000000001</v>
      </c>
      <c r="AM40" s="292">
        <f t="shared" si="20"/>
        <v>28902.9444</v>
      </c>
      <c r="AN40" s="293">
        <f t="shared" si="21"/>
        <v>1.1664276035078157E-2</v>
      </c>
      <c r="AO40" s="46"/>
      <c r="BA40" s="65" t="s">
        <v>1570</v>
      </c>
    </row>
    <row r="41" spans="1:53" ht="16.899999999999999" customHeight="1" x14ac:dyDescent="0.2">
      <c r="A41" s="71" t="s">
        <v>1569</v>
      </c>
      <c r="B41" s="71" t="s">
        <v>1244</v>
      </c>
      <c r="C41" s="71" t="s">
        <v>1326</v>
      </c>
      <c r="D41" s="129" t="s">
        <v>1246</v>
      </c>
      <c r="E41" s="129" t="s">
        <v>190</v>
      </c>
      <c r="F41" s="104"/>
      <c r="G41" s="292">
        <f t="shared" ref="G41:O41" si="26">G$35*G17</f>
        <v>24.409055555555558</v>
      </c>
      <c r="H41" s="292">
        <f t="shared" si="26"/>
        <v>21118.993399999999</v>
      </c>
      <c r="I41" s="292">
        <f t="shared" si="26"/>
        <v>21332.615033333335</v>
      </c>
      <c r="J41" s="292">
        <f t="shared" si="26"/>
        <v>12879.779733333333</v>
      </c>
      <c r="K41" s="292">
        <f t="shared" si="26"/>
        <v>7564.6578</v>
      </c>
      <c r="L41" s="292">
        <f t="shared" si="26"/>
        <v>5841.3626333333341</v>
      </c>
      <c r="M41" s="292">
        <f t="shared" si="26"/>
        <v>2689.5295555555554</v>
      </c>
      <c r="N41" s="292">
        <f t="shared" si="26"/>
        <v>1050.6455000000001</v>
      </c>
      <c r="O41" s="292">
        <f t="shared" si="26"/>
        <v>63.454599999999999</v>
      </c>
      <c r="P41" s="292">
        <f t="shared" si="17"/>
        <v>72565.4473111111</v>
      </c>
      <c r="Q41" s="293">
        <f t="shared" si="18"/>
        <v>2.9548588782137637E-2</v>
      </c>
      <c r="R41" s="46"/>
      <c r="AD41" s="292">
        <f t="shared" ref="AD41:AL41" si="27">AD$35*AD17</f>
        <v>24.628722222222223</v>
      </c>
      <c r="AE41" s="292">
        <f t="shared" si="27"/>
        <v>21309.064333333332</v>
      </c>
      <c r="AF41" s="292">
        <f t="shared" si="27"/>
        <v>21524.608622222222</v>
      </c>
      <c r="AG41" s="292">
        <f t="shared" si="27"/>
        <v>12995.697688888889</v>
      </c>
      <c r="AH41" s="292">
        <f t="shared" si="27"/>
        <v>7632.7397000000001</v>
      </c>
      <c r="AI41" s="292">
        <f t="shared" si="27"/>
        <v>5893.9349333333339</v>
      </c>
      <c r="AJ41" s="292">
        <f t="shared" si="27"/>
        <v>2713.7352666666666</v>
      </c>
      <c r="AK41" s="292">
        <f t="shared" si="27"/>
        <v>1060.1013333333333</v>
      </c>
      <c r="AL41" s="292">
        <f t="shared" si="27"/>
        <v>64.025599999999997</v>
      </c>
      <c r="AM41" s="292">
        <f t="shared" si="20"/>
        <v>73218.536200000002</v>
      </c>
      <c r="AN41" s="293">
        <f t="shared" si="21"/>
        <v>2.9548588728598963E-2</v>
      </c>
      <c r="AO41" s="46"/>
      <c r="BA41" s="65" t="s">
        <v>1572</v>
      </c>
    </row>
    <row r="42" spans="1:53" ht="16.899999999999999" customHeight="1" x14ac:dyDescent="0.2">
      <c r="A42" s="71" t="s">
        <v>1571</v>
      </c>
      <c r="B42" s="71" t="s">
        <v>1244</v>
      </c>
      <c r="C42" s="71" t="s">
        <v>1329</v>
      </c>
      <c r="D42" s="129" t="s">
        <v>1246</v>
      </c>
      <c r="E42" s="129" t="s">
        <v>190</v>
      </c>
      <c r="F42" s="104"/>
      <c r="G42" s="292">
        <f t="shared" ref="G42:O42" si="28">G$35*G18</f>
        <v>43.00461111111111</v>
      </c>
      <c r="H42" s="292">
        <f t="shared" si="28"/>
        <v>30194.199866666666</v>
      </c>
      <c r="I42" s="292">
        <f t="shared" si="28"/>
        <v>29916.111711111113</v>
      </c>
      <c r="J42" s="292">
        <f t="shared" si="28"/>
        <v>18402.9064</v>
      </c>
      <c r="K42" s="292">
        <f t="shared" si="28"/>
        <v>9666.7389999999996</v>
      </c>
      <c r="L42" s="292">
        <f t="shared" si="28"/>
        <v>4881.9944555555558</v>
      </c>
      <c r="M42" s="292">
        <f t="shared" si="28"/>
        <v>1775.0685333333336</v>
      </c>
      <c r="N42" s="292">
        <f t="shared" si="28"/>
        <v>778.70966666666664</v>
      </c>
      <c r="O42" s="292">
        <f t="shared" si="28"/>
        <v>45.111199999999997</v>
      </c>
      <c r="P42" s="292">
        <f t="shared" si="17"/>
        <v>95703.845444444451</v>
      </c>
      <c r="Q42" s="293">
        <f t="shared" si="18"/>
        <v>3.8970524935689879E-2</v>
      </c>
      <c r="R42" s="46"/>
      <c r="AD42" s="292">
        <f t="shared" ref="AD42:AL42" si="29">AD$35*AD18</f>
        <v>43.391666666666673</v>
      </c>
      <c r="AE42" s="292">
        <f t="shared" si="29"/>
        <v>30465.947666666663</v>
      </c>
      <c r="AF42" s="292">
        <f t="shared" si="29"/>
        <v>30185.35675555556</v>
      </c>
      <c r="AG42" s="292">
        <f t="shared" si="29"/>
        <v>18568.532622222221</v>
      </c>
      <c r="AH42" s="292">
        <f t="shared" si="29"/>
        <v>9753.7396000000008</v>
      </c>
      <c r="AI42" s="292">
        <f t="shared" si="29"/>
        <v>4925.9323666666669</v>
      </c>
      <c r="AJ42" s="292">
        <f t="shared" si="29"/>
        <v>1791.0440888888888</v>
      </c>
      <c r="AK42" s="292">
        <f t="shared" si="29"/>
        <v>785.71799999999996</v>
      </c>
      <c r="AL42" s="292">
        <f t="shared" si="29"/>
        <v>45.517200000000003</v>
      </c>
      <c r="AM42" s="292">
        <f t="shared" si="20"/>
        <v>96565.179966666648</v>
      </c>
      <c r="AN42" s="293">
        <f t="shared" si="21"/>
        <v>3.8970524902929925E-2</v>
      </c>
      <c r="AO42" s="46"/>
      <c r="BA42" s="65" t="s">
        <v>1574</v>
      </c>
    </row>
    <row r="43" spans="1:53" ht="16.899999999999999" customHeight="1" x14ac:dyDescent="0.2">
      <c r="A43" s="71" t="s">
        <v>1573</v>
      </c>
      <c r="B43" s="71" t="s">
        <v>1266</v>
      </c>
      <c r="C43" s="71" t="s">
        <v>1288</v>
      </c>
      <c r="D43" s="129" t="s">
        <v>1246</v>
      </c>
      <c r="E43" s="129" t="s">
        <v>190</v>
      </c>
      <c r="F43" s="104"/>
      <c r="G43" s="292">
        <f t="shared" ref="G43:O43" si="30">G$35*G19</f>
        <v>80</v>
      </c>
      <c r="H43" s="292">
        <f t="shared" si="30"/>
        <v>97949.333333333328</v>
      </c>
      <c r="I43" s="292">
        <f t="shared" si="30"/>
        <v>138110.77777777778</v>
      </c>
      <c r="J43" s="292">
        <f t="shared" si="30"/>
        <v>111005.33333333333</v>
      </c>
      <c r="K43" s="292">
        <f t="shared" si="30"/>
        <v>100083</v>
      </c>
      <c r="L43" s="292">
        <f t="shared" si="30"/>
        <v>97119.000000000015</v>
      </c>
      <c r="M43" s="292">
        <f t="shared" si="30"/>
        <v>51644.666666666664</v>
      </c>
      <c r="N43" s="292">
        <f t="shared" si="30"/>
        <v>30521.666666666668</v>
      </c>
      <c r="O43" s="292">
        <f t="shared" si="30"/>
        <v>2642</v>
      </c>
      <c r="P43" s="292">
        <f t="shared" si="17"/>
        <v>629155.77777777775</v>
      </c>
      <c r="Q43" s="293">
        <f t="shared" si="18"/>
        <v>0.25619170068307362</v>
      </c>
      <c r="R43" s="46"/>
      <c r="AD43" s="292">
        <f t="shared" ref="AD43:AL43" si="31">AD$35*AD19</f>
        <v>80.72</v>
      </c>
      <c r="AE43" s="292">
        <f t="shared" si="31"/>
        <v>98830.877333333323</v>
      </c>
      <c r="AF43" s="292">
        <f t="shared" si="31"/>
        <v>139353.77477777778</v>
      </c>
      <c r="AG43" s="292">
        <f t="shared" si="31"/>
        <v>112004.38133333332</v>
      </c>
      <c r="AH43" s="292">
        <f t="shared" si="31"/>
        <v>100983.747</v>
      </c>
      <c r="AI43" s="292">
        <f t="shared" si="31"/>
        <v>97993.071000000011</v>
      </c>
      <c r="AJ43" s="292">
        <f t="shared" si="31"/>
        <v>52109.468666666668</v>
      </c>
      <c r="AK43" s="292">
        <f t="shared" si="31"/>
        <v>30796.361666666668</v>
      </c>
      <c r="AL43" s="292">
        <f t="shared" si="31"/>
        <v>2665.7779999999998</v>
      </c>
      <c r="AM43" s="292">
        <f t="shared" si="20"/>
        <v>634818.17977777787</v>
      </c>
      <c r="AN43" s="293">
        <f t="shared" si="21"/>
        <v>0.25619170069793551</v>
      </c>
      <c r="AO43" s="46"/>
      <c r="BA43" s="65" t="s">
        <v>1576</v>
      </c>
    </row>
    <row r="44" spans="1:53" ht="16.899999999999999" customHeight="1" x14ac:dyDescent="0.2">
      <c r="A44" s="71" t="s">
        <v>1575</v>
      </c>
      <c r="B44" s="71" t="s">
        <v>1266</v>
      </c>
      <c r="C44" s="71" t="s">
        <v>1334</v>
      </c>
      <c r="D44" s="129" t="s">
        <v>1246</v>
      </c>
      <c r="E44" s="129" t="s">
        <v>190</v>
      </c>
      <c r="F44" s="104"/>
      <c r="G44" s="292">
        <f t="shared" ref="G44:O44" si="32">G$35*G22</f>
        <v>4.354845723555556</v>
      </c>
      <c r="H44" s="292">
        <f t="shared" si="32"/>
        <v>6157.448270355133</v>
      </c>
      <c r="I44" s="292">
        <f t="shared" si="32"/>
        <v>5414.5686281386006</v>
      </c>
      <c r="J44" s="292">
        <f t="shared" si="32"/>
        <v>3224.5973480431994</v>
      </c>
      <c r="K44" s="292">
        <f t="shared" si="32"/>
        <v>1690.3742511922001</v>
      </c>
      <c r="L44" s="292">
        <f t="shared" si="32"/>
        <v>963.30165814507802</v>
      </c>
      <c r="M44" s="292">
        <f t="shared" si="32"/>
        <v>371.67840165299992</v>
      </c>
      <c r="N44" s="292">
        <f t="shared" si="32"/>
        <v>119.95356680950002</v>
      </c>
      <c r="O44" s="292">
        <f t="shared" si="32"/>
        <v>1.2854526238000001</v>
      </c>
      <c r="P44" s="292">
        <f t="shared" si="17"/>
        <v>17947.56242268407</v>
      </c>
      <c r="Q44" s="293">
        <f t="shared" si="18"/>
        <v>7.3082322416613147E-3</v>
      </c>
      <c r="R44" s="46"/>
      <c r="AD44" s="292">
        <f t="shared" ref="AD44:AL44" si="33">AD$35*AD22</f>
        <v>4.5394967881333335</v>
      </c>
      <c r="AE44" s="292">
        <f t="shared" si="33"/>
        <v>6371.6729118384328</v>
      </c>
      <c r="AF44" s="292">
        <f t="shared" si="33"/>
        <v>5602.1848119735705</v>
      </c>
      <c r="AG44" s="292">
        <f t="shared" si="33"/>
        <v>3334.6590679849774</v>
      </c>
      <c r="AH44" s="292">
        <f t="shared" si="33"/>
        <v>1746.9041851663997</v>
      </c>
      <c r="AI44" s="292">
        <f t="shared" si="33"/>
        <v>1002.5853827596445</v>
      </c>
      <c r="AJ44" s="292">
        <f t="shared" si="33"/>
        <v>386.49462276143328</v>
      </c>
      <c r="AK44" s="292">
        <f t="shared" si="33"/>
        <v>124.349389948</v>
      </c>
      <c r="AL44" s="292">
        <f t="shared" si="33"/>
        <v>1.3668466312799998</v>
      </c>
      <c r="AM44" s="292">
        <f t="shared" si="20"/>
        <v>18574.756715851876</v>
      </c>
      <c r="AN44" s="293">
        <f t="shared" si="21"/>
        <v>7.4961597898004495E-3</v>
      </c>
      <c r="AO44" s="46"/>
      <c r="BA44" s="65" t="s">
        <v>1578</v>
      </c>
    </row>
    <row r="45" spans="1:53" ht="16.899999999999999" customHeight="1" x14ac:dyDescent="0.2">
      <c r="A45" s="71" t="s">
        <v>1577</v>
      </c>
      <c r="B45" s="71" t="s">
        <v>1266</v>
      </c>
      <c r="C45" s="71" t="s">
        <v>1337</v>
      </c>
      <c r="D45" s="129" t="s">
        <v>1246</v>
      </c>
      <c r="E45" s="129" t="s">
        <v>190</v>
      </c>
      <c r="F45" s="104"/>
      <c r="G45" s="292">
        <f t="shared" ref="G45:O45" si="34">G$35*G23</f>
        <v>9.5694320542222222</v>
      </c>
      <c r="H45" s="292">
        <f t="shared" si="34"/>
        <v>8862.0736629781986</v>
      </c>
      <c r="I45" s="292">
        <f t="shared" si="34"/>
        <v>8098.5765496391768</v>
      </c>
      <c r="J45" s="292">
        <f t="shared" si="34"/>
        <v>4765.9994519567999</v>
      </c>
      <c r="K45" s="292">
        <f t="shared" si="34"/>
        <v>2489.1064488078</v>
      </c>
      <c r="L45" s="292">
        <f t="shared" si="34"/>
        <v>2184.7532640771446</v>
      </c>
      <c r="M45" s="292">
        <f t="shared" si="34"/>
        <v>775.41343168033347</v>
      </c>
      <c r="N45" s="292">
        <f t="shared" si="34"/>
        <v>229.84993319050002</v>
      </c>
      <c r="O45" s="292">
        <f t="shared" si="34"/>
        <v>9.2599473762000013</v>
      </c>
      <c r="P45" s="292">
        <f t="shared" si="17"/>
        <v>27424.602121760374</v>
      </c>
      <c r="Q45" s="293">
        <f t="shared" si="18"/>
        <v>1.1167274793130861E-2</v>
      </c>
      <c r="R45" s="46"/>
      <c r="AD45" s="292">
        <f t="shared" ref="AD45:AL45" si="35">AD$35*AD23</f>
        <v>9.5101143229777776</v>
      </c>
      <c r="AE45" s="292">
        <f t="shared" si="35"/>
        <v>8783.0247548282332</v>
      </c>
      <c r="AF45" s="292">
        <f t="shared" si="35"/>
        <v>8032.5786769153174</v>
      </c>
      <c r="AG45" s="292">
        <f t="shared" si="35"/>
        <v>4727.8531097927998</v>
      </c>
      <c r="AH45" s="292">
        <f t="shared" si="35"/>
        <v>2470.1918148335999</v>
      </c>
      <c r="AI45" s="292">
        <f t="shared" si="35"/>
        <v>2173.8019950181333</v>
      </c>
      <c r="AJ45" s="292">
        <f t="shared" si="35"/>
        <v>770.92094390523334</v>
      </c>
      <c r="AK45" s="292">
        <f t="shared" si="35"/>
        <v>228.60227671866664</v>
      </c>
      <c r="AL45" s="292">
        <f t="shared" si="35"/>
        <v>9.27355336872</v>
      </c>
      <c r="AM45" s="292">
        <f t="shared" si="20"/>
        <v>27205.757239703678</v>
      </c>
      <c r="AN45" s="293">
        <f t="shared" si="21"/>
        <v>1.0979347217899007E-2</v>
      </c>
      <c r="AO45" s="46"/>
      <c r="BA45" s="65" t="s">
        <v>1580</v>
      </c>
    </row>
    <row r="46" spans="1:53" ht="16.899999999999999" customHeight="1" x14ac:dyDescent="0.2">
      <c r="A46" s="71" t="s">
        <v>1579</v>
      </c>
      <c r="B46" s="71" t="s">
        <v>1266</v>
      </c>
      <c r="C46" s="71" t="s">
        <v>1284</v>
      </c>
      <c r="D46" s="129" t="s">
        <v>1246</v>
      </c>
      <c r="E46" s="129" t="s">
        <v>190</v>
      </c>
      <c r="F46" s="104"/>
      <c r="G46" s="292">
        <f t="shared" ref="G46:O46" si="36">G$35*G24</f>
        <v>78.662055555555554</v>
      </c>
      <c r="H46" s="292">
        <f t="shared" si="36"/>
        <v>80052.692933333325</v>
      </c>
      <c r="I46" s="292">
        <f t="shared" si="36"/>
        <v>61267.395777777776</v>
      </c>
      <c r="J46" s="292">
        <f t="shared" si="36"/>
        <v>31819.941777777778</v>
      </c>
      <c r="K46" s="292">
        <f t="shared" si="36"/>
        <v>13101.5291</v>
      </c>
      <c r="L46" s="292">
        <f t="shared" si="36"/>
        <v>5747.765344444445</v>
      </c>
      <c r="M46" s="292">
        <f t="shared" si="36"/>
        <v>1569.7371444444443</v>
      </c>
      <c r="N46" s="292">
        <f t="shared" si="36"/>
        <v>537.58566666666673</v>
      </c>
      <c r="O46" s="292">
        <f t="shared" si="36"/>
        <v>16.8888</v>
      </c>
      <c r="P46" s="292">
        <f t="shared" si="17"/>
        <v>194192.19860000003</v>
      </c>
      <c r="Q46" s="293">
        <f t="shared" si="18"/>
        <v>7.9074899056702924E-2</v>
      </c>
      <c r="R46" s="46"/>
      <c r="AD46" s="292">
        <f t="shared" ref="AD46:AL46" si="37">AD$35*AD24</f>
        <v>79.37</v>
      </c>
      <c r="AE46" s="292">
        <f t="shared" si="37"/>
        <v>80773.167133333336</v>
      </c>
      <c r="AF46" s="292">
        <f t="shared" si="37"/>
        <v>61818.802344444441</v>
      </c>
      <c r="AG46" s="292">
        <f t="shared" si="37"/>
        <v>32106.321244444443</v>
      </c>
      <c r="AH46" s="292">
        <f t="shared" si="37"/>
        <v>13219.442800000001</v>
      </c>
      <c r="AI46" s="292">
        <f t="shared" si="37"/>
        <v>5799.4951666666675</v>
      </c>
      <c r="AJ46" s="292">
        <f t="shared" si="37"/>
        <v>1583.8648222222221</v>
      </c>
      <c r="AK46" s="292">
        <f t="shared" si="37"/>
        <v>542.42400000000009</v>
      </c>
      <c r="AL46" s="292">
        <f t="shared" si="37"/>
        <v>17.040800000000001</v>
      </c>
      <c r="AM46" s="292">
        <f t="shared" si="20"/>
        <v>195939.92831111106</v>
      </c>
      <c r="AN46" s="293">
        <f t="shared" si="21"/>
        <v>7.9074899030502396E-2</v>
      </c>
      <c r="AO46" s="46"/>
      <c r="BA46" s="65" t="s">
        <v>1582</v>
      </c>
    </row>
    <row r="47" spans="1:53" ht="16.899999999999999" customHeight="1" x14ac:dyDescent="0.2">
      <c r="A47" s="71" t="s">
        <v>1581</v>
      </c>
      <c r="B47" s="71" t="s">
        <v>1287</v>
      </c>
      <c r="C47" s="71" t="s">
        <v>1288</v>
      </c>
      <c r="D47" s="129" t="s">
        <v>1246</v>
      </c>
      <c r="E47" s="129" t="s">
        <v>190</v>
      </c>
      <c r="F47" s="104"/>
      <c r="G47" s="292">
        <f t="shared" ref="G47:O47" si="38">G$35*G25</f>
        <v>0.55555555555555558</v>
      </c>
      <c r="H47" s="292">
        <f t="shared" si="38"/>
        <v>578.66666666666663</v>
      </c>
      <c r="I47" s="292">
        <f t="shared" si="38"/>
        <v>468.22222222222223</v>
      </c>
      <c r="J47" s="292">
        <f t="shared" si="38"/>
        <v>327.11111111111109</v>
      </c>
      <c r="K47" s="292">
        <f t="shared" si="38"/>
        <v>270</v>
      </c>
      <c r="L47" s="292">
        <f t="shared" si="38"/>
        <v>276.22222222222223</v>
      </c>
      <c r="M47" s="292">
        <f t="shared" si="38"/>
        <v>177.66666666666666</v>
      </c>
      <c r="N47" s="292">
        <f t="shared" si="38"/>
        <v>131.66666666666669</v>
      </c>
      <c r="O47" s="292">
        <f t="shared" si="38"/>
        <v>36</v>
      </c>
      <c r="P47" s="292">
        <f t="shared" si="17"/>
        <v>2266.1111111111109</v>
      </c>
      <c r="Q47" s="293">
        <f t="shared" si="18"/>
        <v>9.2275852817078085E-4</v>
      </c>
      <c r="R47" s="46"/>
      <c r="AD47" s="292">
        <f t="shared" ref="AD47:AL47" si="39">AD$35*AD25</f>
        <v>0.56055555555555547</v>
      </c>
      <c r="AE47" s="292">
        <f t="shared" si="39"/>
        <v>583.8746666666666</v>
      </c>
      <c r="AF47" s="292">
        <f t="shared" si="39"/>
        <v>472.43622222222223</v>
      </c>
      <c r="AG47" s="292">
        <f t="shared" si="39"/>
        <v>330.0551111111111</v>
      </c>
      <c r="AH47" s="292">
        <f t="shared" si="39"/>
        <v>272.43</v>
      </c>
      <c r="AI47" s="292">
        <f t="shared" si="39"/>
        <v>278.70822222222222</v>
      </c>
      <c r="AJ47" s="292">
        <f t="shared" si="39"/>
        <v>179.26566666666668</v>
      </c>
      <c r="AK47" s="292">
        <f t="shared" si="39"/>
        <v>132.85166666666666</v>
      </c>
      <c r="AL47" s="292">
        <f t="shared" si="39"/>
        <v>36.323999999999998</v>
      </c>
      <c r="AM47" s="292">
        <f t="shared" si="20"/>
        <v>2286.5061111111113</v>
      </c>
      <c r="AN47" s="293">
        <f t="shared" si="21"/>
        <v>9.2275852822431084E-4</v>
      </c>
      <c r="AO47" s="46"/>
      <c r="BA47" s="65" t="s">
        <v>1584</v>
      </c>
    </row>
    <row r="48" spans="1:53" ht="16.899999999999999" customHeight="1" x14ac:dyDescent="0.2">
      <c r="A48" s="71" t="s">
        <v>1583</v>
      </c>
      <c r="B48" s="71" t="s">
        <v>1287</v>
      </c>
      <c r="C48" s="71" t="s">
        <v>1291</v>
      </c>
      <c r="D48" s="129" t="s">
        <v>1246</v>
      </c>
      <c r="E48" s="129" t="s">
        <v>190</v>
      </c>
      <c r="F48" s="104"/>
      <c r="G48" s="292">
        <f t="shared" ref="G48:O48" si="40">G$35*G26</f>
        <v>0</v>
      </c>
      <c r="H48" s="292">
        <f t="shared" si="40"/>
        <v>4.6666666666666661</v>
      </c>
      <c r="I48" s="292">
        <f t="shared" si="40"/>
        <v>10.111111111111111</v>
      </c>
      <c r="J48" s="292">
        <f t="shared" si="40"/>
        <v>8.8888888888888893</v>
      </c>
      <c r="K48" s="292">
        <f t="shared" si="40"/>
        <v>9</v>
      </c>
      <c r="L48" s="292">
        <f t="shared" si="40"/>
        <v>9.7777777777777786</v>
      </c>
      <c r="M48" s="292">
        <f t="shared" si="40"/>
        <v>4.333333333333333</v>
      </c>
      <c r="N48" s="292">
        <f t="shared" si="40"/>
        <v>0</v>
      </c>
      <c r="O48" s="292">
        <f t="shared" si="40"/>
        <v>0</v>
      </c>
      <c r="P48" s="292">
        <f t="shared" si="17"/>
        <v>46.777777777777779</v>
      </c>
      <c r="Q48" s="293">
        <f t="shared" si="18"/>
        <v>1.904787155478788E-5</v>
      </c>
      <c r="R48" s="46"/>
      <c r="AD48" s="292">
        <f t="shared" ref="AD48:AL48" si="41">AD$35*AD26</f>
        <v>0</v>
      </c>
      <c r="AE48" s="292">
        <f t="shared" si="41"/>
        <v>4.7086666666666659</v>
      </c>
      <c r="AF48" s="292">
        <f t="shared" si="41"/>
        <v>10.202111111111112</v>
      </c>
      <c r="AG48" s="292">
        <f t="shared" si="41"/>
        <v>8.9688888888888876</v>
      </c>
      <c r="AH48" s="292">
        <f t="shared" si="41"/>
        <v>9.0809999999999995</v>
      </c>
      <c r="AI48" s="292">
        <f t="shared" si="41"/>
        <v>9.8657777777777778</v>
      </c>
      <c r="AJ48" s="292">
        <f t="shared" si="41"/>
        <v>4.3723333333333336</v>
      </c>
      <c r="AK48" s="292">
        <f t="shared" si="41"/>
        <v>0</v>
      </c>
      <c r="AL48" s="292">
        <f t="shared" si="41"/>
        <v>0</v>
      </c>
      <c r="AM48" s="292">
        <f t="shared" si="20"/>
        <v>47.198777777777778</v>
      </c>
      <c r="AN48" s="293">
        <f t="shared" si="21"/>
        <v>1.9047871555892858E-5</v>
      </c>
      <c r="AO48" s="46"/>
      <c r="BA48" s="65" t="s">
        <v>1586</v>
      </c>
    </row>
    <row r="49" spans="1:53" ht="16.899999999999999" customHeight="1" x14ac:dyDescent="0.2">
      <c r="A49" s="71" t="s">
        <v>1585</v>
      </c>
      <c r="B49" s="71" t="s">
        <v>1287</v>
      </c>
      <c r="C49" s="71" t="s">
        <v>1294</v>
      </c>
      <c r="D49" s="129" t="s">
        <v>1246</v>
      </c>
      <c r="E49" s="129" t="s">
        <v>190</v>
      </c>
      <c r="F49" s="104"/>
      <c r="G49" s="292">
        <f t="shared" ref="G49:O49" si="42">G$35*G27</f>
        <v>0.55555555555555558</v>
      </c>
      <c r="H49" s="292">
        <f t="shared" si="42"/>
        <v>22</v>
      </c>
      <c r="I49" s="292">
        <f t="shared" si="42"/>
        <v>37.333333333333336</v>
      </c>
      <c r="J49" s="292">
        <f t="shared" si="42"/>
        <v>43.55555555555555</v>
      </c>
      <c r="K49" s="292">
        <f t="shared" si="42"/>
        <v>31</v>
      </c>
      <c r="L49" s="292">
        <f t="shared" si="42"/>
        <v>13.444444444444446</v>
      </c>
      <c r="M49" s="292">
        <f t="shared" si="42"/>
        <v>4.333333333333333</v>
      </c>
      <c r="N49" s="292">
        <f t="shared" si="42"/>
        <v>0</v>
      </c>
      <c r="O49" s="292">
        <f t="shared" si="42"/>
        <v>0</v>
      </c>
      <c r="P49" s="292">
        <f t="shared" si="17"/>
        <v>152.22222222222226</v>
      </c>
      <c r="Q49" s="293">
        <f t="shared" si="18"/>
        <v>6.1984760166411868E-5</v>
      </c>
      <c r="R49" s="46"/>
      <c r="AD49" s="292">
        <f t="shared" ref="AD49:AL49" si="43">AD$35*AD27</f>
        <v>0.56055555555555547</v>
      </c>
      <c r="AE49" s="292">
        <f t="shared" si="43"/>
        <v>22.197999999999997</v>
      </c>
      <c r="AF49" s="292">
        <f t="shared" si="43"/>
        <v>37.669333333333334</v>
      </c>
      <c r="AG49" s="292">
        <f t="shared" si="43"/>
        <v>43.947555555555553</v>
      </c>
      <c r="AH49" s="292">
        <f t="shared" si="43"/>
        <v>31.279</v>
      </c>
      <c r="AI49" s="292">
        <f t="shared" si="43"/>
        <v>13.565444444444445</v>
      </c>
      <c r="AJ49" s="292">
        <f t="shared" si="43"/>
        <v>4.3723333333333336</v>
      </c>
      <c r="AK49" s="292">
        <f t="shared" si="43"/>
        <v>0</v>
      </c>
      <c r="AL49" s="292">
        <f t="shared" si="43"/>
        <v>0</v>
      </c>
      <c r="AM49" s="292">
        <f t="shared" si="20"/>
        <v>153.5922222222222</v>
      </c>
      <c r="AN49" s="293">
        <f t="shared" si="21"/>
        <v>6.1984760170007638E-5</v>
      </c>
      <c r="AO49" s="46"/>
      <c r="BA49" s="65" t="s">
        <v>1588</v>
      </c>
    </row>
    <row r="50" spans="1:53" ht="16.899999999999999" customHeight="1" x14ac:dyDescent="0.2">
      <c r="A50" s="71" t="s">
        <v>1587</v>
      </c>
      <c r="B50" s="71" t="s">
        <v>1297</v>
      </c>
      <c r="C50" s="71" t="s">
        <v>1297</v>
      </c>
      <c r="D50" s="129" t="s">
        <v>1246</v>
      </c>
      <c r="E50" s="129" t="s">
        <v>190</v>
      </c>
      <c r="F50" s="104"/>
      <c r="G50" s="292">
        <f t="shared" ref="G50:O50" si="44">G$35*G28</f>
        <v>2.9689999999999999</v>
      </c>
      <c r="H50" s="292">
        <f t="shared" si="44"/>
        <v>23561.187733333332</v>
      </c>
      <c r="I50" s="292">
        <f t="shared" si="44"/>
        <v>16808.389499999997</v>
      </c>
      <c r="J50" s="292">
        <f t="shared" si="44"/>
        <v>13236.944</v>
      </c>
      <c r="K50" s="292">
        <f t="shared" si="44"/>
        <v>12324.7834</v>
      </c>
      <c r="L50" s="292">
        <f t="shared" si="44"/>
        <v>14188.638811111112</v>
      </c>
      <c r="M50" s="292">
        <f t="shared" si="44"/>
        <v>7293.3627000000006</v>
      </c>
      <c r="N50" s="292">
        <f t="shared" si="44"/>
        <v>3736.3168333333338</v>
      </c>
      <c r="O50" s="292">
        <f t="shared" si="44"/>
        <v>908.91639999999995</v>
      </c>
      <c r="P50" s="292">
        <f t="shared" si="17"/>
        <v>92061.508377777776</v>
      </c>
      <c r="Q50" s="293">
        <f t="shared" si="18"/>
        <v>3.748736836218397E-2</v>
      </c>
      <c r="R50" s="46"/>
      <c r="AD50" s="292">
        <f t="shared" ref="AD50:AL50" si="45">AD$35*AD28</f>
        <v>2.9956666666666667</v>
      </c>
      <c r="AE50" s="292">
        <f t="shared" si="45"/>
        <v>23773.238400000002</v>
      </c>
      <c r="AF50" s="292">
        <f t="shared" si="45"/>
        <v>16959.664944444445</v>
      </c>
      <c r="AG50" s="292">
        <f t="shared" si="45"/>
        <v>13356.076533333333</v>
      </c>
      <c r="AH50" s="292">
        <f t="shared" si="45"/>
        <v>12435.7065</v>
      </c>
      <c r="AI50" s="292">
        <f t="shared" si="45"/>
        <v>14316.336588888889</v>
      </c>
      <c r="AJ50" s="292">
        <f t="shared" si="45"/>
        <v>7359.0030222222222</v>
      </c>
      <c r="AK50" s="292">
        <f t="shared" si="45"/>
        <v>3769.9438333333337</v>
      </c>
      <c r="AL50" s="292">
        <f t="shared" si="45"/>
        <v>917.09659999999997</v>
      </c>
      <c r="AM50" s="292">
        <f t="shared" si="20"/>
        <v>92890.06208888891</v>
      </c>
      <c r="AN50" s="293">
        <f t="shared" si="21"/>
        <v>3.7487368419127184E-2</v>
      </c>
      <c r="AO50" s="46"/>
      <c r="BA50" s="65" t="s">
        <v>1590</v>
      </c>
    </row>
    <row r="51" spans="1:53" ht="16.899999999999999" customHeight="1" x14ac:dyDescent="0.2">
      <c r="A51" s="71" t="s">
        <v>1589</v>
      </c>
      <c r="B51" s="71" t="s">
        <v>1301</v>
      </c>
      <c r="C51" s="71" t="s">
        <v>1301</v>
      </c>
      <c r="D51" s="129" t="s">
        <v>1246</v>
      </c>
      <c r="E51" s="129" t="s">
        <v>190</v>
      </c>
      <c r="F51" s="104"/>
      <c r="G51" s="292">
        <f t="shared" ref="G51:O51" si="46">G$35*G29</f>
        <v>3.6976666666666671</v>
      </c>
      <c r="H51" s="292">
        <f t="shared" si="46"/>
        <v>13320.1456</v>
      </c>
      <c r="I51" s="292">
        <f t="shared" si="46"/>
        <v>10150.943833333333</v>
      </c>
      <c r="J51" s="292">
        <f t="shared" si="46"/>
        <v>7158.6115555555552</v>
      </c>
      <c r="K51" s="292">
        <f t="shared" si="46"/>
        <v>6033.2165999999997</v>
      </c>
      <c r="L51" s="292">
        <f t="shared" si="46"/>
        <v>6459.5834111111117</v>
      </c>
      <c r="M51" s="292">
        <f t="shared" si="46"/>
        <v>3291.526188888889</v>
      </c>
      <c r="N51" s="292">
        <f t="shared" si="46"/>
        <v>1883.6831666666669</v>
      </c>
      <c r="O51" s="292">
        <f t="shared" si="46"/>
        <v>411.08359999999999</v>
      </c>
      <c r="P51" s="292">
        <f t="shared" si="17"/>
        <v>48712.491622222224</v>
      </c>
      <c r="Q51" s="293">
        <f t="shared" si="18"/>
        <v>1.9835685396208849E-2</v>
      </c>
      <c r="R51" s="46"/>
      <c r="AD51" s="292">
        <f t="shared" ref="AD51:AL51" si="47">AD$35*AD29</f>
        <v>3.7309999999999999</v>
      </c>
      <c r="AE51" s="292">
        <f t="shared" si="47"/>
        <v>13440.026933333334</v>
      </c>
      <c r="AF51" s="292">
        <f t="shared" si="47"/>
        <v>10242.302388888889</v>
      </c>
      <c r="AG51" s="292">
        <f t="shared" si="47"/>
        <v>7223.0390222222213</v>
      </c>
      <c r="AH51" s="292">
        <f t="shared" si="47"/>
        <v>6087.5155000000004</v>
      </c>
      <c r="AI51" s="292">
        <f t="shared" si="47"/>
        <v>6517.7196333333331</v>
      </c>
      <c r="AJ51" s="292">
        <f t="shared" si="47"/>
        <v>3321.1498666666666</v>
      </c>
      <c r="AK51" s="292">
        <f t="shared" si="47"/>
        <v>1900.6361666666667</v>
      </c>
      <c r="AL51" s="292">
        <f t="shared" si="47"/>
        <v>414.78339999999997</v>
      </c>
      <c r="AM51" s="292">
        <f t="shared" si="20"/>
        <v>49150.903911111112</v>
      </c>
      <c r="AN51" s="293">
        <f t="shared" si="21"/>
        <v>1.9835685342590999E-2</v>
      </c>
      <c r="AO51" s="46"/>
      <c r="BA51" s="65" t="s">
        <v>1592</v>
      </c>
    </row>
    <row r="52" spans="1:53" ht="16.899999999999999" customHeight="1" x14ac:dyDescent="0.2">
      <c r="A52" s="71" t="s">
        <v>1591</v>
      </c>
      <c r="B52" s="71"/>
      <c r="C52" s="71" t="s">
        <v>1558</v>
      </c>
      <c r="D52" s="129" t="s">
        <v>1246</v>
      </c>
      <c r="E52" s="129" t="s">
        <v>190</v>
      </c>
      <c r="F52" s="104"/>
      <c r="G52" s="292">
        <f t="shared" ref="G52:P52" si="48">SUM(G38:G51)</f>
        <v>371.66666666666669</v>
      </c>
      <c r="H52" s="292">
        <f t="shared" si="48"/>
        <v>356092</v>
      </c>
      <c r="I52" s="292">
        <f t="shared" si="48"/>
        <v>459894.55547777779</v>
      </c>
      <c r="J52" s="292">
        <f t="shared" si="48"/>
        <v>370181.33333333337</v>
      </c>
      <c r="K52" s="292">
        <f t="shared" si="48"/>
        <v>350531</v>
      </c>
      <c r="L52" s="292">
        <f t="shared" si="48"/>
        <v>413106.22222222225</v>
      </c>
      <c r="M52" s="292">
        <f t="shared" si="48"/>
        <v>286112.66666666663</v>
      </c>
      <c r="N52" s="292">
        <f t="shared" si="48"/>
        <v>197373.33333333337</v>
      </c>
      <c r="O52" s="292">
        <f t="shared" si="48"/>
        <v>22138</v>
      </c>
      <c r="P52" s="292">
        <f t="shared" si="48"/>
        <v>2455800.7777</v>
      </c>
      <c r="Q52" s="293">
        <f t="shared" si="18"/>
        <v>1</v>
      </c>
      <c r="R52" s="46"/>
      <c r="AD52" s="292">
        <f t="shared" ref="AD52:AM52" si="49">SUM(AD38:AD51)</f>
        <v>375.01166666666666</v>
      </c>
      <c r="AE52" s="292">
        <f t="shared" si="49"/>
        <v>359296.82799999992</v>
      </c>
      <c r="AF52" s="292">
        <f t="shared" si="49"/>
        <v>464033.6065555556</v>
      </c>
      <c r="AG52" s="292">
        <f t="shared" si="49"/>
        <v>373512.9653333333</v>
      </c>
      <c r="AH52" s="292">
        <f t="shared" si="49"/>
        <v>353685.77890000003</v>
      </c>
      <c r="AI52" s="292">
        <f t="shared" si="49"/>
        <v>416824.17810000002</v>
      </c>
      <c r="AJ52" s="292">
        <f t="shared" si="49"/>
        <v>288687.68066666665</v>
      </c>
      <c r="AK52" s="292">
        <f t="shared" si="49"/>
        <v>199149.69333333333</v>
      </c>
      <c r="AL52" s="292">
        <f t="shared" si="49"/>
        <v>22337.241999999998</v>
      </c>
      <c r="AM52" s="292">
        <f t="shared" si="49"/>
        <v>2477902.984555555</v>
      </c>
      <c r="AN52" s="293">
        <f t="shared" si="21"/>
        <v>1</v>
      </c>
      <c r="AO52" s="46"/>
      <c r="BA52" s="65" t="s">
        <v>1594</v>
      </c>
    </row>
    <row r="53" spans="1:53" ht="16.899999999999999" customHeight="1" x14ac:dyDescent="0.2">
      <c r="A53" s="71" t="s">
        <v>1593</v>
      </c>
      <c r="B53" s="71"/>
      <c r="C53" s="71" t="s">
        <v>1308</v>
      </c>
      <c r="D53" s="129" t="s">
        <v>1275</v>
      </c>
      <c r="E53" s="129" t="s">
        <v>190</v>
      </c>
      <c r="F53" s="104"/>
      <c r="G53" s="293">
        <f t="shared" ref="G53:P53" si="50">IFERROR(G52/$P$52,"")</f>
        <v>1.5134235237711509E-4</v>
      </c>
      <c r="H53" s="293">
        <f t="shared" si="50"/>
        <v>0.14500036128073093</v>
      </c>
      <c r="I53" s="293">
        <f t="shared" si="50"/>
        <v>0.18726867409354586</v>
      </c>
      <c r="J53" s="293">
        <f t="shared" si="50"/>
        <v>0.15073752589981249</v>
      </c>
      <c r="K53" s="293">
        <f t="shared" si="50"/>
        <v>0.14273592678323549</v>
      </c>
      <c r="L53" s="293">
        <f t="shared" si="50"/>
        <v>0.16821650435713284</v>
      </c>
      <c r="M53" s="293">
        <f t="shared" si="50"/>
        <v>0.11650483592346923</v>
      </c>
      <c r="N53" s="293">
        <f t="shared" si="50"/>
        <v>8.0370254430078392E-2</v>
      </c>
      <c r="O53" s="293">
        <f t="shared" si="50"/>
        <v>9.0145748796176869E-3</v>
      </c>
      <c r="P53" s="293">
        <f t="shared" si="50"/>
        <v>1</v>
      </c>
      <c r="Q53" s="320"/>
      <c r="AD53" s="293">
        <f t="shared" ref="AD53:AM53" si="51">IFERROR(AD52/$AM$52,"")</f>
        <v>1.5134235238589455E-4</v>
      </c>
      <c r="AE53" s="293">
        <f t="shared" si="51"/>
        <v>0.14500036128914248</v>
      </c>
      <c r="AF53" s="293">
        <f t="shared" si="51"/>
        <v>0.18726867413608053</v>
      </c>
      <c r="AG53" s="293">
        <f t="shared" si="51"/>
        <v>0.15073752590855685</v>
      </c>
      <c r="AH53" s="293">
        <f t="shared" si="51"/>
        <v>0.14273592675115904</v>
      </c>
      <c r="AI53" s="293">
        <f t="shared" si="51"/>
        <v>0.16821650431756632</v>
      </c>
      <c r="AJ53" s="293">
        <f t="shared" si="51"/>
        <v>0.11650483593022777</v>
      </c>
      <c r="AK53" s="293">
        <f t="shared" si="51"/>
        <v>8.0370254434740704E-2</v>
      </c>
      <c r="AL53" s="293">
        <f t="shared" si="51"/>
        <v>9.0145748801406279E-3</v>
      </c>
      <c r="AM53" s="293">
        <f t="shared" si="51"/>
        <v>1</v>
      </c>
      <c r="AN53" s="320"/>
      <c r="BA53" s="65" t="s">
        <v>1354</v>
      </c>
    </row>
    <row r="54" spans="1:53" ht="17.649999999999999" customHeight="1" x14ac:dyDescent="0.2">
      <c r="A54" s="124"/>
      <c r="B54" s="124"/>
      <c r="C54" s="124"/>
      <c r="D54" s="321"/>
      <c r="E54" s="321"/>
      <c r="G54" s="124"/>
      <c r="H54" s="124"/>
      <c r="I54" s="124"/>
      <c r="J54" s="124"/>
      <c r="K54" s="109"/>
      <c r="L54" s="109"/>
      <c r="M54" s="109"/>
      <c r="N54" s="109"/>
      <c r="O54" s="109"/>
      <c r="P54" s="109"/>
      <c r="AD54" s="124"/>
      <c r="AE54" s="124"/>
      <c r="AF54" s="124"/>
      <c r="AG54" s="124"/>
      <c r="AH54" s="109"/>
      <c r="AI54" s="109"/>
      <c r="AJ54" s="109"/>
      <c r="AK54" s="109"/>
      <c r="AL54" s="109"/>
      <c r="AM54" s="109"/>
    </row>
    <row r="55" spans="1:53" ht="35.85" customHeight="1" x14ac:dyDescent="0.25">
      <c r="A55" s="316"/>
      <c r="B55" s="172"/>
      <c r="C55" s="172" t="s">
        <v>1355</v>
      </c>
      <c r="D55" s="317"/>
      <c r="E55" s="318"/>
      <c r="F55" s="214"/>
      <c r="G55" s="168" t="s">
        <v>1226</v>
      </c>
      <c r="H55" s="169" t="s">
        <v>1356</v>
      </c>
      <c r="I55" s="169" t="s">
        <v>1357</v>
      </c>
      <c r="J55" s="170" t="s">
        <v>1240</v>
      </c>
      <c r="K55" s="101"/>
      <c r="AD55" s="168" t="s">
        <v>1226</v>
      </c>
      <c r="AE55" s="169" t="s">
        <v>1356</v>
      </c>
      <c r="AF55" s="169" t="s">
        <v>1357</v>
      </c>
      <c r="AG55" s="170" t="s">
        <v>1240</v>
      </c>
      <c r="AH55" s="101"/>
    </row>
    <row r="56" spans="1:53" ht="16.899999999999999" customHeight="1" x14ac:dyDescent="0.2">
      <c r="A56" s="289" t="s">
        <v>1595</v>
      </c>
      <c r="B56" s="289"/>
      <c r="C56" s="289" t="s">
        <v>1359</v>
      </c>
      <c r="D56" s="290" t="s">
        <v>1275</v>
      </c>
      <c r="E56" s="290" t="s">
        <v>223</v>
      </c>
      <c r="F56" s="46"/>
      <c r="G56" s="322"/>
      <c r="H56" s="323"/>
      <c r="I56" s="303">
        <v>0.35</v>
      </c>
      <c r="J56" s="324"/>
      <c r="AD56" s="322"/>
      <c r="AE56" s="323"/>
      <c r="AF56" s="303">
        <v>0.35</v>
      </c>
      <c r="AG56" s="324"/>
      <c r="BA56" s="65" t="s">
        <v>1360</v>
      </c>
    </row>
    <row r="57" spans="1:53" ht="16.899999999999999" customHeight="1" x14ac:dyDescent="0.2">
      <c r="A57" s="71" t="s">
        <v>1596</v>
      </c>
      <c r="B57" s="71" t="s">
        <v>1244</v>
      </c>
      <c r="C57" s="71" t="s">
        <v>1253</v>
      </c>
      <c r="D57" s="129" t="s">
        <v>1275</v>
      </c>
      <c r="E57" s="129" t="s">
        <v>223</v>
      </c>
      <c r="F57" s="104"/>
      <c r="G57" s="304">
        <v>0</v>
      </c>
      <c r="H57" s="304">
        <v>0</v>
      </c>
      <c r="I57" s="293">
        <f t="shared" ref="I57:I70" si="52">IF(I$56*H57-G57&lt;0,0,I$56*H57-G57)</f>
        <v>0</v>
      </c>
      <c r="J57" s="293">
        <f t="shared" ref="J57:J70" si="53">G57+I57</f>
        <v>0</v>
      </c>
      <c r="K57" s="46"/>
      <c r="AD57" s="304">
        <v>0</v>
      </c>
      <c r="AE57" s="304">
        <v>0</v>
      </c>
      <c r="AF57" s="293">
        <f t="shared" ref="AF57:AF70" si="54">IF(AF$56*AE57-AD57&lt;0,0,AF$56*AE57-AD57)</f>
        <v>0</v>
      </c>
      <c r="AG57" s="293">
        <f t="shared" ref="AG57:AG70" si="55">AD57+AF57</f>
        <v>0</v>
      </c>
      <c r="AH57" s="46"/>
      <c r="BA57" s="65" t="s">
        <v>1362</v>
      </c>
    </row>
    <row r="58" spans="1:53" ht="16.899999999999999" customHeight="1" x14ac:dyDescent="0.2">
      <c r="A58" s="71" t="s">
        <v>1597</v>
      </c>
      <c r="B58" s="71" t="s">
        <v>1244</v>
      </c>
      <c r="C58" s="71" t="s">
        <v>1256</v>
      </c>
      <c r="D58" s="129" t="s">
        <v>1275</v>
      </c>
      <c r="E58" s="129" t="s">
        <v>223</v>
      </c>
      <c r="F58" s="104"/>
      <c r="G58" s="304">
        <v>0</v>
      </c>
      <c r="H58" s="304">
        <v>0</v>
      </c>
      <c r="I58" s="293">
        <f t="shared" si="52"/>
        <v>0</v>
      </c>
      <c r="J58" s="293">
        <f t="shared" si="53"/>
        <v>0</v>
      </c>
      <c r="K58" s="46"/>
      <c r="AD58" s="304">
        <v>0</v>
      </c>
      <c r="AE58" s="304">
        <v>0</v>
      </c>
      <c r="AF58" s="293">
        <f t="shared" si="54"/>
        <v>0</v>
      </c>
      <c r="AG58" s="293">
        <f t="shared" si="55"/>
        <v>0</v>
      </c>
      <c r="AH58" s="46"/>
      <c r="BA58" s="65" t="s">
        <v>1364</v>
      </c>
    </row>
    <row r="59" spans="1:53" ht="16.899999999999999" customHeight="1" x14ac:dyDescent="0.2">
      <c r="A59" s="71" t="s">
        <v>1598</v>
      </c>
      <c r="B59" s="71" t="s">
        <v>1244</v>
      </c>
      <c r="C59" s="71" t="s">
        <v>1318</v>
      </c>
      <c r="D59" s="129" t="s">
        <v>1275</v>
      </c>
      <c r="E59" s="129" t="s">
        <v>1247</v>
      </c>
      <c r="F59" s="104"/>
      <c r="G59" s="304">
        <v>0</v>
      </c>
      <c r="H59" s="304">
        <v>0</v>
      </c>
      <c r="I59" s="293">
        <f t="shared" si="52"/>
        <v>0</v>
      </c>
      <c r="J59" s="293">
        <f t="shared" si="53"/>
        <v>0</v>
      </c>
      <c r="K59" s="46"/>
      <c r="AD59" s="304">
        <v>0</v>
      </c>
      <c r="AE59" s="304">
        <v>0</v>
      </c>
      <c r="AF59" s="293">
        <f t="shared" si="54"/>
        <v>0</v>
      </c>
      <c r="AG59" s="293">
        <f t="shared" si="55"/>
        <v>0</v>
      </c>
      <c r="AH59" s="46"/>
      <c r="BA59" s="65" t="s">
        <v>1366</v>
      </c>
    </row>
    <row r="60" spans="1:53" ht="16.899999999999999" customHeight="1" x14ac:dyDescent="0.2">
      <c r="A60" s="71" t="s">
        <v>1599</v>
      </c>
      <c r="B60" s="71" t="s">
        <v>1244</v>
      </c>
      <c r="C60" s="71" t="s">
        <v>1326</v>
      </c>
      <c r="D60" s="129" t="s">
        <v>1275</v>
      </c>
      <c r="E60" s="129" t="s">
        <v>1247</v>
      </c>
      <c r="F60" s="104"/>
      <c r="G60" s="304">
        <v>0</v>
      </c>
      <c r="H60" s="304">
        <v>0.6</v>
      </c>
      <c r="I60" s="293">
        <f t="shared" si="52"/>
        <v>0.21</v>
      </c>
      <c r="J60" s="293">
        <f t="shared" si="53"/>
        <v>0.21</v>
      </c>
      <c r="K60" s="46"/>
      <c r="AD60" s="304">
        <v>0</v>
      </c>
      <c r="AE60" s="304">
        <v>0.6</v>
      </c>
      <c r="AF60" s="293">
        <f t="shared" si="54"/>
        <v>0.21</v>
      </c>
      <c r="AG60" s="293">
        <f t="shared" si="55"/>
        <v>0.21</v>
      </c>
      <c r="AH60" s="46"/>
      <c r="BA60" s="65" t="s">
        <v>1368</v>
      </c>
    </row>
    <row r="61" spans="1:53" ht="16.899999999999999" customHeight="1" x14ac:dyDescent="0.2">
      <c r="A61" s="71" t="s">
        <v>1600</v>
      </c>
      <c r="B61" s="71" t="s">
        <v>1244</v>
      </c>
      <c r="C61" s="71" t="s">
        <v>1329</v>
      </c>
      <c r="D61" s="129" t="s">
        <v>1275</v>
      </c>
      <c r="E61" s="129" t="s">
        <v>1247</v>
      </c>
      <c r="F61" s="104"/>
      <c r="G61" s="304">
        <v>0</v>
      </c>
      <c r="H61" s="304">
        <v>1</v>
      </c>
      <c r="I61" s="293">
        <f t="shared" si="52"/>
        <v>0.35</v>
      </c>
      <c r="J61" s="293">
        <f t="shared" si="53"/>
        <v>0.35</v>
      </c>
      <c r="K61" s="46"/>
      <c r="AD61" s="304">
        <v>0</v>
      </c>
      <c r="AE61" s="304">
        <v>1</v>
      </c>
      <c r="AF61" s="293">
        <f t="shared" si="54"/>
        <v>0.35</v>
      </c>
      <c r="AG61" s="293">
        <f t="shared" si="55"/>
        <v>0.35</v>
      </c>
      <c r="AH61" s="46"/>
      <c r="BA61" s="65" t="s">
        <v>1370</v>
      </c>
    </row>
    <row r="62" spans="1:53" ht="16.899999999999999" customHeight="1" x14ac:dyDescent="0.2">
      <c r="A62" s="71" t="s">
        <v>1601</v>
      </c>
      <c r="B62" s="71" t="s">
        <v>1266</v>
      </c>
      <c r="C62" s="71" t="s">
        <v>1288</v>
      </c>
      <c r="D62" s="129" t="s">
        <v>1275</v>
      </c>
      <c r="E62" s="129" t="s">
        <v>1247</v>
      </c>
      <c r="F62" s="104"/>
      <c r="G62" s="304">
        <v>0.25</v>
      </c>
      <c r="H62" s="304">
        <v>0</v>
      </c>
      <c r="I62" s="293">
        <f t="shared" si="52"/>
        <v>0</v>
      </c>
      <c r="J62" s="293">
        <f t="shared" si="53"/>
        <v>0.25</v>
      </c>
      <c r="K62" s="46"/>
      <c r="AD62" s="304">
        <v>0.25</v>
      </c>
      <c r="AE62" s="304">
        <v>0</v>
      </c>
      <c r="AF62" s="293">
        <f t="shared" si="54"/>
        <v>0</v>
      </c>
      <c r="AG62" s="293">
        <f t="shared" si="55"/>
        <v>0.25</v>
      </c>
      <c r="AH62" s="46"/>
      <c r="BA62" s="65" t="s">
        <v>1372</v>
      </c>
    </row>
    <row r="63" spans="1:53" ht="16.899999999999999" customHeight="1" x14ac:dyDescent="0.2">
      <c r="A63" s="71" t="s">
        <v>1602</v>
      </c>
      <c r="B63" s="71" t="s">
        <v>1266</v>
      </c>
      <c r="C63" s="71" t="s">
        <v>1334</v>
      </c>
      <c r="D63" s="129" t="s">
        <v>1275</v>
      </c>
      <c r="E63" s="129" t="s">
        <v>1247</v>
      </c>
      <c r="F63" s="104"/>
      <c r="G63" s="304">
        <v>0.25</v>
      </c>
      <c r="H63" s="304">
        <v>0.85</v>
      </c>
      <c r="I63" s="293">
        <f t="shared" si="52"/>
        <v>4.7499999999999987E-2</v>
      </c>
      <c r="J63" s="293">
        <f t="shared" si="53"/>
        <v>0.29749999999999999</v>
      </c>
      <c r="K63" s="46"/>
      <c r="AD63" s="304">
        <v>0.25</v>
      </c>
      <c r="AE63" s="304">
        <v>0.85</v>
      </c>
      <c r="AF63" s="293">
        <f t="shared" si="54"/>
        <v>4.7499999999999987E-2</v>
      </c>
      <c r="AG63" s="293">
        <f t="shared" si="55"/>
        <v>0.29749999999999999</v>
      </c>
      <c r="AH63" s="46"/>
      <c r="BA63" s="65" t="s">
        <v>1374</v>
      </c>
    </row>
    <row r="64" spans="1:53" ht="16.899999999999999" customHeight="1" x14ac:dyDescent="0.2">
      <c r="A64" s="71" t="s">
        <v>1603</v>
      </c>
      <c r="B64" s="71" t="s">
        <v>1266</v>
      </c>
      <c r="C64" s="71" t="s">
        <v>1337</v>
      </c>
      <c r="D64" s="129" t="s">
        <v>1275</v>
      </c>
      <c r="E64" s="129" t="s">
        <v>1247</v>
      </c>
      <c r="F64" s="104"/>
      <c r="G64" s="304">
        <v>0.25</v>
      </c>
      <c r="H64" s="304">
        <v>0.4</v>
      </c>
      <c r="I64" s="293">
        <f t="shared" si="52"/>
        <v>0</v>
      </c>
      <c r="J64" s="293">
        <f t="shared" si="53"/>
        <v>0.25</v>
      </c>
      <c r="K64" s="46"/>
      <c r="AD64" s="304">
        <v>0.25</v>
      </c>
      <c r="AE64" s="304">
        <v>0.4</v>
      </c>
      <c r="AF64" s="293">
        <f t="shared" si="54"/>
        <v>0</v>
      </c>
      <c r="AG64" s="293">
        <f t="shared" si="55"/>
        <v>0.25</v>
      </c>
      <c r="AH64" s="46"/>
      <c r="BA64" s="65" t="s">
        <v>1376</v>
      </c>
    </row>
    <row r="65" spans="1:53" ht="16.899999999999999" customHeight="1" x14ac:dyDescent="0.2">
      <c r="A65" s="71" t="s">
        <v>1604</v>
      </c>
      <c r="B65" s="71" t="s">
        <v>1266</v>
      </c>
      <c r="C65" s="71" t="s">
        <v>1605</v>
      </c>
      <c r="D65" s="129" t="s">
        <v>1275</v>
      </c>
      <c r="E65" s="129" t="s">
        <v>1247</v>
      </c>
      <c r="F65" s="104"/>
      <c r="G65" s="304">
        <v>0.25</v>
      </c>
      <c r="H65" s="304">
        <v>1</v>
      </c>
      <c r="I65" s="293">
        <f t="shared" si="52"/>
        <v>9.9999999999999978E-2</v>
      </c>
      <c r="J65" s="293">
        <f t="shared" si="53"/>
        <v>0.35</v>
      </c>
      <c r="K65" s="46"/>
      <c r="AD65" s="304">
        <v>0.25</v>
      </c>
      <c r="AE65" s="304">
        <v>1</v>
      </c>
      <c r="AF65" s="293">
        <f t="shared" si="54"/>
        <v>9.9999999999999978E-2</v>
      </c>
      <c r="AG65" s="293">
        <f t="shared" si="55"/>
        <v>0.35</v>
      </c>
      <c r="AH65" s="46"/>
      <c r="BA65" s="65" t="s">
        <v>1378</v>
      </c>
    </row>
    <row r="66" spans="1:53" ht="16.899999999999999" customHeight="1" x14ac:dyDescent="0.2">
      <c r="A66" s="71" t="s">
        <v>1606</v>
      </c>
      <c r="B66" s="71" t="s">
        <v>1287</v>
      </c>
      <c r="C66" s="71" t="s">
        <v>1607</v>
      </c>
      <c r="D66" s="129" t="s">
        <v>1275</v>
      </c>
      <c r="E66" s="129" t="s">
        <v>1247</v>
      </c>
      <c r="F66" s="104"/>
      <c r="G66" s="304">
        <v>0.5</v>
      </c>
      <c r="H66" s="304">
        <v>0</v>
      </c>
      <c r="I66" s="293">
        <f t="shared" si="52"/>
        <v>0</v>
      </c>
      <c r="J66" s="293">
        <f t="shared" si="53"/>
        <v>0.5</v>
      </c>
      <c r="K66" s="46"/>
      <c r="AD66" s="304">
        <v>0.5</v>
      </c>
      <c r="AE66" s="304">
        <v>0</v>
      </c>
      <c r="AF66" s="293">
        <f t="shared" si="54"/>
        <v>0</v>
      </c>
      <c r="AG66" s="293">
        <f t="shared" si="55"/>
        <v>0.5</v>
      </c>
      <c r="AH66" s="46"/>
      <c r="BA66" s="65" t="s">
        <v>1380</v>
      </c>
    </row>
    <row r="67" spans="1:53" ht="16.899999999999999" customHeight="1" x14ac:dyDescent="0.2">
      <c r="A67" s="71" t="s">
        <v>1608</v>
      </c>
      <c r="B67" s="71" t="s">
        <v>1287</v>
      </c>
      <c r="C67" s="71" t="s">
        <v>1291</v>
      </c>
      <c r="D67" s="129" t="s">
        <v>1275</v>
      </c>
      <c r="E67" s="129" t="s">
        <v>1247</v>
      </c>
      <c r="F67" s="104"/>
      <c r="G67" s="304">
        <v>0.5</v>
      </c>
      <c r="H67" s="304">
        <v>0.6</v>
      </c>
      <c r="I67" s="293">
        <f t="shared" si="52"/>
        <v>0</v>
      </c>
      <c r="J67" s="293">
        <f t="shared" si="53"/>
        <v>0.5</v>
      </c>
      <c r="K67" s="46"/>
      <c r="AD67" s="304">
        <v>0.5</v>
      </c>
      <c r="AE67" s="304">
        <v>0.6</v>
      </c>
      <c r="AF67" s="293">
        <f t="shared" si="54"/>
        <v>0</v>
      </c>
      <c r="AG67" s="293">
        <f t="shared" si="55"/>
        <v>0.5</v>
      </c>
      <c r="AH67" s="46"/>
      <c r="BA67" s="65" t="s">
        <v>1382</v>
      </c>
    </row>
    <row r="68" spans="1:53" ht="16.899999999999999" customHeight="1" x14ac:dyDescent="0.2">
      <c r="A68" s="71" t="s">
        <v>1609</v>
      </c>
      <c r="B68" s="71" t="s">
        <v>1287</v>
      </c>
      <c r="C68" s="71" t="s">
        <v>1294</v>
      </c>
      <c r="D68" s="129" t="s">
        <v>1275</v>
      </c>
      <c r="E68" s="129" t="s">
        <v>1247</v>
      </c>
      <c r="F68" s="104"/>
      <c r="G68" s="304">
        <v>0.5</v>
      </c>
      <c r="H68" s="304">
        <v>1</v>
      </c>
      <c r="I68" s="293">
        <f t="shared" si="52"/>
        <v>0</v>
      </c>
      <c r="J68" s="293">
        <f t="shared" si="53"/>
        <v>0.5</v>
      </c>
      <c r="K68" s="46"/>
      <c r="AD68" s="304">
        <v>0.5</v>
      </c>
      <c r="AE68" s="304">
        <v>1</v>
      </c>
      <c r="AF68" s="293">
        <f t="shared" si="54"/>
        <v>0</v>
      </c>
      <c r="AG68" s="293">
        <f t="shared" si="55"/>
        <v>0.5</v>
      </c>
      <c r="AH68" s="46"/>
      <c r="BA68" s="65" t="s">
        <v>1384</v>
      </c>
    </row>
    <row r="69" spans="1:53" ht="16.899999999999999" customHeight="1" x14ac:dyDescent="0.2">
      <c r="A69" s="71" t="s">
        <v>1610</v>
      </c>
      <c r="B69" s="71" t="s">
        <v>1297</v>
      </c>
      <c r="C69" s="71" t="s">
        <v>1297</v>
      </c>
      <c r="D69" s="129" t="s">
        <v>1275</v>
      </c>
      <c r="E69" s="129" t="s">
        <v>1247</v>
      </c>
      <c r="F69" s="104"/>
      <c r="G69" s="304">
        <v>1</v>
      </c>
      <c r="H69" s="304">
        <v>0</v>
      </c>
      <c r="I69" s="293">
        <f t="shared" si="52"/>
        <v>0</v>
      </c>
      <c r="J69" s="293">
        <f t="shared" si="53"/>
        <v>1</v>
      </c>
      <c r="K69" s="46"/>
      <c r="AD69" s="304">
        <v>1</v>
      </c>
      <c r="AE69" s="304">
        <v>0</v>
      </c>
      <c r="AF69" s="293">
        <f t="shared" si="54"/>
        <v>0</v>
      </c>
      <c r="AG69" s="293">
        <f t="shared" si="55"/>
        <v>1</v>
      </c>
      <c r="AH69" s="46"/>
      <c r="BA69" s="65" t="s">
        <v>1386</v>
      </c>
    </row>
    <row r="70" spans="1:53" ht="16.899999999999999" customHeight="1" x14ac:dyDescent="0.2">
      <c r="A70" s="71" t="s">
        <v>1611</v>
      </c>
      <c r="B70" s="71" t="s">
        <v>1301</v>
      </c>
      <c r="C70" s="71" t="s">
        <v>1301</v>
      </c>
      <c r="D70" s="129" t="s">
        <v>1275</v>
      </c>
      <c r="E70" s="129" t="s">
        <v>1247</v>
      </c>
      <c r="F70" s="104"/>
      <c r="G70" s="304">
        <v>1</v>
      </c>
      <c r="H70" s="304">
        <v>0</v>
      </c>
      <c r="I70" s="293">
        <f t="shared" si="52"/>
        <v>0</v>
      </c>
      <c r="J70" s="293">
        <f t="shared" si="53"/>
        <v>1</v>
      </c>
      <c r="K70" s="46"/>
      <c r="AD70" s="304">
        <v>1</v>
      </c>
      <c r="AE70" s="304">
        <v>0</v>
      </c>
      <c r="AF70" s="293">
        <f t="shared" si="54"/>
        <v>0</v>
      </c>
      <c r="AG70" s="293">
        <f t="shared" si="55"/>
        <v>1</v>
      </c>
      <c r="AH70" s="46"/>
      <c r="BA70" s="65" t="s">
        <v>1388</v>
      </c>
    </row>
    <row r="71" spans="1:53" ht="17.649999999999999" customHeight="1" x14ac:dyDescent="0.2">
      <c r="A71" s="124"/>
      <c r="B71" s="124"/>
      <c r="C71" s="124"/>
      <c r="D71" s="321"/>
      <c r="E71" s="321"/>
      <c r="G71" s="124"/>
      <c r="H71" s="124"/>
      <c r="I71" s="124"/>
      <c r="J71" s="124"/>
      <c r="AD71" s="124"/>
      <c r="AE71" s="124"/>
      <c r="AF71" s="124"/>
      <c r="AG71" s="124"/>
    </row>
    <row r="72" spans="1:53" ht="53.25" customHeight="1" x14ac:dyDescent="0.25">
      <c r="A72" s="316"/>
      <c r="B72" s="172"/>
      <c r="C72" s="305" t="s">
        <v>1612</v>
      </c>
      <c r="D72" s="305"/>
      <c r="E72" s="325"/>
      <c r="F72" s="214"/>
      <c r="G72" s="306" t="s">
        <v>1231</v>
      </c>
      <c r="H72" s="307" t="s">
        <v>1232</v>
      </c>
      <c r="I72" s="307" t="s">
        <v>1233</v>
      </c>
      <c r="J72" s="307" t="s">
        <v>1234</v>
      </c>
      <c r="K72" s="307" t="s">
        <v>1235</v>
      </c>
      <c r="L72" s="307" t="s">
        <v>1236</v>
      </c>
      <c r="M72" s="307" t="s">
        <v>1237</v>
      </c>
      <c r="N72" s="307" t="s">
        <v>1238</v>
      </c>
      <c r="O72" s="307" t="s">
        <v>1239</v>
      </c>
      <c r="P72" s="307" t="s">
        <v>1240</v>
      </c>
      <c r="Q72" s="308" t="s">
        <v>1241</v>
      </c>
      <c r="R72" s="101"/>
      <c r="AD72" s="306" t="s">
        <v>1231</v>
      </c>
      <c r="AE72" s="307" t="s">
        <v>1232</v>
      </c>
      <c r="AF72" s="307" t="s">
        <v>1233</v>
      </c>
      <c r="AG72" s="307" t="s">
        <v>1234</v>
      </c>
      <c r="AH72" s="307" t="s">
        <v>1235</v>
      </c>
      <c r="AI72" s="307" t="s">
        <v>1236</v>
      </c>
      <c r="AJ72" s="307" t="s">
        <v>1237</v>
      </c>
      <c r="AK72" s="307" t="s">
        <v>1238</v>
      </c>
      <c r="AL72" s="307" t="s">
        <v>1239</v>
      </c>
      <c r="AM72" s="307" t="s">
        <v>1240</v>
      </c>
      <c r="AN72" s="308" t="s">
        <v>1241</v>
      </c>
      <c r="AO72" s="101"/>
      <c r="BA72" s="65" t="s">
        <v>1419</v>
      </c>
    </row>
    <row r="73" spans="1:53" ht="16.899999999999999" customHeight="1" x14ac:dyDescent="0.2">
      <c r="A73" s="289" t="s">
        <v>1613</v>
      </c>
      <c r="B73" s="289" t="s">
        <v>1244</v>
      </c>
      <c r="C73" s="289" t="s">
        <v>1614</v>
      </c>
      <c r="D73" s="290" t="s">
        <v>1246</v>
      </c>
      <c r="E73" s="290" t="s">
        <v>190</v>
      </c>
      <c r="F73" s="104"/>
      <c r="G73" s="301">
        <f t="shared" ref="G73:O73" si="56">(1-$J59)*G38</f>
        <v>123.8888888888889</v>
      </c>
      <c r="H73" s="301">
        <f t="shared" si="56"/>
        <v>67670.420400000003</v>
      </c>
      <c r="I73" s="301">
        <f t="shared" si="56"/>
        <v>160239.0653111111</v>
      </c>
      <c r="J73" s="301">
        <f t="shared" si="56"/>
        <v>160271.9848888889</v>
      </c>
      <c r="K73" s="301">
        <f t="shared" si="56"/>
        <v>190455.10949999999</v>
      </c>
      <c r="L73" s="301">
        <f t="shared" si="56"/>
        <v>268194.40841111116</v>
      </c>
      <c r="M73" s="301">
        <f t="shared" si="56"/>
        <v>212190.32452222222</v>
      </c>
      <c r="N73" s="301">
        <f t="shared" si="56"/>
        <v>155225.29216666668</v>
      </c>
      <c r="O73" s="301">
        <f t="shared" si="56"/>
        <v>17339.886399999999</v>
      </c>
      <c r="P73" s="301">
        <f t="shared" ref="P73:P86" si="57">SUM(G73:O73)</f>
        <v>1231710.3804888888</v>
      </c>
      <c r="Q73" s="302">
        <f t="shared" ref="Q73:Q87" si="58">IFERROR(P73/$P$87,"")</f>
        <v>0.60746986814567105</v>
      </c>
      <c r="R73" s="46"/>
      <c r="AD73" s="301">
        <f t="shared" ref="AD73:AL73" si="59">(1-$AG59)*AD38</f>
        <v>125.00388888888889</v>
      </c>
      <c r="AE73" s="301">
        <f t="shared" si="59"/>
        <v>68279.454199999993</v>
      </c>
      <c r="AF73" s="301">
        <f t="shared" si="59"/>
        <v>161681.2169</v>
      </c>
      <c r="AG73" s="301">
        <f t="shared" si="59"/>
        <v>161714.43279999998</v>
      </c>
      <c r="AH73" s="301">
        <f t="shared" si="59"/>
        <v>192169.20550000001</v>
      </c>
      <c r="AI73" s="301">
        <f t="shared" si="59"/>
        <v>270608.15808888891</v>
      </c>
      <c r="AJ73" s="301">
        <f t="shared" si="59"/>
        <v>214100.03752222221</v>
      </c>
      <c r="AK73" s="301">
        <f t="shared" si="59"/>
        <v>156622.31983333334</v>
      </c>
      <c r="AL73" s="301">
        <f t="shared" si="59"/>
        <v>17495.945400000001</v>
      </c>
      <c r="AM73" s="301">
        <f t="shared" ref="AM73:AM86" si="60">SUM(AD73:AL73)</f>
        <v>1242795.7741333335</v>
      </c>
      <c r="AN73" s="302">
        <f t="shared" ref="AN73:AN87" si="61">IFERROR(AM73/$AM$87,"")</f>
        <v>0.60747643610827173</v>
      </c>
      <c r="AO73" s="46"/>
      <c r="BA73" s="65" t="s">
        <v>1616</v>
      </c>
    </row>
    <row r="74" spans="1:53" ht="16.899999999999999" customHeight="1" x14ac:dyDescent="0.2">
      <c r="A74" s="71" t="s">
        <v>1615</v>
      </c>
      <c r="B74" s="71" t="s">
        <v>1244</v>
      </c>
      <c r="C74" s="71" t="s">
        <v>1253</v>
      </c>
      <c r="D74" s="129" t="s">
        <v>1246</v>
      </c>
      <c r="E74" s="129" t="s">
        <v>190</v>
      </c>
      <c r="F74" s="104"/>
      <c r="G74" s="292">
        <f t="shared" ref="G74:O74" si="62">(1-$J57)*G39</f>
        <v>0</v>
      </c>
      <c r="H74" s="292">
        <f t="shared" si="62"/>
        <v>1246.5067999999999</v>
      </c>
      <c r="I74" s="292">
        <f t="shared" si="62"/>
        <v>1892.5937333333334</v>
      </c>
      <c r="J74" s="292">
        <f t="shared" si="62"/>
        <v>2394.0937777777776</v>
      </c>
      <c r="K74" s="292">
        <f t="shared" si="62"/>
        <v>2511.5016000000001</v>
      </c>
      <c r="L74" s="292">
        <f t="shared" si="62"/>
        <v>3225.4446888888892</v>
      </c>
      <c r="M74" s="292">
        <f t="shared" si="62"/>
        <v>2068.4994777777779</v>
      </c>
      <c r="N74" s="292">
        <f t="shared" si="62"/>
        <v>1552.5538333333334</v>
      </c>
      <c r="O74" s="292">
        <f t="shared" si="62"/>
        <v>325.5204</v>
      </c>
      <c r="P74" s="292">
        <f t="shared" si="57"/>
        <v>15216.714311111109</v>
      </c>
      <c r="Q74" s="293">
        <f t="shared" si="58"/>
        <v>7.5047637680150233E-3</v>
      </c>
      <c r="R74" s="46"/>
      <c r="AD74" s="292">
        <f t="shared" ref="AD74:AL74" si="63">(1-$AG57)*AD39</f>
        <v>0</v>
      </c>
      <c r="AE74" s="292">
        <f t="shared" si="63"/>
        <v>1257.7253333333333</v>
      </c>
      <c r="AF74" s="292">
        <f t="shared" si="63"/>
        <v>1909.6270666666669</v>
      </c>
      <c r="AG74" s="292">
        <f t="shared" si="63"/>
        <v>2415.6406222222217</v>
      </c>
      <c r="AH74" s="292">
        <f t="shared" si="63"/>
        <v>2534.1051000000002</v>
      </c>
      <c r="AI74" s="292">
        <f t="shared" si="63"/>
        <v>3254.4736888888892</v>
      </c>
      <c r="AJ74" s="292">
        <f t="shared" si="63"/>
        <v>2087.1160555555557</v>
      </c>
      <c r="AK74" s="292">
        <f t="shared" si="63"/>
        <v>1566.5268333333333</v>
      </c>
      <c r="AL74" s="292">
        <f t="shared" si="63"/>
        <v>328.45</v>
      </c>
      <c r="AM74" s="292">
        <f t="shared" si="60"/>
        <v>15353.664700000001</v>
      </c>
      <c r="AN74" s="293">
        <f t="shared" si="61"/>
        <v>7.5048448886636879E-3</v>
      </c>
      <c r="AO74" s="46"/>
      <c r="BA74" s="65" t="s">
        <v>1618</v>
      </c>
    </row>
    <row r="75" spans="1:53" ht="16.899999999999999" customHeight="1" x14ac:dyDescent="0.2">
      <c r="A75" s="71" t="s">
        <v>1617</v>
      </c>
      <c r="B75" s="71" t="s">
        <v>1244</v>
      </c>
      <c r="C75" s="71" t="s">
        <v>1256</v>
      </c>
      <c r="D75" s="129" t="s">
        <v>1246</v>
      </c>
      <c r="E75" s="129" t="s">
        <v>190</v>
      </c>
      <c r="F75" s="104"/>
      <c r="G75" s="292">
        <f t="shared" ref="G75:O75" si="64">(1-$J58)*G40</f>
        <v>0</v>
      </c>
      <c r="H75" s="292">
        <f t="shared" si="64"/>
        <v>5353.6646666666666</v>
      </c>
      <c r="I75" s="292">
        <f t="shared" si="64"/>
        <v>6147.8509555555556</v>
      </c>
      <c r="J75" s="292">
        <f t="shared" si="64"/>
        <v>4641.5855111111105</v>
      </c>
      <c r="K75" s="292">
        <f t="shared" si="64"/>
        <v>4300.9822999999997</v>
      </c>
      <c r="L75" s="292">
        <f t="shared" si="64"/>
        <v>4000.5251000000003</v>
      </c>
      <c r="M75" s="292">
        <f t="shared" si="64"/>
        <v>2256.5267111111111</v>
      </c>
      <c r="N75" s="292">
        <f t="shared" si="64"/>
        <v>1605.4096666666667</v>
      </c>
      <c r="O75" s="292">
        <f t="shared" si="64"/>
        <v>338.59320000000002</v>
      </c>
      <c r="P75" s="292">
        <f t="shared" si="57"/>
        <v>28645.138111111108</v>
      </c>
      <c r="Q75" s="293">
        <f t="shared" si="58"/>
        <v>1.412755672682112E-2</v>
      </c>
      <c r="R75" s="46"/>
      <c r="AD75" s="292">
        <f t="shared" ref="AD75:AL75" si="65">(1-$AG58)*AD40</f>
        <v>0</v>
      </c>
      <c r="AE75" s="292">
        <f t="shared" si="65"/>
        <v>5401.8476666666666</v>
      </c>
      <c r="AF75" s="292">
        <f t="shared" si="65"/>
        <v>6203.1815999999999</v>
      </c>
      <c r="AG75" s="292">
        <f t="shared" si="65"/>
        <v>4683.3597333333328</v>
      </c>
      <c r="AH75" s="292">
        <f t="shared" si="65"/>
        <v>4339.6912000000002</v>
      </c>
      <c r="AI75" s="292">
        <f t="shared" si="65"/>
        <v>4036.5298111111115</v>
      </c>
      <c r="AJ75" s="292">
        <f t="shared" si="65"/>
        <v>2276.8354555555557</v>
      </c>
      <c r="AK75" s="292">
        <f t="shared" si="65"/>
        <v>1619.8583333333333</v>
      </c>
      <c r="AL75" s="292">
        <f t="shared" si="65"/>
        <v>341.64060000000001</v>
      </c>
      <c r="AM75" s="292">
        <f t="shared" si="60"/>
        <v>28902.9444</v>
      </c>
      <c r="AN75" s="293">
        <f t="shared" si="61"/>
        <v>1.4127709493855936E-2</v>
      </c>
      <c r="AO75" s="46"/>
      <c r="BA75" s="65" t="s">
        <v>1620</v>
      </c>
    </row>
    <row r="76" spans="1:53" ht="16.899999999999999" customHeight="1" x14ac:dyDescent="0.2">
      <c r="A76" s="71" t="s">
        <v>1619</v>
      </c>
      <c r="B76" s="71" t="s">
        <v>1244</v>
      </c>
      <c r="C76" s="71" t="s">
        <v>1326</v>
      </c>
      <c r="D76" s="129" t="s">
        <v>1246</v>
      </c>
      <c r="E76" s="129" t="s">
        <v>190</v>
      </c>
      <c r="F76" s="104"/>
      <c r="G76" s="292">
        <f t="shared" ref="G76:O76" si="66">(1-$J60)*G41</f>
        <v>19.28315388888889</v>
      </c>
      <c r="H76" s="292">
        <f t="shared" si="66"/>
        <v>16684.004786000001</v>
      </c>
      <c r="I76" s="292">
        <f t="shared" si="66"/>
        <v>16852.765876333335</v>
      </c>
      <c r="J76" s="292">
        <f t="shared" si="66"/>
        <v>10175.025989333333</v>
      </c>
      <c r="K76" s="292">
        <f t="shared" si="66"/>
        <v>5976.0796620000001</v>
      </c>
      <c r="L76" s="292">
        <f t="shared" si="66"/>
        <v>4614.6764803333344</v>
      </c>
      <c r="M76" s="292">
        <f t="shared" si="66"/>
        <v>2124.7283488888888</v>
      </c>
      <c r="N76" s="292">
        <f t="shared" si="66"/>
        <v>830.00994500000013</v>
      </c>
      <c r="O76" s="292">
        <f t="shared" si="66"/>
        <v>50.129134000000001</v>
      </c>
      <c r="P76" s="292">
        <f t="shared" si="57"/>
        <v>57326.703375777775</v>
      </c>
      <c r="Q76" s="293">
        <f t="shared" si="58"/>
        <v>2.8273079039154748E-2</v>
      </c>
      <c r="R76" s="46"/>
      <c r="AD76" s="292">
        <f t="shared" ref="AD76:AL76" si="67">(1-$AG60)*AD41</f>
        <v>19.456690555555557</v>
      </c>
      <c r="AE76" s="292">
        <f t="shared" si="67"/>
        <v>16834.160823333332</v>
      </c>
      <c r="AF76" s="292">
        <f t="shared" si="67"/>
        <v>17004.440811555556</v>
      </c>
      <c r="AG76" s="292">
        <f t="shared" si="67"/>
        <v>10266.601174222224</v>
      </c>
      <c r="AH76" s="292">
        <f t="shared" si="67"/>
        <v>6029.8643630000006</v>
      </c>
      <c r="AI76" s="292">
        <f t="shared" si="67"/>
        <v>4656.2085973333342</v>
      </c>
      <c r="AJ76" s="292">
        <f t="shared" si="67"/>
        <v>2143.8508606666669</v>
      </c>
      <c r="AK76" s="292">
        <f t="shared" si="67"/>
        <v>837.48005333333333</v>
      </c>
      <c r="AL76" s="292">
        <f t="shared" si="67"/>
        <v>50.580224000000001</v>
      </c>
      <c r="AM76" s="292">
        <f t="shared" si="60"/>
        <v>57842.643597999995</v>
      </c>
      <c r="AN76" s="293">
        <f t="shared" si="61"/>
        <v>2.8273384669735922E-2</v>
      </c>
      <c r="AO76" s="46"/>
      <c r="BA76" s="65" t="s">
        <v>1622</v>
      </c>
    </row>
    <row r="77" spans="1:53" ht="16.899999999999999" customHeight="1" x14ac:dyDescent="0.2">
      <c r="A77" s="71" t="s">
        <v>1621</v>
      </c>
      <c r="B77" s="71" t="s">
        <v>1244</v>
      </c>
      <c r="C77" s="71" t="s">
        <v>1329</v>
      </c>
      <c r="D77" s="129" t="s">
        <v>1246</v>
      </c>
      <c r="E77" s="129" t="s">
        <v>190</v>
      </c>
      <c r="F77" s="104"/>
      <c r="G77" s="292">
        <f t="shared" ref="G77:O77" si="68">(1-$J61)*G42</f>
        <v>27.952997222222223</v>
      </c>
      <c r="H77" s="292">
        <f t="shared" si="68"/>
        <v>19626.229913333333</v>
      </c>
      <c r="I77" s="292">
        <f t="shared" si="68"/>
        <v>19445.472612222224</v>
      </c>
      <c r="J77" s="292">
        <f t="shared" si="68"/>
        <v>11961.889160000001</v>
      </c>
      <c r="K77" s="292">
        <f t="shared" si="68"/>
        <v>6283.3803500000004</v>
      </c>
      <c r="L77" s="292">
        <f t="shared" si="68"/>
        <v>3173.2963961111113</v>
      </c>
      <c r="M77" s="292">
        <f t="shared" si="68"/>
        <v>1153.7945466666667</v>
      </c>
      <c r="N77" s="292">
        <f t="shared" si="68"/>
        <v>506.16128333333336</v>
      </c>
      <c r="O77" s="292">
        <f t="shared" si="68"/>
        <v>29.322279999999999</v>
      </c>
      <c r="P77" s="292">
        <f t="shared" si="57"/>
        <v>62207.499538888886</v>
      </c>
      <c r="Q77" s="293">
        <f t="shared" si="58"/>
        <v>3.0680249303055719E-2</v>
      </c>
      <c r="R77" s="46"/>
      <c r="AD77" s="292">
        <f t="shared" ref="AD77:AL77" si="69">(1-$AG61)*AD42</f>
        <v>28.204583333333339</v>
      </c>
      <c r="AE77" s="292">
        <f t="shared" si="69"/>
        <v>19802.865983333333</v>
      </c>
      <c r="AF77" s="292">
        <f t="shared" si="69"/>
        <v>19620.481891111114</v>
      </c>
      <c r="AG77" s="292">
        <f t="shared" si="69"/>
        <v>12069.546204444445</v>
      </c>
      <c r="AH77" s="292">
        <f t="shared" si="69"/>
        <v>6339.9307400000007</v>
      </c>
      <c r="AI77" s="292">
        <f t="shared" si="69"/>
        <v>3201.8560383333338</v>
      </c>
      <c r="AJ77" s="292">
        <f t="shared" si="69"/>
        <v>1164.1786577777777</v>
      </c>
      <c r="AK77" s="292">
        <f t="shared" si="69"/>
        <v>510.7167</v>
      </c>
      <c r="AL77" s="292">
        <f t="shared" si="69"/>
        <v>29.586180000000002</v>
      </c>
      <c r="AM77" s="292">
        <f t="shared" si="60"/>
        <v>62767.366978333332</v>
      </c>
      <c r="AN77" s="293">
        <f t="shared" si="61"/>
        <v>3.068058098482656E-2</v>
      </c>
      <c r="AO77" s="46"/>
      <c r="BA77" s="65" t="s">
        <v>1624</v>
      </c>
    </row>
    <row r="78" spans="1:53" ht="16.899999999999999" customHeight="1" x14ac:dyDescent="0.2">
      <c r="A78" s="71" t="s">
        <v>1623</v>
      </c>
      <c r="B78" s="71" t="s">
        <v>1266</v>
      </c>
      <c r="C78" s="71" t="s">
        <v>1288</v>
      </c>
      <c r="D78" s="129" t="s">
        <v>1246</v>
      </c>
      <c r="E78" s="129" t="s">
        <v>190</v>
      </c>
      <c r="F78" s="104"/>
      <c r="G78" s="292">
        <f t="shared" ref="G78:O78" si="70">(1-$J62)*G43</f>
        <v>60</v>
      </c>
      <c r="H78" s="292">
        <f t="shared" si="70"/>
        <v>73462</v>
      </c>
      <c r="I78" s="292">
        <f t="shared" si="70"/>
        <v>103583.08333333334</v>
      </c>
      <c r="J78" s="292">
        <f t="shared" si="70"/>
        <v>83254</v>
      </c>
      <c r="K78" s="292">
        <f t="shared" si="70"/>
        <v>75062.25</v>
      </c>
      <c r="L78" s="292">
        <f t="shared" si="70"/>
        <v>72839.250000000015</v>
      </c>
      <c r="M78" s="292">
        <f t="shared" si="70"/>
        <v>38733.5</v>
      </c>
      <c r="N78" s="292">
        <f t="shared" si="70"/>
        <v>22891.25</v>
      </c>
      <c r="O78" s="292">
        <f t="shared" si="70"/>
        <v>1981.5</v>
      </c>
      <c r="P78" s="292">
        <f t="shared" si="57"/>
        <v>471866.83333333337</v>
      </c>
      <c r="Q78" s="293">
        <f t="shared" si="58"/>
        <v>0.23272100939308529</v>
      </c>
      <c r="R78" s="46"/>
      <c r="AD78" s="292">
        <f t="shared" ref="AD78:AL78" si="71">(1-$AG62)*AD43</f>
        <v>60.54</v>
      </c>
      <c r="AE78" s="292">
        <f t="shared" si="71"/>
        <v>74123.157999999996</v>
      </c>
      <c r="AF78" s="292">
        <f t="shared" si="71"/>
        <v>104515.33108333334</v>
      </c>
      <c r="AG78" s="292">
        <f t="shared" si="71"/>
        <v>84003.285999999993</v>
      </c>
      <c r="AH78" s="292">
        <f t="shared" si="71"/>
        <v>75737.81025000001</v>
      </c>
      <c r="AI78" s="292">
        <f t="shared" si="71"/>
        <v>73494.803250000012</v>
      </c>
      <c r="AJ78" s="292">
        <f t="shared" si="71"/>
        <v>39082.101500000004</v>
      </c>
      <c r="AK78" s="292">
        <f t="shared" si="71"/>
        <v>23097.271250000002</v>
      </c>
      <c r="AL78" s="292">
        <f t="shared" si="71"/>
        <v>1999.3334999999997</v>
      </c>
      <c r="AM78" s="292">
        <f t="shared" si="60"/>
        <v>476113.63483333326</v>
      </c>
      <c r="AN78" s="293">
        <f t="shared" si="61"/>
        <v>0.23272352553081546</v>
      </c>
      <c r="AO78" s="46"/>
      <c r="BA78" s="65" t="s">
        <v>1626</v>
      </c>
    </row>
    <row r="79" spans="1:53" ht="16.899999999999999" customHeight="1" x14ac:dyDescent="0.2">
      <c r="A79" s="71" t="s">
        <v>1625</v>
      </c>
      <c r="B79" s="71" t="s">
        <v>1266</v>
      </c>
      <c r="C79" s="71" t="s">
        <v>1334</v>
      </c>
      <c r="D79" s="129" t="s">
        <v>1246</v>
      </c>
      <c r="E79" s="129" t="s">
        <v>190</v>
      </c>
      <c r="F79" s="104"/>
      <c r="G79" s="292">
        <f t="shared" ref="G79:O79" si="72">(1-$J63)*G44</f>
        <v>3.0592791207977781</v>
      </c>
      <c r="H79" s="292">
        <f t="shared" si="72"/>
        <v>4325.6074099244806</v>
      </c>
      <c r="I79" s="292">
        <f t="shared" si="72"/>
        <v>3803.7344612673669</v>
      </c>
      <c r="J79" s="292">
        <f t="shared" si="72"/>
        <v>2265.2796370003475</v>
      </c>
      <c r="K79" s="292">
        <f t="shared" si="72"/>
        <v>1187.4879114625205</v>
      </c>
      <c r="L79" s="292">
        <f t="shared" si="72"/>
        <v>676.71941484691729</v>
      </c>
      <c r="M79" s="292">
        <f t="shared" si="72"/>
        <v>261.10407716123245</v>
      </c>
      <c r="N79" s="292">
        <f t="shared" si="72"/>
        <v>84.267380683673764</v>
      </c>
      <c r="O79" s="292">
        <f t="shared" si="72"/>
        <v>0.90303046821950006</v>
      </c>
      <c r="P79" s="292">
        <f t="shared" si="57"/>
        <v>12608.162601935555</v>
      </c>
      <c r="Q79" s="293">
        <f t="shared" si="58"/>
        <v>6.2182465900116404E-3</v>
      </c>
      <c r="R79" s="46"/>
      <c r="AD79" s="292">
        <f t="shared" ref="AD79:AL79" si="73">(1-$AG63)*AD44</f>
        <v>3.1889964936636668</v>
      </c>
      <c r="AE79" s="292">
        <f t="shared" si="73"/>
        <v>4476.100220566499</v>
      </c>
      <c r="AF79" s="292">
        <f t="shared" si="73"/>
        <v>3935.5348304114332</v>
      </c>
      <c r="AG79" s="292">
        <f t="shared" si="73"/>
        <v>2342.5979952594466</v>
      </c>
      <c r="AH79" s="292">
        <f t="shared" si="73"/>
        <v>1227.2001900793957</v>
      </c>
      <c r="AI79" s="292">
        <f t="shared" si="73"/>
        <v>704.31623138865029</v>
      </c>
      <c r="AJ79" s="292">
        <f t="shared" si="73"/>
        <v>271.51247248990688</v>
      </c>
      <c r="AK79" s="292">
        <f t="shared" si="73"/>
        <v>87.355446438469997</v>
      </c>
      <c r="AL79" s="292">
        <f t="shared" si="73"/>
        <v>0.96020975847419987</v>
      </c>
      <c r="AM79" s="292">
        <f t="shared" si="60"/>
        <v>13048.766592885939</v>
      </c>
      <c r="AN79" s="293">
        <f t="shared" si="61"/>
        <v>6.3782146595910425E-3</v>
      </c>
      <c r="AO79" s="46"/>
      <c r="BA79" s="65" t="s">
        <v>1629</v>
      </c>
    </row>
    <row r="80" spans="1:53" ht="16.899999999999999" customHeight="1" x14ac:dyDescent="0.2">
      <c r="A80" s="71" t="s">
        <v>1627</v>
      </c>
      <c r="B80" s="71" t="s">
        <v>1266</v>
      </c>
      <c r="C80" s="71" t="s">
        <v>1628</v>
      </c>
      <c r="D80" s="129" t="s">
        <v>1246</v>
      </c>
      <c r="E80" s="129" t="s">
        <v>190</v>
      </c>
      <c r="F80" s="104"/>
      <c r="G80" s="292">
        <f t="shared" ref="G80:O80" si="74">(1-$J64)*G45</f>
        <v>7.1770740406666667</v>
      </c>
      <c r="H80" s="292">
        <f t="shared" si="74"/>
        <v>6646.5552472336494</v>
      </c>
      <c r="I80" s="292">
        <f t="shared" si="74"/>
        <v>6073.9324122293829</v>
      </c>
      <c r="J80" s="292">
        <f t="shared" si="74"/>
        <v>3574.4995889676002</v>
      </c>
      <c r="K80" s="292">
        <f t="shared" si="74"/>
        <v>1866.82983660585</v>
      </c>
      <c r="L80" s="292">
        <f t="shared" si="74"/>
        <v>1638.5649480578586</v>
      </c>
      <c r="M80" s="292">
        <f t="shared" si="74"/>
        <v>581.56007376025013</v>
      </c>
      <c r="N80" s="292">
        <f t="shared" si="74"/>
        <v>172.38744989287503</v>
      </c>
      <c r="O80" s="292">
        <f t="shared" si="74"/>
        <v>6.9449605321500005</v>
      </c>
      <c r="P80" s="292">
        <f t="shared" si="57"/>
        <v>20568.451591320281</v>
      </c>
      <c r="Q80" s="293">
        <f t="shared" si="58"/>
        <v>1.0144198485345689E-2</v>
      </c>
      <c r="R80" s="46"/>
      <c r="AD80" s="292">
        <f t="shared" ref="AD80:AL80" si="75">(1-$AG64)*AD45</f>
        <v>7.1325857422333332</v>
      </c>
      <c r="AE80" s="292">
        <f t="shared" si="75"/>
        <v>6587.2685661211744</v>
      </c>
      <c r="AF80" s="292">
        <f t="shared" si="75"/>
        <v>6024.4340076864883</v>
      </c>
      <c r="AG80" s="292">
        <f t="shared" si="75"/>
        <v>3545.8898323446001</v>
      </c>
      <c r="AH80" s="292">
        <f t="shared" si="75"/>
        <v>1852.6438611251999</v>
      </c>
      <c r="AI80" s="292">
        <f t="shared" si="75"/>
        <v>1630.3514962636</v>
      </c>
      <c r="AJ80" s="292">
        <f t="shared" si="75"/>
        <v>578.19070792892501</v>
      </c>
      <c r="AK80" s="292">
        <f t="shared" si="75"/>
        <v>171.45170753899998</v>
      </c>
      <c r="AL80" s="292">
        <f t="shared" si="75"/>
        <v>6.9551650265399996</v>
      </c>
      <c r="AM80" s="292">
        <f t="shared" si="60"/>
        <v>20404.317929777764</v>
      </c>
      <c r="AN80" s="293">
        <f t="shared" si="61"/>
        <v>9.9735954974945803E-3</v>
      </c>
      <c r="AO80" s="46"/>
      <c r="BA80" s="65" t="s">
        <v>1631</v>
      </c>
    </row>
    <row r="81" spans="1:53" ht="16.899999999999999" customHeight="1" x14ac:dyDescent="0.2">
      <c r="A81" s="71" t="s">
        <v>1630</v>
      </c>
      <c r="B81" s="71" t="s">
        <v>1266</v>
      </c>
      <c r="C81" s="71" t="s">
        <v>1284</v>
      </c>
      <c r="D81" s="129" t="s">
        <v>1246</v>
      </c>
      <c r="E81" s="129" t="s">
        <v>190</v>
      </c>
      <c r="F81" s="104"/>
      <c r="G81" s="292">
        <f t="shared" ref="G81:O81" si="76">(1-$J65)*G46</f>
        <v>51.130336111111113</v>
      </c>
      <c r="H81" s="292">
        <f t="shared" si="76"/>
        <v>52034.250406666666</v>
      </c>
      <c r="I81" s="292">
        <f t="shared" si="76"/>
        <v>39823.807255555555</v>
      </c>
      <c r="J81" s="292">
        <f t="shared" si="76"/>
        <v>20682.962155555557</v>
      </c>
      <c r="K81" s="292">
        <f t="shared" si="76"/>
        <v>8515.9939150000009</v>
      </c>
      <c r="L81" s="292">
        <f t="shared" si="76"/>
        <v>3736.0474738888893</v>
      </c>
      <c r="M81" s="292">
        <f t="shared" si="76"/>
        <v>1020.3291438888889</v>
      </c>
      <c r="N81" s="292">
        <f t="shared" si="76"/>
        <v>349.43068333333338</v>
      </c>
      <c r="O81" s="292">
        <f t="shared" si="76"/>
        <v>10.97772</v>
      </c>
      <c r="P81" s="292">
        <f t="shared" si="57"/>
        <v>126224.92908999999</v>
      </c>
      <c r="Q81" s="293">
        <f t="shared" si="58"/>
        <v>6.2253141847001495E-2</v>
      </c>
      <c r="R81" s="46"/>
      <c r="AD81" s="292">
        <f t="shared" ref="AD81:AL81" si="77">(1-$AG65)*AD46</f>
        <v>51.590500000000006</v>
      </c>
      <c r="AE81" s="292">
        <f t="shared" si="77"/>
        <v>52502.558636666668</v>
      </c>
      <c r="AF81" s="292">
        <f t="shared" si="77"/>
        <v>40182.221523888889</v>
      </c>
      <c r="AG81" s="292">
        <f t="shared" si="77"/>
        <v>20869.10880888889</v>
      </c>
      <c r="AH81" s="292">
        <f t="shared" si="77"/>
        <v>8592.6378199999999</v>
      </c>
      <c r="AI81" s="292">
        <f t="shared" si="77"/>
        <v>3769.6718583333341</v>
      </c>
      <c r="AJ81" s="292">
        <f t="shared" si="77"/>
        <v>1029.5121344444444</v>
      </c>
      <c r="AK81" s="292">
        <f t="shared" si="77"/>
        <v>352.57560000000007</v>
      </c>
      <c r="AL81" s="292">
        <f t="shared" si="77"/>
        <v>11.07652</v>
      </c>
      <c r="AM81" s="292">
        <f t="shared" si="60"/>
        <v>127360.95340222222</v>
      </c>
      <c r="AN81" s="293">
        <f t="shared" si="61"/>
        <v>6.2253814892544931E-2</v>
      </c>
      <c r="AO81" s="46"/>
      <c r="BA81" s="65" t="s">
        <v>1633</v>
      </c>
    </row>
    <row r="82" spans="1:53" ht="16.899999999999999" customHeight="1" x14ac:dyDescent="0.2">
      <c r="A82" s="71" t="s">
        <v>1632</v>
      </c>
      <c r="B82" s="71" t="s">
        <v>1287</v>
      </c>
      <c r="C82" s="71" t="s">
        <v>1288</v>
      </c>
      <c r="D82" s="129" t="s">
        <v>1246</v>
      </c>
      <c r="E82" s="129" t="s">
        <v>190</v>
      </c>
      <c r="F82" s="104"/>
      <c r="G82" s="292">
        <f t="shared" ref="G82:O82" si="78">(1-$J66)*G47</f>
        <v>0.27777777777777779</v>
      </c>
      <c r="H82" s="292">
        <f t="shared" si="78"/>
        <v>289.33333333333331</v>
      </c>
      <c r="I82" s="292">
        <f t="shared" si="78"/>
        <v>234.11111111111111</v>
      </c>
      <c r="J82" s="292">
        <f t="shared" si="78"/>
        <v>163.55555555555554</v>
      </c>
      <c r="K82" s="292">
        <f t="shared" si="78"/>
        <v>135</v>
      </c>
      <c r="L82" s="292">
        <f t="shared" si="78"/>
        <v>138.11111111111111</v>
      </c>
      <c r="M82" s="292">
        <f t="shared" si="78"/>
        <v>88.833333333333329</v>
      </c>
      <c r="N82" s="292">
        <f t="shared" si="78"/>
        <v>65.833333333333343</v>
      </c>
      <c r="O82" s="292">
        <f t="shared" si="78"/>
        <v>18</v>
      </c>
      <c r="P82" s="292">
        <f t="shared" si="57"/>
        <v>1133.0555555555554</v>
      </c>
      <c r="Q82" s="293">
        <f t="shared" si="58"/>
        <v>5.5881408473788731E-4</v>
      </c>
      <c r="R82" s="46"/>
      <c r="AD82" s="292">
        <f t="shared" ref="AD82:AL82" si="79">(1-$AG66)*AD47</f>
        <v>0.28027777777777774</v>
      </c>
      <c r="AE82" s="292">
        <f t="shared" si="79"/>
        <v>291.9373333333333</v>
      </c>
      <c r="AF82" s="292">
        <f t="shared" si="79"/>
        <v>236.21811111111111</v>
      </c>
      <c r="AG82" s="292">
        <f t="shared" si="79"/>
        <v>165.02755555555555</v>
      </c>
      <c r="AH82" s="292">
        <f t="shared" si="79"/>
        <v>136.215</v>
      </c>
      <c r="AI82" s="292">
        <f t="shared" si="79"/>
        <v>139.35411111111111</v>
      </c>
      <c r="AJ82" s="292">
        <f t="shared" si="79"/>
        <v>89.632833333333338</v>
      </c>
      <c r="AK82" s="292">
        <f t="shared" si="79"/>
        <v>66.42583333333333</v>
      </c>
      <c r="AL82" s="292">
        <f t="shared" si="79"/>
        <v>18.161999999999999</v>
      </c>
      <c r="AM82" s="292">
        <f t="shared" si="60"/>
        <v>1143.2530555555556</v>
      </c>
      <c r="AN82" s="293">
        <f t="shared" si="61"/>
        <v>5.5882012653534461E-4</v>
      </c>
      <c r="AO82" s="46"/>
      <c r="BA82" s="65" t="s">
        <v>1635</v>
      </c>
    </row>
    <row r="83" spans="1:53" ht="16.899999999999999" customHeight="1" x14ac:dyDescent="0.2">
      <c r="A83" s="71" t="s">
        <v>1634</v>
      </c>
      <c r="B83" s="71" t="s">
        <v>1287</v>
      </c>
      <c r="C83" s="71" t="s">
        <v>1291</v>
      </c>
      <c r="D83" s="129" t="s">
        <v>1246</v>
      </c>
      <c r="E83" s="129" t="s">
        <v>190</v>
      </c>
      <c r="F83" s="104"/>
      <c r="G83" s="292">
        <f t="shared" ref="G83:O83" si="80">(1-$J67)*G48</f>
        <v>0</v>
      </c>
      <c r="H83" s="292">
        <f t="shared" si="80"/>
        <v>2.333333333333333</v>
      </c>
      <c r="I83" s="292">
        <f t="shared" si="80"/>
        <v>5.0555555555555554</v>
      </c>
      <c r="J83" s="292">
        <f t="shared" si="80"/>
        <v>4.4444444444444446</v>
      </c>
      <c r="K83" s="292">
        <f t="shared" si="80"/>
        <v>4.5</v>
      </c>
      <c r="L83" s="292">
        <f t="shared" si="80"/>
        <v>4.8888888888888893</v>
      </c>
      <c r="M83" s="292">
        <f t="shared" si="80"/>
        <v>2.1666666666666665</v>
      </c>
      <c r="N83" s="292">
        <f t="shared" si="80"/>
        <v>0</v>
      </c>
      <c r="O83" s="292">
        <f t="shared" si="80"/>
        <v>0</v>
      </c>
      <c r="P83" s="292">
        <f t="shared" si="57"/>
        <v>23.388888888888889</v>
      </c>
      <c r="Q83" s="293">
        <f t="shared" si="58"/>
        <v>1.153521596835747E-5</v>
      </c>
      <c r="R83" s="46"/>
      <c r="AD83" s="292">
        <f t="shared" ref="AD83:AL83" si="81">(1-$AG67)*AD48</f>
        <v>0</v>
      </c>
      <c r="AE83" s="292">
        <f t="shared" si="81"/>
        <v>2.3543333333333329</v>
      </c>
      <c r="AF83" s="292">
        <f t="shared" si="81"/>
        <v>5.1010555555555559</v>
      </c>
      <c r="AG83" s="292">
        <f t="shared" si="81"/>
        <v>4.4844444444444438</v>
      </c>
      <c r="AH83" s="292">
        <f t="shared" si="81"/>
        <v>4.5404999999999998</v>
      </c>
      <c r="AI83" s="292">
        <f t="shared" si="81"/>
        <v>4.9328888888888889</v>
      </c>
      <c r="AJ83" s="292">
        <f t="shared" si="81"/>
        <v>2.1861666666666668</v>
      </c>
      <c r="AK83" s="292">
        <f t="shared" si="81"/>
        <v>0</v>
      </c>
      <c r="AL83" s="292">
        <f t="shared" si="81"/>
        <v>0</v>
      </c>
      <c r="AM83" s="292">
        <f t="shared" si="60"/>
        <v>23.599388888888889</v>
      </c>
      <c r="AN83" s="293">
        <f t="shared" si="61"/>
        <v>1.1535340685039474E-5</v>
      </c>
      <c r="AO83" s="46"/>
      <c r="BA83" s="65" t="s">
        <v>1637</v>
      </c>
    </row>
    <row r="84" spans="1:53" ht="16.899999999999999" customHeight="1" x14ac:dyDescent="0.2">
      <c r="A84" s="71" t="s">
        <v>1636</v>
      </c>
      <c r="B84" s="71" t="s">
        <v>1287</v>
      </c>
      <c r="C84" s="71" t="s">
        <v>1294</v>
      </c>
      <c r="D84" s="129" t="s">
        <v>1246</v>
      </c>
      <c r="E84" s="129" t="s">
        <v>190</v>
      </c>
      <c r="F84" s="104"/>
      <c r="G84" s="292">
        <f t="shared" ref="G84:O84" si="82">(1-$J68)*G49</f>
        <v>0.27777777777777779</v>
      </c>
      <c r="H84" s="292">
        <f t="shared" si="82"/>
        <v>11</v>
      </c>
      <c r="I84" s="292">
        <f t="shared" si="82"/>
        <v>18.666666666666668</v>
      </c>
      <c r="J84" s="292">
        <f t="shared" si="82"/>
        <v>21.777777777777775</v>
      </c>
      <c r="K84" s="292">
        <f t="shared" si="82"/>
        <v>15.5</v>
      </c>
      <c r="L84" s="292">
        <f t="shared" si="82"/>
        <v>6.7222222222222232</v>
      </c>
      <c r="M84" s="292">
        <f t="shared" si="82"/>
        <v>2.1666666666666665</v>
      </c>
      <c r="N84" s="292">
        <f t="shared" si="82"/>
        <v>0</v>
      </c>
      <c r="O84" s="292">
        <f t="shared" si="82"/>
        <v>0</v>
      </c>
      <c r="P84" s="292">
        <f t="shared" si="57"/>
        <v>76.111111111111128</v>
      </c>
      <c r="Q84" s="293">
        <f t="shared" si="58"/>
        <v>3.7537401132184648E-5</v>
      </c>
      <c r="R84" s="46"/>
      <c r="AD84" s="292">
        <f t="shared" ref="AD84:AL84" si="83">(1-$AG68)*AD49</f>
        <v>0.28027777777777774</v>
      </c>
      <c r="AE84" s="292">
        <f t="shared" si="83"/>
        <v>11.098999999999998</v>
      </c>
      <c r="AF84" s="292">
        <f t="shared" si="83"/>
        <v>18.834666666666667</v>
      </c>
      <c r="AG84" s="292">
        <f t="shared" si="83"/>
        <v>21.973777777777777</v>
      </c>
      <c r="AH84" s="292">
        <f t="shared" si="83"/>
        <v>15.6395</v>
      </c>
      <c r="AI84" s="292">
        <f t="shared" si="83"/>
        <v>6.7827222222222225</v>
      </c>
      <c r="AJ84" s="292">
        <f t="shared" si="83"/>
        <v>2.1861666666666668</v>
      </c>
      <c r="AK84" s="292">
        <f t="shared" si="83"/>
        <v>0</v>
      </c>
      <c r="AL84" s="292">
        <f t="shared" si="83"/>
        <v>0</v>
      </c>
      <c r="AM84" s="292">
        <f t="shared" si="60"/>
        <v>76.796111111111102</v>
      </c>
      <c r="AN84" s="293">
        <f t="shared" si="61"/>
        <v>3.7537806979819661E-5</v>
      </c>
      <c r="AO84" s="46"/>
      <c r="BA84" s="65" t="s">
        <v>1639</v>
      </c>
    </row>
    <row r="85" spans="1:53" ht="16.899999999999999" customHeight="1" x14ac:dyDescent="0.2">
      <c r="A85" s="71" t="s">
        <v>1638</v>
      </c>
      <c r="B85" s="71" t="s">
        <v>1297</v>
      </c>
      <c r="C85" s="71" t="s">
        <v>1297</v>
      </c>
      <c r="D85" s="129" t="s">
        <v>1246</v>
      </c>
      <c r="E85" s="129" t="s">
        <v>190</v>
      </c>
      <c r="F85" s="104"/>
      <c r="G85" s="292">
        <f t="shared" ref="G85:O85" si="84">(1-$J69)*G50</f>
        <v>0</v>
      </c>
      <c r="H85" s="292">
        <f t="shared" si="84"/>
        <v>0</v>
      </c>
      <c r="I85" s="292">
        <f t="shared" si="84"/>
        <v>0</v>
      </c>
      <c r="J85" s="292">
        <f t="shared" si="84"/>
        <v>0</v>
      </c>
      <c r="K85" s="292">
        <f t="shared" si="84"/>
        <v>0</v>
      </c>
      <c r="L85" s="292">
        <f t="shared" si="84"/>
        <v>0</v>
      </c>
      <c r="M85" s="292">
        <f t="shared" si="84"/>
        <v>0</v>
      </c>
      <c r="N85" s="292">
        <f t="shared" si="84"/>
        <v>0</v>
      </c>
      <c r="O85" s="292">
        <f t="shared" si="84"/>
        <v>0</v>
      </c>
      <c r="P85" s="292">
        <f t="shared" si="57"/>
        <v>0</v>
      </c>
      <c r="Q85" s="293">
        <f t="shared" si="58"/>
        <v>0</v>
      </c>
      <c r="R85" s="46"/>
      <c r="AD85" s="292">
        <f t="shared" ref="AD85:AL85" si="85">(1-$AG69)*AD50</f>
        <v>0</v>
      </c>
      <c r="AE85" s="292">
        <f t="shared" si="85"/>
        <v>0</v>
      </c>
      <c r="AF85" s="292">
        <f t="shared" si="85"/>
        <v>0</v>
      </c>
      <c r="AG85" s="292">
        <f t="shared" si="85"/>
        <v>0</v>
      </c>
      <c r="AH85" s="292">
        <f t="shared" si="85"/>
        <v>0</v>
      </c>
      <c r="AI85" s="292">
        <f t="shared" si="85"/>
        <v>0</v>
      </c>
      <c r="AJ85" s="292">
        <f t="shared" si="85"/>
        <v>0</v>
      </c>
      <c r="AK85" s="292">
        <f t="shared" si="85"/>
        <v>0</v>
      </c>
      <c r="AL85" s="292">
        <f t="shared" si="85"/>
        <v>0</v>
      </c>
      <c r="AM85" s="292">
        <f t="shared" si="60"/>
        <v>0</v>
      </c>
      <c r="AN85" s="293">
        <f t="shared" si="61"/>
        <v>0</v>
      </c>
      <c r="AO85" s="46"/>
      <c r="BA85" s="65" t="s">
        <v>1641</v>
      </c>
    </row>
    <row r="86" spans="1:53" ht="16.899999999999999" customHeight="1" x14ac:dyDescent="0.2">
      <c r="A86" s="71" t="s">
        <v>1640</v>
      </c>
      <c r="B86" s="71" t="s">
        <v>1301</v>
      </c>
      <c r="C86" s="71" t="s">
        <v>1301</v>
      </c>
      <c r="D86" s="129" t="s">
        <v>1246</v>
      </c>
      <c r="E86" s="129" t="s">
        <v>190</v>
      </c>
      <c r="F86" s="104"/>
      <c r="G86" s="292">
        <f t="shared" ref="G86:O86" si="86">(1-$J70)*G51</f>
        <v>0</v>
      </c>
      <c r="H86" s="292">
        <f t="shared" si="86"/>
        <v>0</v>
      </c>
      <c r="I86" s="292">
        <f t="shared" si="86"/>
        <v>0</v>
      </c>
      <c r="J86" s="292">
        <f t="shared" si="86"/>
        <v>0</v>
      </c>
      <c r="K86" s="292">
        <f t="shared" si="86"/>
        <v>0</v>
      </c>
      <c r="L86" s="292">
        <f t="shared" si="86"/>
        <v>0</v>
      </c>
      <c r="M86" s="292">
        <f t="shared" si="86"/>
        <v>0</v>
      </c>
      <c r="N86" s="292">
        <f t="shared" si="86"/>
        <v>0</v>
      </c>
      <c r="O86" s="292">
        <f t="shared" si="86"/>
        <v>0</v>
      </c>
      <c r="P86" s="292">
        <f t="shared" si="57"/>
        <v>0</v>
      </c>
      <c r="Q86" s="293">
        <f t="shared" si="58"/>
        <v>0</v>
      </c>
      <c r="R86" s="46"/>
      <c r="AD86" s="292">
        <f t="shared" ref="AD86:AL86" si="87">(1-$AG70)*AD51</f>
        <v>0</v>
      </c>
      <c r="AE86" s="292">
        <f t="shared" si="87"/>
        <v>0</v>
      </c>
      <c r="AF86" s="292">
        <f t="shared" si="87"/>
        <v>0</v>
      </c>
      <c r="AG86" s="292">
        <f t="shared" si="87"/>
        <v>0</v>
      </c>
      <c r="AH86" s="292">
        <f t="shared" si="87"/>
        <v>0</v>
      </c>
      <c r="AI86" s="292">
        <f t="shared" si="87"/>
        <v>0</v>
      </c>
      <c r="AJ86" s="292">
        <f t="shared" si="87"/>
        <v>0</v>
      </c>
      <c r="AK86" s="292">
        <f t="shared" si="87"/>
        <v>0</v>
      </c>
      <c r="AL86" s="292">
        <f t="shared" si="87"/>
        <v>0</v>
      </c>
      <c r="AM86" s="292">
        <f t="shared" si="60"/>
        <v>0</v>
      </c>
      <c r="AN86" s="293">
        <f t="shared" si="61"/>
        <v>0</v>
      </c>
      <c r="AO86" s="46"/>
      <c r="BA86" s="65" t="s">
        <v>1643</v>
      </c>
    </row>
    <row r="87" spans="1:53" ht="16.899999999999999" customHeight="1" x14ac:dyDescent="0.2">
      <c r="A87" s="71" t="s">
        <v>1642</v>
      </c>
      <c r="B87" s="71"/>
      <c r="C87" s="71" t="s">
        <v>1558</v>
      </c>
      <c r="D87" s="129" t="s">
        <v>1246</v>
      </c>
      <c r="E87" s="129" t="s">
        <v>190</v>
      </c>
      <c r="F87" s="104"/>
      <c r="G87" s="292">
        <f t="shared" ref="G87:P87" si="88">SUM(G73:G86)</f>
        <v>293.04728482813113</v>
      </c>
      <c r="H87" s="292">
        <f t="shared" si="88"/>
        <v>247351.90629649148</v>
      </c>
      <c r="I87" s="292">
        <f t="shared" si="88"/>
        <v>358120.13928427454</v>
      </c>
      <c r="J87" s="292">
        <f t="shared" si="88"/>
        <v>299411.09848641237</v>
      </c>
      <c r="K87" s="292">
        <f t="shared" si="88"/>
        <v>296314.61507506832</v>
      </c>
      <c r="L87" s="292">
        <f t="shared" si="88"/>
        <v>362248.65513546049</v>
      </c>
      <c r="M87" s="292">
        <f t="shared" si="88"/>
        <v>260483.5335681437</v>
      </c>
      <c r="N87" s="292">
        <f t="shared" si="88"/>
        <v>183282.59574224325</v>
      </c>
      <c r="O87" s="292">
        <f t="shared" si="88"/>
        <v>20101.777125000368</v>
      </c>
      <c r="P87" s="292">
        <f t="shared" si="88"/>
        <v>2027607.367997922</v>
      </c>
      <c r="Q87" s="293">
        <f t="shared" si="58"/>
        <v>1</v>
      </c>
      <c r="R87" s="46"/>
      <c r="AD87" s="292">
        <f t="shared" ref="AD87:AM87" si="89">SUM(AD73:AD86)</f>
        <v>295.67780056923033</v>
      </c>
      <c r="AE87" s="292">
        <f t="shared" si="89"/>
        <v>249570.53009668764</v>
      </c>
      <c r="AF87" s="292">
        <f t="shared" si="89"/>
        <v>361336.62354798685</v>
      </c>
      <c r="AG87" s="292">
        <f t="shared" si="89"/>
        <v>302101.94894849294</v>
      </c>
      <c r="AH87" s="292">
        <f t="shared" si="89"/>
        <v>298979.48402420466</v>
      </c>
      <c r="AI87" s="292">
        <f t="shared" si="89"/>
        <v>365507.43878276332</v>
      </c>
      <c r="AJ87" s="292">
        <f t="shared" si="89"/>
        <v>262827.34053330775</v>
      </c>
      <c r="AK87" s="292">
        <f t="shared" si="89"/>
        <v>184931.98159064417</v>
      </c>
      <c r="AL87" s="292">
        <f t="shared" si="89"/>
        <v>20282.689798785013</v>
      </c>
      <c r="AM87" s="292">
        <f t="shared" si="89"/>
        <v>2045833.7151234413</v>
      </c>
      <c r="AN87" s="293">
        <f t="shared" si="61"/>
        <v>1</v>
      </c>
      <c r="AO87" s="46"/>
      <c r="BA87" s="65" t="s">
        <v>1645</v>
      </c>
    </row>
    <row r="88" spans="1:53" ht="16.899999999999999" customHeight="1" x14ac:dyDescent="0.2">
      <c r="A88" s="71" t="s">
        <v>1644</v>
      </c>
      <c r="B88" s="71"/>
      <c r="C88" s="71" t="s">
        <v>1308</v>
      </c>
      <c r="D88" s="129" t="s">
        <v>1275</v>
      </c>
      <c r="E88" s="129" t="s">
        <v>190</v>
      </c>
      <c r="F88" s="104"/>
      <c r="G88" s="293">
        <f t="shared" ref="G88:P88" si="90">IFERROR(G87/$P$87,"")</f>
        <v>1.4452861508265708E-4</v>
      </c>
      <c r="H88" s="293">
        <f t="shared" si="90"/>
        <v>0.12199201393745625</v>
      </c>
      <c r="I88" s="293">
        <f t="shared" si="90"/>
        <v>0.17662203488532677</v>
      </c>
      <c r="J88" s="293">
        <f t="shared" si="90"/>
        <v>0.14766719790629565</v>
      </c>
      <c r="K88" s="293">
        <f t="shared" si="90"/>
        <v>0.14614003665199346</v>
      </c>
      <c r="L88" s="293">
        <f t="shared" si="90"/>
        <v>0.17865818641858069</v>
      </c>
      <c r="M88" s="293">
        <f t="shared" si="90"/>
        <v>0.1284684291837761</v>
      </c>
      <c r="N88" s="293">
        <f t="shared" si="90"/>
        <v>9.0393534090980429E-2</v>
      </c>
      <c r="O88" s="293">
        <f t="shared" si="90"/>
        <v>9.9140383105083343E-3</v>
      </c>
      <c r="P88" s="293">
        <f t="shared" si="90"/>
        <v>1</v>
      </c>
      <c r="Q88" s="320"/>
      <c r="AD88" s="293">
        <f t="shared" ref="AD88:AM88" si="91">IFERROR(AD87/$AM$87,"")</f>
        <v>1.4452680019079152E-4</v>
      </c>
      <c r="AE88" s="293">
        <f t="shared" si="91"/>
        <v>0.12198964571352226</v>
      </c>
      <c r="AF88" s="293">
        <f t="shared" si="91"/>
        <v>0.17662071989374004</v>
      </c>
      <c r="AG88" s="293">
        <f t="shared" si="91"/>
        <v>0.14766691286552813</v>
      </c>
      <c r="AH88" s="293">
        <f t="shared" si="91"/>
        <v>0.14614065738288259</v>
      </c>
      <c r="AI88" s="293">
        <f t="shared" si="91"/>
        <v>0.17865940720441659</v>
      </c>
      <c r="AJ88" s="293">
        <f t="shared" si="91"/>
        <v>0.12846955184598144</v>
      </c>
      <c r="AK88" s="293">
        <f t="shared" si="91"/>
        <v>9.0394434417406092E-2</v>
      </c>
      <c r="AL88" s="293">
        <f t="shared" si="91"/>
        <v>9.9141438763321963E-3</v>
      </c>
      <c r="AM88" s="293">
        <f t="shared" si="91"/>
        <v>1</v>
      </c>
      <c r="AN88" s="320"/>
      <c r="BA88" s="65" t="s">
        <v>1421</v>
      </c>
    </row>
    <row r="89" spans="1:53" ht="17.649999999999999" customHeight="1" x14ac:dyDescent="0.2">
      <c r="A89" s="124"/>
      <c r="B89" s="124"/>
      <c r="C89" s="124"/>
      <c r="D89" s="321"/>
      <c r="E89" s="321"/>
      <c r="G89" s="124"/>
      <c r="H89" s="124"/>
      <c r="I89" s="124"/>
      <c r="J89" s="124"/>
      <c r="K89" s="124"/>
      <c r="L89" s="124"/>
      <c r="M89" s="124"/>
      <c r="N89" s="124"/>
      <c r="O89" s="124"/>
      <c r="P89" s="109"/>
      <c r="AD89" s="124"/>
      <c r="AE89" s="124"/>
      <c r="AF89" s="124"/>
      <c r="AG89" s="124"/>
      <c r="AH89" s="124"/>
      <c r="AI89" s="124"/>
      <c r="AJ89" s="124"/>
      <c r="AK89" s="124"/>
      <c r="AL89" s="124"/>
      <c r="AM89" s="109"/>
    </row>
    <row r="90" spans="1:53" ht="18.399999999999999" customHeight="1" x14ac:dyDescent="0.25">
      <c r="A90" s="316"/>
      <c r="B90" s="172"/>
      <c r="C90" s="172" t="s">
        <v>684</v>
      </c>
      <c r="D90" s="317"/>
      <c r="E90" s="318"/>
      <c r="F90" s="214"/>
      <c r="G90" s="306" t="s">
        <v>1231</v>
      </c>
      <c r="H90" s="307" t="s">
        <v>1232</v>
      </c>
      <c r="I90" s="307" t="s">
        <v>1233</v>
      </c>
      <c r="J90" s="307" t="s">
        <v>1234</v>
      </c>
      <c r="K90" s="307" t="s">
        <v>1235</v>
      </c>
      <c r="L90" s="307" t="s">
        <v>1236</v>
      </c>
      <c r="M90" s="307" t="s">
        <v>1237</v>
      </c>
      <c r="N90" s="307" t="s">
        <v>1238</v>
      </c>
      <c r="O90" s="308" t="s">
        <v>1239</v>
      </c>
      <c r="P90" s="101"/>
      <c r="AD90" s="306" t="s">
        <v>1231</v>
      </c>
      <c r="AE90" s="307" t="s">
        <v>1232</v>
      </c>
      <c r="AF90" s="307" t="s">
        <v>1233</v>
      </c>
      <c r="AG90" s="307" t="s">
        <v>1234</v>
      </c>
      <c r="AH90" s="307" t="s">
        <v>1235</v>
      </c>
      <c r="AI90" s="307" t="s">
        <v>1236</v>
      </c>
      <c r="AJ90" s="307" t="s">
        <v>1237</v>
      </c>
      <c r="AK90" s="307" t="s">
        <v>1238</v>
      </c>
      <c r="AL90" s="308" t="s">
        <v>1239</v>
      </c>
      <c r="AM90" s="101"/>
    </row>
    <row r="91" spans="1:53" ht="16.899999999999999" customHeight="1" x14ac:dyDescent="0.2">
      <c r="A91" s="289" t="s">
        <v>1646</v>
      </c>
      <c r="B91" s="289"/>
      <c r="C91" s="289" t="s">
        <v>1423</v>
      </c>
      <c r="D91" s="290" t="s">
        <v>1424</v>
      </c>
      <c r="E91" s="290" t="s">
        <v>1425</v>
      </c>
      <c r="F91" s="104"/>
      <c r="G91" s="309">
        <f>$K$91*G35</f>
        <v>163.05000000000001</v>
      </c>
      <c r="H91" s="309">
        <f>$K$91*H35</f>
        <v>195.66</v>
      </c>
      <c r="I91" s="309">
        <f>$K$91*I35</f>
        <v>228.27</v>
      </c>
      <c r="J91" s="309">
        <f>$K$91*J35</f>
        <v>260.88</v>
      </c>
      <c r="K91" s="310">
        <v>293.49</v>
      </c>
      <c r="L91" s="309">
        <f>$K$91*L35</f>
        <v>358.71000000000004</v>
      </c>
      <c r="M91" s="309">
        <f>$K$91*M35</f>
        <v>423.93</v>
      </c>
      <c r="N91" s="309">
        <f>$K$91*N35</f>
        <v>489.15000000000003</v>
      </c>
      <c r="O91" s="309">
        <f>$K$91*O35</f>
        <v>586.98</v>
      </c>
      <c r="P91" s="46"/>
      <c r="AD91" s="309">
        <f>$AH$91*AD35</f>
        <v>179.15000000000003</v>
      </c>
      <c r="AE91" s="309">
        <f>$AH$91*AE35</f>
        <v>214.98000000000002</v>
      </c>
      <c r="AF91" s="309">
        <f>$AH$91*AF35</f>
        <v>250.81000000000003</v>
      </c>
      <c r="AG91" s="309">
        <f>$AH$91*AG35</f>
        <v>286.64</v>
      </c>
      <c r="AH91" s="310">
        <v>322.47000000000003</v>
      </c>
      <c r="AI91" s="309">
        <f>$AH$91*AI35</f>
        <v>394.13000000000005</v>
      </c>
      <c r="AJ91" s="309">
        <f>$AH$91*AJ35</f>
        <v>465.79</v>
      </c>
      <c r="AK91" s="309">
        <f>$AH$91*AK35</f>
        <v>537.45000000000005</v>
      </c>
      <c r="AL91" s="309">
        <f>$AH$91*AL35</f>
        <v>644.94000000000005</v>
      </c>
      <c r="AM91" s="46"/>
      <c r="BA91" s="65" t="s">
        <v>1426</v>
      </c>
    </row>
    <row r="92" spans="1:53" ht="17.649999999999999" customHeight="1" x14ac:dyDescent="0.2">
      <c r="A92" s="124"/>
      <c r="B92" s="124"/>
      <c r="C92" s="124"/>
      <c r="D92" s="321"/>
      <c r="E92" s="321"/>
      <c r="G92" s="124"/>
      <c r="H92" s="124"/>
      <c r="I92" s="124"/>
      <c r="J92" s="124"/>
      <c r="K92" s="124"/>
      <c r="L92" s="124"/>
      <c r="M92" s="124"/>
      <c r="N92" s="124"/>
      <c r="O92" s="124"/>
      <c r="AD92" s="124"/>
      <c r="AE92" s="124"/>
      <c r="AF92" s="124"/>
      <c r="AG92" s="124"/>
      <c r="AH92" s="124"/>
      <c r="AI92" s="124"/>
      <c r="AJ92" s="124"/>
      <c r="AK92" s="124"/>
      <c r="AL92" s="124"/>
    </row>
    <row r="93" spans="1:53" ht="35.85" customHeight="1" x14ac:dyDescent="0.25">
      <c r="A93" s="316"/>
      <c r="B93" s="172"/>
      <c r="C93" s="305" t="s">
        <v>1647</v>
      </c>
      <c r="D93" s="305"/>
      <c r="E93" s="305"/>
      <c r="G93" s="306" t="s">
        <v>1231</v>
      </c>
      <c r="H93" s="307" t="s">
        <v>1232</v>
      </c>
      <c r="I93" s="307" t="s">
        <v>1233</v>
      </c>
      <c r="J93" s="307" t="s">
        <v>1234</v>
      </c>
      <c r="K93" s="307" t="s">
        <v>1235</v>
      </c>
      <c r="L93" s="307" t="s">
        <v>1236</v>
      </c>
      <c r="M93" s="307" t="s">
        <v>1237</v>
      </c>
      <c r="N93" s="307" t="s">
        <v>1238</v>
      </c>
      <c r="O93" s="307" t="s">
        <v>1239</v>
      </c>
      <c r="P93" s="307" t="s">
        <v>1240</v>
      </c>
      <c r="Q93" s="308" t="s">
        <v>1241</v>
      </c>
      <c r="R93" s="101"/>
      <c r="AD93" s="306" t="s">
        <v>1231</v>
      </c>
      <c r="AE93" s="307" t="s">
        <v>1232</v>
      </c>
      <c r="AF93" s="307" t="s">
        <v>1233</v>
      </c>
      <c r="AG93" s="307" t="s">
        <v>1234</v>
      </c>
      <c r="AH93" s="307" t="s">
        <v>1235</v>
      </c>
      <c r="AI93" s="307" t="s">
        <v>1236</v>
      </c>
      <c r="AJ93" s="307" t="s">
        <v>1237</v>
      </c>
      <c r="AK93" s="307" t="s">
        <v>1238</v>
      </c>
      <c r="AL93" s="307" t="s">
        <v>1239</v>
      </c>
      <c r="AM93" s="307" t="s">
        <v>1240</v>
      </c>
      <c r="AN93" s="308" t="s">
        <v>1241</v>
      </c>
      <c r="AO93" s="101"/>
    </row>
    <row r="94" spans="1:53" ht="16.899999999999999" customHeight="1" x14ac:dyDescent="0.2">
      <c r="A94" s="289" t="s">
        <v>1648</v>
      </c>
      <c r="B94" s="289" t="s">
        <v>1244</v>
      </c>
      <c r="C94" s="289" t="s">
        <v>1318</v>
      </c>
      <c r="D94" s="290" t="s">
        <v>1430</v>
      </c>
      <c r="E94" s="290" t="s">
        <v>190</v>
      </c>
      <c r="F94" s="104"/>
      <c r="G94" s="301">
        <f t="shared" ref="G94:O94" si="92">$K$91*G73</f>
        <v>36360.15</v>
      </c>
      <c r="H94" s="301">
        <f t="shared" si="92"/>
        <v>19860591.683196001</v>
      </c>
      <c r="I94" s="301">
        <f t="shared" si="92"/>
        <v>47028563.278158002</v>
      </c>
      <c r="J94" s="301">
        <f t="shared" si="92"/>
        <v>47038224.845040001</v>
      </c>
      <c r="K94" s="301">
        <f t="shared" si="92"/>
        <v>55896670.087154999</v>
      </c>
      <c r="L94" s="301">
        <f t="shared" si="92"/>
        <v>78712376.924577013</v>
      </c>
      <c r="M94" s="301">
        <f t="shared" si="92"/>
        <v>62275738.344026998</v>
      </c>
      <c r="N94" s="301">
        <f t="shared" si="92"/>
        <v>45557070.997995004</v>
      </c>
      <c r="O94" s="301">
        <f t="shared" si="92"/>
        <v>5089083.259536</v>
      </c>
      <c r="P94" s="301">
        <f t="shared" ref="P94:P107" si="93">SUM(G94:O94)</f>
        <v>361494679.56968403</v>
      </c>
      <c r="Q94" s="302">
        <f t="shared" ref="Q94:Q108" si="94">IFERROR(P94/$P$108,"")</f>
        <v>0.60746986814567094</v>
      </c>
      <c r="R94" s="46"/>
      <c r="AD94" s="301">
        <f t="shared" ref="AD94:AL94" si="95">$AH$91*AD73</f>
        <v>40310.004050000003</v>
      </c>
      <c r="AE94" s="301">
        <f t="shared" si="95"/>
        <v>22018075.595874</v>
      </c>
      <c r="AF94" s="301">
        <f t="shared" si="95"/>
        <v>52137342.013743006</v>
      </c>
      <c r="AG94" s="301">
        <f t="shared" si="95"/>
        <v>52148053.145016</v>
      </c>
      <c r="AH94" s="301">
        <f t="shared" si="95"/>
        <v>61968803.697585009</v>
      </c>
      <c r="AI94" s="301">
        <f t="shared" si="95"/>
        <v>87263012.738924012</v>
      </c>
      <c r="AJ94" s="301">
        <f t="shared" si="95"/>
        <v>69040839.099791005</v>
      </c>
      <c r="AK94" s="301">
        <f t="shared" si="95"/>
        <v>50505999.476655006</v>
      </c>
      <c r="AL94" s="301">
        <f t="shared" si="95"/>
        <v>5641917.5131380009</v>
      </c>
      <c r="AM94" s="301">
        <f t="shared" ref="AM94:AM107" si="96">SUM(AD94:AL94)</f>
        <v>400764353.28477603</v>
      </c>
      <c r="AN94" s="302">
        <f t="shared" ref="AN94:AN108" si="97">IFERROR(AM94/$AM$108,"")</f>
        <v>0.60747643610827162</v>
      </c>
      <c r="AO94" s="46"/>
      <c r="BA94" s="65" t="s">
        <v>1650</v>
      </c>
    </row>
    <row r="95" spans="1:53" ht="16.899999999999999" customHeight="1" x14ac:dyDescent="0.2">
      <c r="A95" s="71" t="s">
        <v>1649</v>
      </c>
      <c r="B95" s="71" t="s">
        <v>1244</v>
      </c>
      <c r="C95" s="71" t="s">
        <v>1253</v>
      </c>
      <c r="D95" s="129" t="s">
        <v>1430</v>
      </c>
      <c r="E95" s="129" t="s">
        <v>190</v>
      </c>
      <c r="F95" s="104"/>
      <c r="G95" s="292">
        <f t="shared" ref="G95:O95" si="98">$K$91*G74</f>
        <v>0</v>
      </c>
      <c r="H95" s="292">
        <f t="shared" si="98"/>
        <v>365837.28073199996</v>
      </c>
      <c r="I95" s="292">
        <f t="shared" si="98"/>
        <v>555457.33479600004</v>
      </c>
      <c r="J95" s="292">
        <f t="shared" si="98"/>
        <v>702642.58283999993</v>
      </c>
      <c r="K95" s="292">
        <f t="shared" si="98"/>
        <v>737100.60458400007</v>
      </c>
      <c r="L95" s="292">
        <f t="shared" si="98"/>
        <v>946635.76174200012</v>
      </c>
      <c r="M95" s="292">
        <f t="shared" si="98"/>
        <v>607083.91173300007</v>
      </c>
      <c r="N95" s="292">
        <f t="shared" si="98"/>
        <v>455659.02454500005</v>
      </c>
      <c r="O95" s="292">
        <f t="shared" si="98"/>
        <v>95536.982195999997</v>
      </c>
      <c r="P95" s="292">
        <f t="shared" si="93"/>
        <v>4465953.4831680004</v>
      </c>
      <c r="Q95" s="293">
        <f t="shared" si="94"/>
        <v>7.5047637680150225E-3</v>
      </c>
      <c r="R95" s="46"/>
      <c r="AD95" s="292">
        <f t="shared" ref="AD95:AL95" si="99">$AH$91*AD74</f>
        <v>0</v>
      </c>
      <c r="AE95" s="292">
        <f t="shared" si="99"/>
        <v>405578.68824000005</v>
      </c>
      <c r="AF95" s="292">
        <f t="shared" si="99"/>
        <v>615797.4401880001</v>
      </c>
      <c r="AG95" s="292">
        <f t="shared" si="99"/>
        <v>778971.63144799985</v>
      </c>
      <c r="AH95" s="292">
        <f t="shared" si="99"/>
        <v>817172.87159700016</v>
      </c>
      <c r="AI95" s="292">
        <f t="shared" si="99"/>
        <v>1049470.1304560001</v>
      </c>
      <c r="AJ95" s="292">
        <f t="shared" si="99"/>
        <v>673032.31443500007</v>
      </c>
      <c r="AK95" s="292">
        <f t="shared" si="99"/>
        <v>505157.90794500004</v>
      </c>
      <c r="AL95" s="292">
        <f t="shared" si="99"/>
        <v>105915.2715</v>
      </c>
      <c r="AM95" s="292">
        <f t="shared" si="96"/>
        <v>4951096.2558089998</v>
      </c>
      <c r="AN95" s="293">
        <f t="shared" si="97"/>
        <v>7.5048448886636844E-3</v>
      </c>
      <c r="AO95" s="46"/>
      <c r="BA95" s="65" t="s">
        <v>1433</v>
      </c>
    </row>
    <row r="96" spans="1:53" ht="16.899999999999999" customHeight="1" x14ac:dyDescent="0.2">
      <c r="A96" s="71" t="s">
        <v>1651</v>
      </c>
      <c r="B96" s="71" t="s">
        <v>1244</v>
      </c>
      <c r="C96" s="71" t="s">
        <v>1256</v>
      </c>
      <c r="D96" s="129" t="s">
        <v>1430</v>
      </c>
      <c r="E96" s="129" t="s">
        <v>190</v>
      </c>
      <c r="F96" s="104"/>
      <c r="G96" s="292">
        <f t="shared" ref="G96:O96" si="100">$K$91*G75</f>
        <v>0</v>
      </c>
      <c r="H96" s="292">
        <f t="shared" si="100"/>
        <v>1571247.04302</v>
      </c>
      <c r="I96" s="292">
        <f t="shared" si="100"/>
        <v>1804332.7769460001</v>
      </c>
      <c r="J96" s="292">
        <f t="shared" si="100"/>
        <v>1362258.9316559997</v>
      </c>
      <c r="K96" s="292">
        <f t="shared" si="100"/>
        <v>1262295.295227</v>
      </c>
      <c r="L96" s="292">
        <f t="shared" si="100"/>
        <v>1174114.1115990002</v>
      </c>
      <c r="M96" s="292">
        <f t="shared" si="100"/>
        <v>662268.02444399998</v>
      </c>
      <c r="N96" s="292">
        <f t="shared" si="100"/>
        <v>471171.68307000003</v>
      </c>
      <c r="O96" s="292">
        <f t="shared" si="100"/>
        <v>99373.718268000011</v>
      </c>
      <c r="P96" s="292">
        <f t="shared" si="93"/>
        <v>8407061.5842300002</v>
      </c>
      <c r="Q96" s="293">
        <f t="shared" si="94"/>
        <v>1.4127556726821117E-2</v>
      </c>
      <c r="R96" s="46"/>
      <c r="AD96" s="292">
        <f t="shared" ref="AD96:AL96" si="101">$AH$91*AD75</f>
        <v>0</v>
      </c>
      <c r="AE96" s="292">
        <f t="shared" si="101"/>
        <v>1741933.8170700001</v>
      </c>
      <c r="AF96" s="292">
        <f t="shared" si="101"/>
        <v>2000339.9705520002</v>
      </c>
      <c r="AG96" s="292">
        <f t="shared" si="101"/>
        <v>1510243.013208</v>
      </c>
      <c r="AH96" s="292">
        <f t="shared" si="101"/>
        <v>1399420.2212640003</v>
      </c>
      <c r="AI96" s="292">
        <f t="shared" si="101"/>
        <v>1301659.7681890002</v>
      </c>
      <c r="AJ96" s="292">
        <f t="shared" si="101"/>
        <v>734211.12935300008</v>
      </c>
      <c r="AK96" s="292">
        <f t="shared" si="101"/>
        <v>522355.71675000002</v>
      </c>
      <c r="AL96" s="292">
        <f t="shared" si="101"/>
        <v>110168.84428200001</v>
      </c>
      <c r="AM96" s="292">
        <f t="shared" si="96"/>
        <v>9320332.480667999</v>
      </c>
      <c r="AN96" s="293">
        <f t="shared" si="97"/>
        <v>1.4127709493855931E-2</v>
      </c>
      <c r="AO96" s="46"/>
      <c r="BA96" s="65" t="s">
        <v>1435</v>
      </c>
    </row>
    <row r="97" spans="1:53" ht="16.899999999999999" customHeight="1" x14ac:dyDescent="0.2">
      <c r="A97" s="71" t="s">
        <v>1652</v>
      </c>
      <c r="B97" s="71" t="s">
        <v>1244</v>
      </c>
      <c r="C97" s="71" t="s">
        <v>1326</v>
      </c>
      <c r="D97" s="129" t="s">
        <v>1430</v>
      </c>
      <c r="E97" s="129" t="s">
        <v>190</v>
      </c>
      <c r="F97" s="104"/>
      <c r="G97" s="292">
        <f t="shared" ref="G97:O97" si="102">$K$91*G76</f>
        <v>5659.4128348500008</v>
      </c>
      <c r="H97" s="292">
        <f t="shared" si="102"/>
        <v>4896588.5646431409</v>
      </c>
      <c r="I97" s="292">
        <f t="shared" si="102"/>
        <v>4946118.2570450706</v>
      </c>
      <c r="J97" s="292">
        <f t="shared" si="102"/>
        <v>2986268.3776094401</v>
      </c>
      <c r="K97" s="292">
        <f t="shared" si="102"/>
        <v>1753919.6200003801</v>
      </c>
      <c r="L97" s="292">
        <f t="shared" si="102"/>
        <v>1354361.4002130304</v>
      </c>
      <c r="M97" s="292">
        <f t="shared" si="102"/>
        <v>623586.52311539999</v>
      </c>
      <c r="N97" s="292">
        <f t="shared" si="102"/>
        <v>243599.61875805006</v>
      </c>
      <c r="O97" s="292">
        <f t="shared" si="102"/>
        <v>14712.399537660001</v>
      </c>
      <c r="P97" s="292">
        <f t="shared" si="93"/>
        <v>16824814.173757024</v>
      </c>
      <c r="Q97" s="293">
        <f t="shared" si="94"/>
        <v>2.8273079039154745E-2</v>
      </c>
      <c r="R97" s="46"/>
      <c r="AD97" s="292">
        <f t="shared" ref="AD97:AL97" si="103">$AH$91*AD76</f>
        <v>6274.1990034500013</v>
      </c>
      <c r="AE97" s="292">
        <f t="shared" si="103"/>
        <v>5428511.8407003004</v>
      </c>
      <c r="AF97" s="292">
        <f t="shared" si="103"/>
        <v>5483422.0285023209</v>
      </c>
      <c r="AG97" s="292">
        <f t="shared" si="103"/>
        <v>3310670.8806514409</v>
      </c>
      <c r="AH97" s="292">
        <f t="shared" si="103"/>
        <v>1944450.3611366104</v>
      </c>
      <c r="AI97" s="292">
        <f t="shared" si="103"/>
        <v>1501487.5863820803</v>
      </c>
      <c r="AJ97" s="292">
        <f t="shared" si="103"/>
        <v>691327.5870391801</v>
      </c>
      <c r="AK97" s="292">
        <f t="shared" si="103"/>
        <v>270062.19279840001</v>
      </c>
      <c r="AL97" s="292">
        <f t="shared" si="103"/>
        <v>16310.604833280002</v>
      </c>
      <c r="AM97" s="292">
        <f t="shared" si="96"/>
        <v>18652517.281047061</v>
      </c>
      <c r="AN97" s="293">
        <f t="shared" si="97"/>
        <v>2.8273384669735918E-2</v>
      </c>
      <c r="AO97" s="46"/>
      <c r="BA97" s="65" t="s">
        <v>1437</v>
      </c>
    </row>
    <row r="98" spans="1:53" ht="16.899999999999999" customHeight="1" x14ac:dyDescent="0.2">
      <c r="A98" s="71" t="s">
        <v>1653</v>
      </c>
      <c r="B98" s="71" t="s">
        <v>1244</v>
      </c>
      <c r="C98" s="71" t="s">
        <v>1329</v>
      </c>
      <c r="D98" s="129" t="s">
        <v>1430</v>
      </c>
      <c r="E98" s="129" t="s">
        <v>190</v>
      </c>
      <c r="F98" s="104"/>
      <c r="G98" s="292">
        <f t="shared" ref="G98:O98" si="104">$K$91*G77</f>
        <v>8203.9251547500007</v>
      </c>
      <c r="H98" s="292">
        <f t="shared" si="104"/>
        <v>5760102.2172641996</v>
      </c>
      <c r="I98" s="292">
        <f t="shared" si="104"/>
        <v>5707051.7569611007</v>
      </c>
      <c r="J98" s="292">
        <f t="shared" si="104"/>
        <v>3510694.8495684001</v>
      </c>
      <c r="K98" s="292">
        <f t="shared" si="104"/>
        <v>1844109.2989215001</v>
      </c>
      <c r="L98" s="292">
        <f t="shared" si="104"/>
        <v>931330.75929465005</v>
      </c>
      <c r="M98" s="292">
        <f t="shared" si="104"/>
        <v>338627.16150120005</v>
      </c>
      <c r="N98" s="292">
        <f t="shared" si="104"/>
        <v>148553.27504550002</v>
      </c>
      <c r="O98" s="292">
        <f t="shared" si="104"/>
        <v>8605.7959572</v>
      </c>
      <c r="P98" s="292">
        <f t="shared" si="93"/>
        <v>18257279.0396685</v>
      </c>
      <c r="Q98" s="293">
        <f t="shared" si="94"/>
        <v>3.0680249303055709E-2</v>
      </c>
      <c r="R98" s="46"/>
      <c r="AD98" s="292">
        <f t="shared" ref="AD98:AL98" si="105">$AH$91*AD77</f>
        <v>9095.1319875000027</v>
      </c>
      <c r="AE98" s="292">
        <f t="shared" si="105"/>
        <v>6385830.1936455006</v>
      </c>
      <c r="AF98" s="292">
        <f t="shared" si="105"/>
        <v>6327016.7954266015</v>
      </c>
      <c r="AG98" s="292">
        <f t="shared" si="105"/>
        <v>3892066.5645472002</v>
      </c>
      <c r="AH98" s="292">
        <f t="shared" si="105"/>
        <v>2044437.4657278005</v>
      </c>
      <c r="AI98" s="292">
        <f t="shared" si="105"/>
        <v>1032502.5166813502</v>
      </c>
      <c r="AJ98" s="292">
        <f t="shared" si="105"/>
        <v>375412.6917736</v>
      </c>
      <c r="AK98" s="292">
        <f t="shared" si="105"/>
        <v>164690.81424900002</v>
      </c>
      <c r="AL98" s="292">
        <f t="shared" si="105"/>
        <v>9540.6554646000022</v>
      </c>
      <c r="AM98" s="292">
        <f t="shared" si="96"/>
        <v>20240592.829503156</v>
      </c>
      <c r="AN98" s="293">
        <f t="shared" si="97"/>
        <v>3.0680580984826563E-2</v>
      </c>
      <c r="AO98" s="46"/>
      <c r="BA98" s="65" t="s">
        <v>1439</v>
      </c>
    </row>
    <row r="99" spans="1:53" ht="16.899999999999999" customHeight="1" x14ac:dyDescent="0.2">
      <c r="A99" s="71" t="s">
        <v>1654</v>
      </c>
      <c r="B99" s="71" t="s">
        <v>1266</v>
      </c>
      <c r="C99" s="71" t="s">
        <v>1288</v>
      </c>
      <c r="D99" s="129" t="s">
        <v>1430</v>
      </c>
      <c r="E99" s="129" t="s">
        <v>190</v>
      </c>
      <c r="F99" s="104"/>
      <c r="G99" s="292">
        <f t="shared" ref="G99:O99" si="106">$K$91*G78</f>
        <v>17609.400000000001</v>
      </c>
      <c r="H99" s="292">
        <f t="shared" si="106"/>
        <v>21560362.379999999</v>
      </c>
      <c r="I99" s="292">
        <f t="shared" si="106"/>
        <v>30400599.127500005</v>
      </c>
      <c r="J99" s="292">
        <f t="shared" si="106"/>
        <v>24434216.460000001</v>
      </c>
      <c r="K99" s="292">
        <f t="shared" si="106"/>
        <v>22030019.752500001</v>
      </c>
      <c r="L99" s="292">
        <f t="shared" si="106"/>
        <v>21377591.482500006</v>
      </c>
      <c r="M99" s="292">
        <f t="shared" si="106"/>
        <v>11367894.915000001</v>
      </c>
      <c r="N99" s="292">
        <f t="shared" si="106"/>
        <v>6718352.9625000004</v>
      </c>
      <c r="O99" s="292">
        <f t="shared" si="106"/>
        <v>581550.43500000006</v>
      </c>
      <c r="P99" s="292">
        <f t="shared" si="93"/>
        <v>138488196.91500002</v>
      </c>
      <c r="Q99" s="293">
        <f t="shared" si="94"/>
        <v>0.23272100939308524</v>
      </c>
      <c r="R99" s="46"/>
      <c r="AD99" s="292">
        <f t="shared" ref="AD99:AL99" si="107">$AH$91*AD78</f>
        <v>19522.3338</v>
      </c>
      <c r="AE99" s="292">
        <f t="shared" si="107"/>
        <v>23902494.760260001</v>
      </c>
      <c r="AF99" s="292">
        <f t="shared" si="107"/>
        <v>33703058.814442508</v>
      </c>
      <c r="AG99" s="292">
        <f t="shared" si="107"/>
        <v>27088539.63642</v>
      </c>
      <c r="AH99" s="292">
        <f t="shared" si="107"/>
        <v>24423171.671317507</v>
      </c>
      <c r="AI99" s="292">
        <f t="shared" si="107"/>
        <v>23699869.204027507</v>
      </c>
      <c r="AJ99" s="292">
        <f t="shared" si="107"/>
        <v>12602805.270705003</v>
      </c>
      <c r="AK99" s="292">
        <f t="shared" si="107"/>
        <v>7448177.0599875012</v>
      </c>
      <c r="AL99" s="292">
        <f t="shared" si="107"/>
        <v>644725.07374499994</v>
      </c>
      <c r="AM99" s="292">
        <f t="shared" si="96"/>
        <v>153532363.82470503</v>
      </c>
      <c r="AN99" s="293">
        <f t="shared" si="97"/>
        <v>0.23272352553081549</v>
      </c>
      <c r="AO99" s="46"/>
      <c r="BA99" s="65" t="s">
        <v>1441</v>
      </c>
    </row>
    <row r="100" spans="1:53" ht="16.899999999999999" customHeight="1" x14ac:dyDescent="0.2">
      <c r="A100" s="71" t="s">
        <v>1655</v>
      </c>
      <c r="B100" s="71" t="s">
        <v>1266</v>
      </c>
      <c r="C100" s="71" t="s">
        <v>1334</v>
      </c>
      <c r="D100" s="129" t="s">
        <v>1430</v>
      </c>
      <c r="E100" s="129" t="s">
        <v>190</v>
      </c>
      <c r="F100" s="104"/>
      <c r="G100" s="292">
        <f t="shared" ref="G100:O100" si="108">$K$91*G79</f>
        <v>897.86782916293987</v>
      </c>
      <c r="H100" s="292">
        <f t="shared" si="108"/>
        <v>1269522.5187387359</v>
      </c>
      <c r="I100" s="292">
        <f t="shared" si="108"/>
        <v>1116358.0270373595</v>
      </c>
      <c r="J100" s="292">
        <f t="shared" si="108"/>
        <v>664836.92066323198</v>
      </c>
      <c r="K100" s="292">
        <f t="shared" si="108"/>
        <v>348515.82713513513</v>
      </c>
      <c r="L100" s="292">
        <f t="shared" si="108"/>
        <v>198610.38106342175</v>
      </c>
      <c r="M100" s="292">
        <f t="shared" si="108"/>
        <v>76631.435606050116</v>
      </c>
      <c r="N100" s="292">
        <f t="shared" si="108"/>
        <v>24731.633556851415</v>
      </c>
      <c r="O100" s="292">
        <f t="shared" si="108"/>
        <v>265.03041211774109</v>
      </c>
      <c r="P100" s="292">
        <f t="shared" si="93"/>
        <v>3700369.6420420664</v>
      </c>
      <c r="Q100" s="293">
        <f t="shared" si="94"/>
        <v>6.2182465900116387E-3</v>
      </c>
      <c r="R100" s="46"/>
      <c r="AD100" s="292">
        <f t="shared" ref="AD100:AL100" si="109">$AH$91*AD79</f>
        <v>1028.3556993117227</v>
      </c>
      <c r="AE100" s="292">
        <f t="shared" si="109"/>
        <v>1443408.0381260791</v>
      </c>
      <c r="AF100" s="292">
        <f t="shared" si="109"/>
        <v>1269091.916762775</v>
      </c>
      <c r="AG100" s="292">
        <f t="shared" si="109"/>
        <v>755417.57553131378</v>
      </c>
      <c r="AH100" s="292">
        <f t="shared" si="109"/>
        <v>395735.24529490276</v>
      </c>
      <c r="AI100" s="292">
        <f t="shared" si="109"/>
        <v>227120.85513589808</v>
      </c>
      <c r="AJ100" s="292">
        <f t="shared" si="109"/>
        <v>87554.627003820278</v>
      </c>
      <c r="AK100" s="292">
        <f t="shared" si="109"/>
        <v>28169.510813013421</v>
      </c>
      <c r="AL100" s="292">
        <f t="shared" si="109"/>
        <v>309.63884081517529</v>
      </c>
      <c r="AM100" s="292">
        <f t="shared" si="96"/>
        <v>4207835.7632079292</v>
      </c>
      <c r="AN100" s="293">
        <f t="shared" si="97"/>
        <v>6.3782146595910416E-3</v>
      </c>
      <c r="AO100" s="46"/>
      <c r="BA100" s="65" t="s">
        <v>1443</v>
      </c>
    </row>
    <row r="101" spans="1:53" ht="16.899999999999999" customHeight="1" x14ac:dyDescent="0.2">
      <c r="A101" s="71" t="s">
        <v>1656</v>
      </c>
      <c r="B101" s="71" t="s">
        <v>1266</v>
      </c>
      <c r="C101" s="71" t="s">
        <v>1337</v>
      </c>
      <c r="D101" s="129" t="s">
        <v>1430</v>
      </c>
      <c r="E101" s="129" t="s">
        <v>190</v>
      </c>
      <c r="F101" s="104"/>
      <c r="G101" s="292">
        <f t="shared" ref="G101:O101" si="110">$K$91*G80</f>
        <v>2106.39946019526</v>
      </c>
      <c r="H101" s="292">
        <f t="shared" si="110"/>
        <v>1950697.4995106037</v>
      </c>
      <c r="I101" s="292">
        <f t="shared" si="110"/>
        <v>1782638.4236652015</v>
      </c>
      <c r="J101" s="292">
        <f t="shared" si="110"/>
        <v>1049079.8843661011</v>
      </c>
      <c r="K101" s="292">
        <f t="shared" si="110"/>
        <v>547895.88874545088</v>
      </c>
      <c r="L101" s="292">
        <f t="shared" si="110"/>
        <v>480902.42660550092</v>
      </c>
      <c r="M101" s="292">
        <f t="shared" si="110"/>
        <v>170682.06604789582</v>
      </c>
      <c r="N101" s="292">
        <f t="shared" si="110"/>
        <v>50593.992669059895</v>
      </c>
      <c r="O101" s="292">
        <f t="shared" si="110"/>
        <v>2038.2764665807038</v>
      </c>
      <c r="P101" s="292">
        <f t="shared" si="93"/>
        <v>6036634.8575365907</v>
      </c>
      <c r="Q101" s="293">
        <f t="shared" si="94"/>
        <v>1.0144198485345689E-2</v>
      </c>
      <c r="R101" s="46"/>
      <c r="AD101" s="292">
        <f t="shared" ref="AD101:AL101" si="111">$AH$91*AD80</f>
        <v>2300.044924297983</v>
      </c>
      <c r="AE101" s="292">
        <f t="shared" si="111"/>
        <v>2124196.4945170954</v>
      </c>
      <c r="AF101" s="292">
        <f t="shared" si="111"/>
        <v>1942699.2344586621</v>
      </c>
      <c r="AG101" s="292">
        <f t="shared" si="111"/>
        <v>1143443.0942361632</v>
      </c>
      <c r="AH101" s="292">
        <f t="shared" si="111"/>
        <v>597422.06589704321</v>
      </c>
      <c r="AI101" s="292">
        <f t="shared" si="111"/>
        <v>525739.44700012309</v>
      </c>
      <c r="AJ101" s="292">
        <f t="shared" si="111"/>
        <v>186449.15758584047</v>
      </c>
      <c r="AK101" s="292">
        <f t="shared" si="111"/>
        <v>55288.032130101332</v>
      </c>
      <c r="AL101" s="292">
        <f t="shared" si="111"/>
        <v>2242.832066108354</v>
      </c>
      <c r="AM101" s="292">
        <f t="shared" si="96"/>
        <v>6579780.402815436</v>
      </c>
      <c r="AN101" s="293">
        <f t="shared" si="97"/>
        <v>9.9735954974945785E-3</v>
      </c>
      <c r="AO101" s="46"/>
      <c r="BA101" s="65" t="s">
        <v>1658</v>
      </c>
    </row>
    <row r="102" spans="1:53" ht="16.899999999999999" customHeight="1" x14ac:dyDescent="0.2">
      <c r="A102" s="71" t="s">
        <v>1657</v>
      </c>
      <c r="B102" s="71" t="s">
        <v>1266</v>
      </c>
      <c r="C102" s="71" t="s">
        <v>1284</v>
      </c>
      <c r="D102" s="129" t="s">
        <v>1430</v>
      </c>
      <c r="E102" s="129" t="s">
        <v>190</v>
      </c>
      <c r="F102" s="104"/>
      <c r="G102" s="292">
        <f t="shared" ref="G102:O102" si="112">$K$91*G81</f>
        <v>15006.242345250001</v>
      </c>
      <c r="H102" s="292">
        <f t="shared" si="112"/>
        <v>15271532.1518526</v>
      </c>
      <c r="I102" s="292">
        <f t="shared" si="112"/>
        <v>11687889.191432999</v>
      </c>
      <c r="J102" s="292">
        <f t="shared" si="112"/>
        <v>6070242.5630340008</v>
      </c>
      <c r="K102" s="292">
        <f t="shared" si="112"/>
        <v>2499359.0541133503</v>
      </c>
      <c r="L102" s="292">
        <f t="shared" si="112"/>
        <v>1096492.5731116501</v>
      </c>
      <c r="M102" s="292">
        <f t="shared" si="112"/>
        <v>299456.40043995</v>
      </c>
      <c r="N102" s="292">
        <f t="shared" si="112"/>
        <v>102554.41125150002</v>
      </c>
      <c r="O102" s="292">
        <f t="shared" si="112"/>
        <v>3221.8510428</v>
      </c>
      <c r="P102" s="292">
        <f t="shared" si="93"/>
        <v>37045754.438624099</v>
      </c>
      <c r="Q102" s="293">
        <f t="shared" si="94"/>
        <v>6.2253141847001474E-2</v>
      </c>
      <c r="R102" s="46"/>
      <c r="AD102" s="292">
        <f t="shared" ref="AD102:AL102" si="113">$AH$91*AD81</f>
        <v>16636.388535000002</v>
      </c>
      <c r="AE102" s="292">
        <f t="shared" si="113"/>
        <v>16930500.083565902</v>
      </c>
      <c r="AF102" s="292">
        <f t="shared" si="113"/>
        <v>12957560.974808451</v>
      </c>
      <c r="AG102" s="292">
        <f t="shared" si="113"/>
        <v>6729661.5176024009</v>
      </c>
      <c r="AH102" s="292">
        <f t="shared" si="113"/>
        <v>2770867.9178154003</v>
      </c>
      <c r="AI102" s="292">
        <f t="shared" si="113"/>
        <v>1215606.0841567502</v>
      </c>
      <c r="AJ102" s="292">
        <f t="shared" si="113"/>
        <v>331986.77799430001</v>
      </c>
      <c r="AK102" s="292">
        <f t="shared" si="113"/>
        <v>113695.05373200003</v>
      </c>
      <c r="AL102" s="292">
        <f t="shared" si="113"/>
        <v>3571.8454044000005</v>
      </c>
      <c r="AM102" s="292">
        <f t="shared" si="96"/>
        <v>41070086.643614605</v>
      </c>
      <c r="AN102" s="293">
        <f t="shared" si="97"/>
        <v>6.2253814892544924E-2</v>
      </c>
      <c r="AO102" s="46"/>
      <c r="BA102" s="65" t="s">
        <v>1447</v>
      </c>
    </row>
    <row r="103" spans="1:53" ht="16.899999999999999" customHeight="1" x14ac:dyDescent="0.2">
      <c r="A103" s="71" t="s">
        <v>1659</v>
      </c>
      <c r="B103" s="71" t="s">
        <v>1287</v>
      </c>
      <c r="C103" s="71" t="s">
        <v>1288</v>
      </c>
      <c r="D103" s="129" t="s">
        <v>1430</v>
      </c>
      <c r="E103" s="129" t="s">
        <v>190</v>
      </c>
      <c r="F103" s="104"/>
      <c r="G103" s="292">
        <f t="shared" ref="G103:O103" si="114">$K$91*G82</f>
        <v>81.525000000000006</v>
      </c>
      <c r="H103" s="292">
        <f t="shared" si="114"/>
        <v>84916.44</v>
      </c>
      <c r="I103" s="292">
        <f t="shared" si="114"/>
        <v>68709.27</v>
      </c>
      <c r="J103" s="292">
        <f t="shared" si="114"/>
        <v>48001.919999999998</v>
      </c>
      <c r="K103" s="292">
        <f t="shared" si="114"/>
        <v>39621.15</v>
      </c>
      <c r="L103" s="292">
        <f t="shared" si="114"/>
        <v>40534.230000000003</v>
      </c>
      <c r="M103" s="292">
        <f t="shared" si="114"/>
        <v>26071.695</v>
      </c>
      <c r="N103" s="292">
        <f t="shared" si="114"/>
        <v>19321.425000000003</v>
      </c>
      <c r="O103" s="292">
        <f t="shared" si="114"/>
        <v>5282.82</v>
      </c>
      <c r="P103" s="292">
        <f t="shared" si="93"/>
        <v>332540.47499999998</v>
      </c>
      <c r="Q103" s="293">
        <f t="shared" si="94"/>
        <v>5.588140847378871E-4</v>
      </c>
      <c r="R103" s="46"/>
      <c r="AD103" s="292">
        <f t="shared" ref="AD103:AL103" si="115">$AH$91*AD82</f>
        <v>90.381174999999999</v>
      </c>
      <c r="AE103" s="292">
        <f t="shared" si="115"/>
        <v>94141.031879999995</v>
      </c>
      <c r="AF103" s="292">
        <f t="shared" si="115"/>
        <v>76173.254290000012</v>
      </c>
      <c r="AG103" s="292">
        <f t="shared" si="115"/>
        <v>53216.435840000006</v>
      </c>
      <c r="AH103" s="292">
        <f t="shared" si="115"/>
        <v>43925.251050000006</v>
      </c>
      <c r="AI103" s="292">
        <f t="shared" si="115"/>
        <v>44937.520210000002</v>
      </c>
      <c r="AJ103" s="292">
        <f t="shared" si="115"/>
        <v>28903.899765000006</v>
      </c>
      <c r="AK103" s="292">
        <f t="shared" si="115"/>
        <v>21420.338475</v>
      </c>
      <c r="AL103" s="292">
        <f t="shared" si="115"/>
        <v>5856.7001399999999</v>
      </c>
      <c r="AM103" s="292">
        <f t="shared" si="96"/>
        <v>368664.81282499997</v>
      </c>
      <c r="AN103" s="293">
        <f t="shared" si="97"/>
        <v>5.588201265353444E-4</v>
      </c>
      <c r="AO103" s="46"/>
      <c r="BA103" s="65" t="s">
        <v>1449</v>
      </c>
    </row>
    <row r="104" spans="1:53" ht="16.899999999999999" customHeight="1" x14ac:dyDescent="0.2">
      <c r="A104" s="71" t="s">
        <v>1660</v>
      </c>
      <c r="B104" s="71" t="s">
        <v>1287</v>
      </c>
      <c r="C104" s="71" t="s">
        <v>1291</v>
      </c>
      <c r="D104" s="129" t="s">
        <v>1430</v>
      </c>
      <c r="E104" s="129" t="s">
        <v>190</v>
      </c>
      <c r="F104" s="104"/>
      <c r="G104" s="292">
        <f t="shared" ref="G104:O104" si="116">$K$91*G83</f>
        <v>0</v>
      </c>
      <c r="H104" s="292">
        <f t="shared" si="116"/>
        <v>684.81</v>
      </c>
      <c r="I104" s="292">
        <f t="shared" si="116"/>
        <v>1483.7549999999999</v>
      </c>
      <c r="J104" s="292">
        <f t="shared" si="116"/>
        <v>1304.4000000000001</v>
      </c>
      <c r="K104" s="292">
        <f t="shared" si="116"/>
        <v>1320.7049999999999</v>
      </c>
      <c r="L104" s="292">
        <f t="shared" si="116"/>
        <v>1434.8400000000001</v>
      </c>
      <c r="M104" s="292">
        <f t="shared" si="116"/>
        <v>635.89499999999998</v>
      </c>
      <c r="N104" s="292">
        <f t="shared" si="116"/>
        <v>0</v>
      </c>
      <c r="O104" s="292">
        <f t="shared" si="116"/>
        <v>0</v>
      </c>
      <c r="P104" s="292">
        <f t="shared" si="93"/>
        <v>6864.4050000000007</v>
      </c>
      <c r="Q104" s="293">
        <f t="shared" si="94"/>
        <v>1.1535215968357466E-5</v>
      </c>
      <c r="R104" s="46"/>
      <c r="AD104" s="292">
        <f t="shared" ref="AD104:AL104" si="117">$AH$91*AD83</f>
        <v>0</v>
      </c>
      <c r="AE104" s="292">
        <f t="shared" si="117"/>
        <v>759.20186999999999</v>
      </c>
      <c r="AF104" s="292">
        <f t="shared" si="117"/>
        <v>1644.9373850000002</v>
      </c>
      <c r="AG104" s="292">
        <f t="shared" si="117"/>
        <v>1446.0988</v>
      </c>
      <c r="AH104" s="292">
        <f t="shared" si="117"/>
        <v>1464.175035</v>
      </c>
      <c r="AI104" s="292">
        <f t="shared" si="117"/>
        <v>1590.7086800000002</v>
      </c>
      <c r="AJ104" s="292">
        <f t="shared" si="117"/>
        <v>704.97316500000011</v>
      </c>
      <c r="AK104" s="292">
        <f t="shared" si="117"/>
        <v>0</v>
      </c>
      <c r="AL104" s="292">
        <f t="shared" si="117"/>
        <v>0</v>
      </c>
      <c r="AM104" s="292">
        <f t="shared" si="96"/>
        <v>7610.0949350000001</v>
      </c>
      <c r="AN104" s="293">
        <f t="shared" si="97"/>
        <v>1.153534068503947E-5</v>
      </c>
      <c r="AO104" s="46"/>
      <c r="BA104" s="65" t="s">
        <v>1451</v>
      </c>
    </row>
    <row r="105" spans="1:53" ht="16.899999999999999" customHeight="1" x14ac:dyDescent="0.2">
      <c r="A105" s="71" t="s">
        <v>1661</v>
      </c>
      <c r="B105" s="71" t="s">
        <v>1287</v>
      </c>
      <c r="C105" s="71" t="s">
        <v>1294</v>
      </c>
      <c r="D105" s="129" t="s">
        <v>1430</v>
      </c>
      <c r="E105" s="129" t="s">
        <v>190</v>
      </c>
      <c r="F105" s="104"/>
      <c r="G105" s="292">
        <f t="shared" ref="G105:O105" si="118">$K$91*G84</f>
        <v>81.525000000000006</v>
      </c>
      <c r="H105" s="292">
        <f t="shared" si="118"/>
        <v>3228.3900000000003</v>
      </c>
      <c r="I105" s="292">
        <f t="shared" si="118"/>
        <v>5478.4800000000005</v>
      </c>
      <c r="J105" s="292">
        <f t="shared" si="118"/>
        <v>6391.5599999999995</v>
      </c>
      <c r="K105" s="292">
        <f t="shared" si="118"/>
        <v>4549.0950000000003</v>
      </c>
      <c r="L105" s="292">
        <f t="shared" si="118"/>
        <v>1972.9050000000004</v>
      </c>
      <c r="M105" s="292">
        <f t="shared" si="118"/>
        <v>635.89499999999998</v>
      </c>
      <c r="N105" s="292">
        <f t="shared" si="118"/>
        <v>0</v>
      </c>
      <c r="O105" s="292">
        <f t="shared" si="118"/>
        <v>0</v>
      </c>
      <c r="P105" s="292">
        <f t="shared" si="93"/>
        <v>22337.85</v>
      </c>
      <c r="Q105" s="293">
        <f t="shared" si="94"/>
        <v>3.7537401132184621E-5</v>
      </c>
      <c r="R105" s="46"/>
      <c r="AD105" s="292">
        <f t="shared" ref="AD105:AL105" si="119">$AH$91*AD84</f>
        <v>90.381174999999999</v>
      </c>
      <c r="AE105" s="292">
        <f t="shared" si="119"/>
        <v>3579.0945299999998</v>
      </c>
      <c r="AF105" s="292">
        <f t="shared" si="119"/>
        <v>6073.6149600000008</v>
      </c>
      <c r="AG105" s="292">
        <f t="shared" si="119"/>
        <v>7085.8841200000006</v>
      </c>
      <c r="AH105" s="292">
        <f t="shared" si="119"/>
        <v>5043.2695650000005</v>
      </c>
      <c r="AI105" s="292">
        <f t="shared" si="119"/>
        <v>2187.2244350000001</v>
      </c>
      <c r="AJ105" s="292">
        <f t="shared" si="119"/>
        <v>704.97316500000011</v>
      </c>
      <c r="AK105" s="292">
        <f t="shared" si="119"/>
        <v>0</v>
      </c>
      <c r="AL105" s="292">
        <f t="shared" si="119"/>
        <v>0</v>
      </c>
      <c r="AM105" s="292">
        <f t="shared" si="96"/>
        <v>24764.44195</v>
      </c>
      <c r="AN105" s="293">
        <f t="shared" si="97"/>
        <v>3.7537806979819654E-5</v>
      </c>
      <c r="AO105" s="46"/>
      <c r="BA105" s="65" t="s">
        <v>1453</v>
      </c>
    </row>
    <row r="106" spans="1:53" ht="16.899999999999999" customHeight="1" x14ac:dyDescent="0.2">
      <c r="A106" s="71" t="s">
        <v>1662</v>
      </c>
      <c r="B106" s="71" t="s">
        <v>1297</v>
      </c>
      <c r="C106" s="71" t="s">
        <v>1297</v>
      </c>
      <c r="D106" s="129" t="s">
        <v>1430</v>
      </c>
      <c r="E106" s="129" t="s">
        <v>190</v>
      </c>
      <c r="F106" s="104"/>
      <c r="G106" s="292">
        <f t="shared" ref="G106:O106" si="120">$K$91*G85</f>
        <v>0</v>
      </c>
      <c r="H106" s="292">
        <f t="shared" si="120"/>
        <v>0</v>
      </c>
      <c r="I106" s="292">
        <f t="shared" si="120"/>
        <v>0</v>
      </c>
      <c r="J106" s="292">
        <f t="shared" si="120"/>
        <v>0</v>
      </c>
      <c r="K106" s="292">
        <f t="shared" si="120"/>
        <v>0</v>
      </c>
      <c r="L106" s="292">
        <f t="shared" si="120"/>
        <v>0</v>
      </c>
      <c r="M106" s="292">
        <f t="shared" si="120"/>
        <v>0</v>
      </c>
      <c r="N106" s="292">
        <f t="shared" si="120"/>
        <v>0</v>
      </c>
      <c r="O106" s="292">
        <f t="shared" si="120"/>
        <v>0</v>
      </c>
      <c r="P106" s="292">
        <f t="shared" si="93"/>
        <v>0</v>
      </c>
      <c r="Q106" s="293">
        <f t="shared" si="94"/>
        <v>0</v>
      </c>
      <c r="R106" s="46"/>
      <c r="AD106" s="292">
        <f t="shared" ref="AD106:AL106" si="121">$AH$91*AD85</f>
        <v>0</v>
      </c>
      <c r="AE106" s="292">
        <f t="shared" si="121"/>
        <v>0</v>
      </c>
      <c r="AF106" s="292">
        <f t="shared" si="121"/>
        <v>0</v>
      </c>
      <c r="AG106" s="292">
        <f t="shared" si="121"/>
        <v>0</v>
      </c>
      <c r="AH106" s="292">
        <f t="shared" si="121"/>
        <v>0</v>
      </c>
      <c r="AI106" s="292">
        <f t="shared" si="121"/>
        <v>0</v>
      </c>
      <c r="AJ106" s="292">
        <f t="shared" si="121"/>
        <v>0</v>
      </c>
      <c r="AK106" s="292">
        <f t="shared" si="121"/>
        <v>0</v>
      </c>
      <c r="AL106" s="292">
        <f t="shared" si="121"/>
        <v>0</v>
      </c>
      <c r="AM106" s="292">
        <f t="shared" si="96"/>
        <v>0</v>
      </c>
      <c r="AN106" s="293">
        <f t="shared" si="97"/>
        <v>0</v>
      </c>
      <c r="AO106" s="46"/>
      <c r="BA106" s="65" t="s">
        <v>1455</v>
      </c>
    </row>
    <row r="107" spans="1:53" ht="16.899999999999999" customHeight="1" x14ac:dyDescent="0.2">
      <c r="A107" s="71" t="s">
        <v>1663</v>
      </c>
      <c r="B107" s="71" t="s">
        <v>1301</v>
      </c>
      <c r="C107" s="71" t="s">
        <v>1301</v>
      </c>
      <c r="D107" s="129" t="s">
        <v>1430</v>
      </c>
      <c r="E107" s="129" t="s">
        <v>190</v>
      </c>
      <c r="F107" s="104"/>
      <c r="G107" s="292">
        <f t="shared" ref="G107:O107" si="122">$K$91*G86</f>
        <v>0</v>
      </c>
      <c r="H107" s="292">
        <f t="shared" si="122"/>
        <v>0</v>
      </c>
      <c r="I107" s="292">
        <f t="shared" si="122"/>
        <v>0</v>
      </c>
      <c r="J107" s="292">
        <f t="shared" si="122"/>
        <v>0</v>
      </c>
      <c r="K107" s="292">
        <f t="shared" si="122"/>
        <v>0</v>
      </c>
      <c r="L107" s="292">
        <f t="shared" si="122"/>
        <v>0</v>
      </c>
      <c r="M107" s="292">
        <f t="shared" si="122"/>
        <v>0</v>
      </c>
      <c r="N107" s="292">
        <f t="shared" si="122"/>
        <v>0</v>
      </c>
      <c r="O107" s="292">
        <f t="shared" si="122"/>
        <v>0</v>
      </c>
      <c r="P107" s="292">
        <f t="shared" si="93"/>
        <v>0</v>
      </c>
      <c r="Q107" s="293">
        <f t="shared" si="94"/>
        <v>0</v>
      </c>
      <c r="R107" s="46"/>
      <c r="AD107" s="292">
        <f t="shared" ref="AD107:AL107" si="123">$AH$91*AD86</f>
        <v>0</v>
      </c>
      <c r="AE107" s="292">
        <f t="shared" si="123"/>
        <v>0</v>
      </c>
      <c r="AF107" s="292">
        <f t="shared" si="123"/>
        <v>0</v>
      </c>
      <c r="AG107" s="292">
        <f t="shared" si="123"/>
        <v>0</v>
      </c>
      <c r="AH107" s="292">
        <f t="shared" si="123"/>
        <v>0</v>
      </c>
      <c r="AI107" s="292">
        <f t="shared" si="123"/>
        <v>0</v>
      </c>
      <c r="AJ107" s="292">
        <f t="shared" si="123"/>
        <v>0</v>
      </c>
      <c r="AK107" s="292">
        <f t="shared" si="123"/>
        <v>0</v>
      </c>
      <c r="AL107" s="292">
        <f t="shared" si="123"/>
        <v>0</v>
      </c>
      <c r="AM107" s="292">
        <f t="shared" si="96"/>
        <v>0</v>
      </c>
      <c r="AN107" s="293">
        <f t="shared" si="97"/>
        <v>0</v>
      </c>
      <c r="AO107" s="46"/>
      <c r="BA107" s="65" t="s">
        <v>1457</v>
      </c>
    </row>
    <row r="108" spans="1:53" ht="16.899999999999999" customHeight="1" x14ac:dyDescent="0.2">
      <c r="A108" s="71" t="s">
        <v>1664</v>
      </c>
      <c r="B108" s="71"/>
      <c r="C108" s="71" t="s">
        <v>1665</v>
      </c>
      <c r="D108" s="129" t="s">
        <v>1430</v>
      </c>
      <c r="E108" s="129" t="s">
        <v>190</v>
      </c>
      <c r="F108" s="104"/>
      <c r="G108" s="292">
        <f t="shared" ref="G108:P108" si="124">SUM(G94:G107)</f>
        <v>86006.447624208202</v>
      </c>
      <c r="H108" s="292">
        <f t="shared" si="124"/>
        <v>72595310.978957281</v>
      </c>
      <c r="I108" s="292">
        <f t="shared" si="124"/>
        <v>105104679.67854171</v>
      </c>
      <c r="J108" s="292">
        <f t="shared" si="124"/>
        <v>87874163.294777185</v>
      </c>
      <c r="K108" s="292">
        <f t="shared" si="124"/>
        <v>86965376.378381819</v>
      </c>
      <c r="L108" s="292">
        <f t="shared" si="124"/>
        <v>106316357.79570627</v>
      </c>
      <c r="M108" s="292">
        <f t="shared" si="124"/>
        <v>76449312.266914472</v>
      </c>
      <c r="N108" s="292">
        <f t="shared" si="124"/>
        <v>53791609.024390958</v>
      </c>
      <c r="O108" s="292">
        <f t="shared" si="124"/>
        <v>5899670.5684163589</v>
      </c>
      <c r="P108" s="292">
        <f t="shared" si="124"/>
        <v>595082486.43371034</v>
      </c>
      <c r="Q108" s="293">
        <f t="shared" si="94"/>
        <v>1</v>
      </c>
      <c r="R108" s="46"/>
      <c r="AD108" s="292">
        <f t="shared" ref="AD108:AM108" si="125">SUM(AD94:AD107)</f>
        <v>95347.22034955972</v>
      </c>
      <c r="AE108" s="292">
        <f t="shared" si="125"/>
        <v>80479008.840278879</v>
      </c>
      <c r="AF108" s="292">
        <f t="shared" si="125"/>
        <v>116520220.99551931</v>
      </c>
      <c r="AG108" s="292">
        <f t="shared" si="125"/>
        <v>97418815.477420539</v>
      </c>
      <c r="AH108" s="292">
        <f t="shared" si="125"/>
        <v>96411914.213285267</v>
      </c>
      <c r="AI108" s="292">
        <f t="shared" si="125"/>
        <v>117865183.78427771</v>
      </c>
      <c r="AJ108" s="292">
        <f t="shared" si="125"/>
        <v>84753932.501775756</v>
      </c>
      <c r="AK108" s="292">
        <f t="shared" si="125"/>
        <v>59635016.103535019</v>
      </c>
      <c r="AL108" s="292">
        <f t="shared" si="125"/>
        <v>6540558.9794142041</v>
      </c>
      <c r="AM108" s="292">
        <f t="shared" si="125"/>
        <v>659719998.11585629</v>
      </c>
      <c r="AN108" s="293">
        <f t="shared" si="97"/>
        <v>1</v>
      </c>
      <c r="AO108" s="46"/>
      <c r="BA108" s="65" t="s">
        <v>1667</v>
      </c>
    </row>
    <row r="109" spans="1:53" ht="16.899999999999999" customHeight="1" x14ac:dyDescent="0.2">
      <c r="A109" s="71" t="s">
        <v>1666</v>
      </c>
      <c r="B109" s="71"/>
      <c r="C109" s="71" t="s">
        <v>1308</v>
      </c>
      <c r="D109" s="129" t="s">
        <v>1275</v>
      </c>
      <c r="E109" s="129" t="s">
        <v>190</v>
      </c>
      <c r="F109" s="104"/>
      <c r="G109" s="293">
        <f t="shared" ref="G109:P109" si="126">IFERROR(G108/$P$108,"")</f>
        <v>1.4452861508265703E-4</v>
      </c>
      <c r="H109" s="293">
        <f t="shared" si="126"/>
        <v>0.12199201393745619</v>
      </c>
      <c r="I109" s="293">
        <f t="shared" si="126"/>
        <v>0.17662203488532663</v>
      </c>
      <c r="J109" s="293">
        <f t="shared" si="126"/>
        <v>0.14766719790629562</v>
      </c>
      <c r="K109" s="293">
        <f t="shared" si="126"/>
        <v>0.14614003665199343</v>
      </c>
      <c r="L109" s="293">
        <f t="shared" si="126"/>
        <v>0.17865818641858058</v>
      </c>
      <c r="M109" s="293">
        <f t="shared" si="126"/>
        <v>0.12846842918377602</v>
      </c>
      <c r="N109" s="293">
        <f t="shared" si="126"/>
        <v>9.0393534090980374E-2</v>
      </c>
      <c r="O109" s="293">
        <f t="shared" si="126"/>
        <v>9.9140383105083326E-3</v>
      </c>
      <c r="P109" s="293">
        <f t="shared" si="126"/>
        <v>1</v>
      </c>
      <c r="Q109" s="320"/>
      <c r="AD109" s="293">
        <f t="shared" ref="AD109:AM109" si="127">IFERROR(AD108/$AM$108,"")</f>
        <v>1.4452680019079152E-4</v>
      </c>
      <c r="AE109" s="293">
        <f t="shared" si="127"/>
        <v>0.12198964571352225</v>
      </c>
      <c r="AF109" s="293">
        <f t="shared" si="127"/>
        <v>0.17662071989373995</v>
      </c>
      <c r="AG109" s="293">
        <f t="shared" si="127"/>
        <v>0.14766691286552813</v>
      </c>
      <c r="AH109" s="293">
        <f t="shared" si="127"/>
        <v>0.14614065738288254</v>
      </c>
      <c r="AI109" s="293">
        <f t="shared" si="127"/>
        <v>0.17865940720441659</v>
      </c>
      <c r="AJ109" s="293">
        <f t="shared" si="127"/>
        <v>0.12846955184598141</v>
      </c>
      <c r="AK109" s="293">
        <f t="shared" si="127"/>
        <v>9.0394434417406064E-2</v>
      </c>
      <c r="AL109" s="293">
        <f t="shared" si="127"/>
        <v>9.9141438763321946E-3</v>
      </c>
      <c r="AM109" s="293">
        <f t="shared" si="127"/>
        <v>1</v>
      </c>
      <c r="AN109" s="320"/>
      <c r="BA109" s="65" t="s">
        <v>1669</v>
      </c>
    </row>
    <row r="110" spans="1:53" ht="16.899999999999999" customHeight="1" x14ac:dyDescent="0.2">
      <c r="A110" s="71" t="s">
        <v>1668</v>
      </c>
      <c r="B110" s="71"/>
      <c r="C110" s="71" t="s">
        <v>1464</v>
      </c>
      <c r="D110" s="129" t="s">
        <v>1424</v>
      </c>
      <c r="E110" s="129" t="s">
        <v>190</v>
      </c>
      <c r="F110" s="104"/>
      <c r="G110" s="292">
        <f t="shared" ref="G110:P110" si="128">(G52-G87)*$K$91</f>
        <v>23074.002375791802</v>
      </c>
      <c r="H110" s="292">
        <f t="shared" si="128"/>
        <v>31914130.101042718</v>
      </c>
      <c r="I110" s="292">
        <f t="shared" si="128"/>
        <v>29869773.408631269</v>
      </c>
      <c r="J110" s="292">
        <f t="shared" si="128"/>
        <v>20770356.225222845</v>
      </c>
      <c r="K110" s="292">
        <f t="shared" si="128"/>
        <v>15911966.811618201</v>
      </c>
      <c r="L110" s="292">
        <f t="shared" si="128"/>
        <v>14926187.364293709</v>
      </c>
      <c r="M110" s="292">
        <f t="shared" si="128"/>
        <v>7521894.2730854945</v>
      </c>
      <c r="N110" s="292">
        <f t="shared" si="128"/>
        <v>4135490.5756090386</v>
      </c>
      <c r="O110" s="292">
        <f t="shared" si="128"/>
        <v>597611.05158364202</v>
      </c>
      <c r="P110" s="292">
        <f t="shared" si="128"/>
        <v>125670483.81346287</v>
      </c>
      <c r="Q110" s="46"/>
      <c r="AD110" s="292">
        <f t="shared" ref="AD110:AM110" si="129">(AD52-AD87)*$AH$91</f>
        <v>25582.791800440296</v>
      </c>
      <c r="AE110" s="292">
        <f t="shared" si="129"/>
        <v>35383439.284881115</v>
      </c>
      <c r="AF110" s="292">
        <f t="shared" si="129"/>
        <v>33116696.110450696</v>
      </c>
      <c r="AG110" s="292">
        <f t="shared" si="129"/>
        <v>23027910.453619473</v>
      </c>
      <c r="AH110" s="292">
        <f t="shared" si="129"/>
        <v>17641138.908597734</v>
      </c>
      <c r="AI110" s="292">
        <f t="shared" si="129"/>
        <v>16548108.92762932</v>
      </c>
      <c r="AJ110" s="292">
        <f t="shared" si="129"/>
        <v>8339183.8828042448</v>
      </c>
      <c r="AK110" s="292">
        <f t="shared" si="129"/>
        <v>4584785.5056649754</v>
      </c>
      <c r="AL110" s="292">
        <f t="shared" si="129"/>
        <v>662531.44832579629</v>
      </c>
      <c r="AM110" s="292">
        <f t="shared" si="129"/>
        <v>139329377.31377372</v>
      </c>
      <c r="AN110" s="46"/>
      <c r="BA110" s="65" t="s">
        <v>1465</v>
      </c>
    </row>
    <row r="111" spans="1:53" ht="16.899999999999999" customHeight="1" x14ac:dyDescent="0.2">
      <c r="A111" s="109"/>
      <c r="B111" s="109"/>
      <c r="C111" s="109"/>
      <c r="D111" s="110"/>
      <c r="E111" s="110"/>
      <c r="G111" s="109"/>
      <c r="H111" s="109"/>
      <c r="I111" s="109"/>
      <c r="J111" s="109"/>
      <c r="K111" s="109"/>
      <c r="L111" s="109"/>
      <c r="M111" s="109"/>
      <c r="N111" s="109"/>
      <c r="O111" s="109"/>
      <c r="P111" s="109"/>
      <c r="AD111" s="109"/>
      <c r="AE111" s="109"/>
      <c r="AF111" s="109"/>
      <c r="AG111" s="109"/>
      <c r="AH111" s="109"/>
      <c r="AI111" s="109"/>
      <c r="AJ111" s="109"/>
      <c r="AK111" s="109"/>
      <c r="AL111" s="109"/>
      <c r="AM111" s="109"/>
    </row>
    <row r="112" spans="1:53" ht="17.649999999999999" customHeight="1" thickBot="1" x14ac:dyDescent="0.25"/>
    <row r="113" spans="2:8" ht="16.899999999999999" customHeight="1" x14ac:dyDescent="0.2">
      <c r="B113" s="379"/>
      <c r="C113" s="380"/>
      <c r="D113" s="380"/>
      <c r="E113" s="380"/>
      <c r="F113" s="380"/>
      <c r="G113" s="381"/>
      <c r="H113" s="65"/>
    </row>
    <row r="114" spans="2:8" ht="16.899999999999999" customHeight="1" x14ac:dyDescent="0.2">
      <c r="B114" s="382" t="s">
        <v>148</v>
      </c>
      <c r="E114" s="383" t="s">
        <v>151</v>
      </c>
      <c r="G114" s="377"/>
      <c r="H114" s="65"/>
    </row>
    <row r="115" spans="2:8" ht="16.899999999999999" customHeight="1" x14ac:dyDescent="0.2">
      <c r="B115" s="384"/>
      <c r="G115" s="377"/>
      <c r="H115" s="65"/>
    </row>
    <row r="116" spans="2:8" ht="16.899999999999999" customHeight="1" x14ac:dyDescent="0.2">
      <c r="B116" s="382" t="s">
        <v>150</v>
      </c>
      <c r="E116" s="383" t="s">
        <v>149</v>
      </c>
      <c r="G116" s="377"/>
      <c r="H116" s="65"/>
    </row>
    <row r="117" spans="2:8" ht="16.899999999999999" customHeight="1" x14ac:dyDescent="0.2">
      <c r="B117" s="384"/>
      <c r="G117" s="377"/>
      <c r="H117" s="65"/>
    </row>
    <row r="118" spans="2:8" ht="16.899999999999999" customHeight="1" x14ac:dyDescent="0.25">
      <c r="B118" s="382" t="s">
        <v>1670</v>
      </c>
      <c r="C118" s="385"/>
      <c r="E118" s="383" t="s">
        <v>151</v>
      </c>
      <c r="F118" s="386">
        <v>45821</v>
      </c>
      <c r="G118" s="377"/>
      <c r="H118" s="65"/>
    </row>
    <row r="119" spans="2:8" ht="17.649999999999999" customHeight="1" thickBot="1" x14ac:dyDescent="0.25">
      <c r="B119" s="387"/>
      <c r="C119" s="378"/>
      <c r="D119" s="378"/>
      <c r="E119" s="378"/>
      <c r="F119" s="378"/>
      <c r="G119" s="388"/>
    </row>
    <row r="120" spans="2:8" ht="16.899999999999999" customHeight="1" x14ac:dyDescent="0.2">
      <c r="B120" s="65"/>
      <c r="C120" s="65"/>
      <c r="D120" s="376"/>
      <c r="E120" s="376"/>
      <c r="F120" s="65"/>
    </row>
    <row r="121" spans="2:8" ht="16.899999999999999" customHeight="1" x14ac:dyDescent="0.2"/>
    <row r="122" spans="2:8" ht="16.899999999999999" customHeight="1" x14ac:dyDescent="0.2"/>
    <row r="123" spans="2:8" ht="16.899999999999999" customHeight="1" x14ac:dyDescent="0.2"/>
    <row r="124" spans="2:8" ht="16.899999999999999" customHeight="1" x14ac:dyDescent="0.2"/>
    <row r="125" spans="2:8" ht="16.899999999999999" customHeight="1" x14ac:dyDescent="0.2"/>
    <row r="126" spans="2:8" ht="16.899999999999999" customHeight="1" x14ac:dyDescent="0.2"/>
    <row r="127" spans="2:8" ht="16.899999999999999" customHeight="1" x14ac:dyDescent="0.2"/>
    <row r="128" spans="2:8" ht="16.899999999999999" customHeight="1" x14ac:dyDescent="0.2"/>
    <row r="129" ht="16.899999999999999" customHeight="1" x14ac:dyDescent="0.2"/>
    <row r="130" ht="16.899999999999999" customHeight="1" x14ac:dyDescent="0.2"/>
    <row r="131" ht="16.899999999999999" customHeight="1" x14ac:dyDescent="0.2"/>
    <row r="132" ht="16.899999999999999" customHeight="1" x14ac:dyDescent="0.2"/>
    <row r="133" ht="16.899999999999999" customHeight="1" x14ac:dyDescent="0.2"/>
  </sheetData>
  <mergeCells count="15">
    <mergeCell ref="AD10:AN10"/>
    <mergeCell ref="AD9:AY9"/>
    <mergeCell ref="AP10:AY10"/>
    <mergeCell ref="A1:C1"/>
    <mergeCell ref="A3:C3"/>
    <mergeCell ref="A6:C6"/>
    <mergeCell ref="A7:C7"/>
    <mergeCell ref="G10:Q10"/>
    <mergeCell ref="E9:E11"/>
    <mergeCell ref="D9:D11"/>
    <mergeCell ref="C9:C11"/>
    <mergeCell ref="B9:B11"/>
    <mergeCell ref="A9:A11"/>
    <mergeCell ref="G9:AB9"/>
    <mergeCell ref="S10:AB10"/>
  </mergeCells>
  <pageMargins left="0.75" right="0.75" top="1" bottom="1" header="0.5" footer="0.5"/>
  <pageSetup paperSize="9" orientation="portrait" r:id="rId1"/>
  <headerFooter>
    <oddFooter>&amp;L_x000D_&amp;1#&amp;"Calibri"&amp;11&amp;K000000 SW Internal
Commercial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83"/>
  <sheetViews>
    <sheetView showRuler="0" zoomScaleNormal="100" workbookViewId="0">
      <selection sqref="A1:XFD1048576"/>
    </sheetView>
  </sheetViews>
  <sheetFormatPr defaultColWidth="13.7109375" defaultRowHeight="12.75" x14ac:dyDescent="0.2"/>
  <cols>
    <col min="1" max="1" width="8.42578125" customWidth="1"/>
    <col min="2" max="2" width="85.7109375" customWidth="1"/>
    <col min="3" max="3" width="13.28515625" customWidth="1"/>
    <col min="4" max="4" width="8.42578125" customWidth="1"/>
    <col min="5" max="5" width="7.7109375" customWidth="1"/>
    <col min="6" max="6" width="15.28515625" customWidth="1"/>
    <col min="7" max="7" width="5.7109375" customWidth="1"/>
    <col min="8" max="8" width="4.7109375" customWidth="1"/>
    <col min="9" max="9" width="22.7109375" customWidth="1"/>
    <col min="10" max="10" width="4.28515625" customWidth="1"/>
    <col min="11" max="11" width="3.7109375" customWidth="1"/>
    <col min="12" max="12" width="92.7109375" customWidth="1"/>
    <col min="13" max="24" width="15.7109375" customWidth="1"/>
    <col min="25" max="36" width="9.28515625" customWidth="1"/>
  </cols>
  <sheetData>
    <row r="1" spans="1:13" ht="23.25" customHeight="1" x14ac:dyDescent="0.3">
      <c r="A1" s="493" t="s">
        <v>0</v>
      </c>
      <c r="B1" s="478"/>
    </row>
    <row r="2" spans="1:13" ht="23.25" customHeight="1" x14ac:dyDescent="0.2"/>
    <row r="3" spans="1:13" ht="24.4" customHeight="1" x14ac:dyDescent="0.3">
      <c r="A3" s="479" t="s">
        <v>1</v>
      </c>
      <c r="B3" s="478"/>
    </row>
    <row r="4" spans="1:13" ht="16.899999999999999" customHeight="1" x14ac:dyDescent="0.3">
      <c r="A4" s="43"/>
      <c r="B4" s="260"/>
      <c r="C4" s="260"/>
      <c r="D4" s="260"/>
      <c r="E4" s="205"/>
      <c r="F4" s="205"/>
    </row>
    <row r="5" spans="1:13" ht="16.899999999999999" customHeight="1" thickBot="1" x14ac:dyDescent="0.25"/>
    <row r="6" spans="1:13" ht="23.25" customHeight="1" x14ac:dyDescent="0.3">
      <c r="A6" s="480" t="s">
        <v>2</v>
      </c>
      <c r="B6" s="497"/>
      <c r="C6" s="261"/>
      <c r="D6" s="261"/>
      <c r="E6" s="262"/>
      <c r="F6" s="208"/>
    </row>
    <row r="7" spans="1:13" ht="24.4" customHeight="1" thickBot="1" x14ac:dyDescent="0.35">
      <c r="A7" s="528" t="s">
        <v>1671</v>
      </c>
      <c r="B7" s="529"/>
      <c r="C7" s="529"/>
      <c r="D7" s="529"/>
      <c r="E7" s="530"/>
      <c r="F7" s="208"/>
    </row>
    <row r="8" spans="1:13" ht="23.25" customHeight="1" x14ac:dyDescent="0.3">
      <c r="A8" s="355"/>
      <c r="B8" s="356"/>
      <c r="C8" s="356"/>
      <c r="D8" s="356"/>
      <c r="E8" s="357"/>
    </row>
    <row r="9" spans="1:13" ht="23.25" customHeight="1" thickBot="1" x14ac:dyDescent="0.25">
      <c r="F9" s="235">
        <v>10</v>
      </c>
      <c r="G9" s="265"/>
      <c r="H9" s="266"/>
      <c r="I9" s="235">
        <v>20</v>
      </c>
      <c r="J9" s="265"/>
      <c r="K9" s="267"/>
    </row>
    <row r="10" spans="1:13" ht="18.399999999999999" customHeight="1" thickBot="1" x14ac:dyDescent="0.3">
      <c r="A10" s="236" t="s">
        <v>1468</v>
      </c>
      <c r="B10" s="237" t="s">
        <v>1227</v>
      </c>
      <c r="C10" s="238" t="s">
        <v>1228</v>
      </c>
      <c r="D10" s="239" t="s">
        <v>1469</v>
      </c>
      <c r="E10" s="268"/>
      <c r="F10" s="269"/>
      <c r="G10" s="270"/>
      <c r="H10" s="271"/>
      <c r="I10" s="269"/>
      <c r="J10" s="270"/>
      <c r="K10" s="213"/>
      <c r="L10" s="410" t="s">
        <v>166</v>
      </c>
      <c r="M10" s="272"/>
    </row>
    <row r="11" spans="1:13" ht="17.649999999999999" customHeight="1" x14ac:dyDescent="0.25">
      <c r="A11" s="240" t="s">
        <v>1470</v>
      </c>
      <c r="B11" s="273"/>
      <c r="C11" s="274"/>
      <c r="D11" s="241" t="s">
        <v>1471</v>
      </c>
      <c r="E11" s="268"/>
      <c r="F11" s="326" t="s">
        <v>1472</v>
      </c>
      <c r="G11" s="275"/>
      <c r="H11" s="271"/>
      <c r="I11" s="242" t="s">
        <v>1473</v>
      </c>
      <c r="J11" s="275"/>
      <c r="K11" s="272"/>
      <c r="L11" s="411"/>
    </row>
    <row r="12" spans="1:13" ht="18.399999999999999" customHeight="1" thickBot="1" x14ac:dyDescent="0.3">
      <c r="A12" s="276"/>
      <c r="B12" s="277"/>
      <c r="C12" s="278"/>
      <c r="D12" s="279"/>
      <c r="E12" s="268"/>
      <c r="F12" s="242" t="s">
        <v>1765</v>
      </c>
      <c r="G12" s="243" t="s">
        <v>1474</v>
      </c>
      <c r="H12" s="271"/>
      <c r="I12" s="242" t="s">
        <v>1766</v>
      </c>
      <c r="J12" s="243" t="s">
        <v>1474</v>
      </c>
      <c r="K12" s="272"/>
    </row>
    <row r="13" spans="1:13" ht="15" customHeight="1" thickBot="1" x14ac:dyDescent="0.25">
      <c r="A13" s="280"/>
      <c r="B13" s="280"/>
      <c r="C13" s="280"/>
      <c r="D13" s="280"/>
      <c r="F13" s="280"/>
      <c r="G13" s="358"/>
      <c r="I13" s="280"/>
      <c r="J13" s="280"/>
    </row>
    <row r="14" spans="1:13" ht="18.399999999999999" customHeight="1" thickBot="1" x14ac:dyDescent="0.25">
      <c r="A14" s="359"/>
      <c r="B14" s="327" t="s">
        <v>1672</v>
      </c>
      <c r="C14" s="360"/>
      <c r="D14" s="360"/>
      <c r="E14" s="361"/>
      <c r="F14" s="360"/>
      <c r="G14" s="361"/>
      <c r="H14" s="361"/>
      <c r="I14" s="360"/>
      <c r="J14" s="362"/>
      <c r="K14" s="363"/>
    </row>
    <row r="15" spans="1:13" ht="15" customHeight="1" thickBot="1" x14ac:dyDescent="0.25">
      <c r="A15" s="280"/>
      <c r="B15" s="280"/>
      <c r="C15" s="280"/>
      <c r="D15" s="280"/>
      <c r="E15" s="58"/>
      <c r="F15" s="281"/>
      <c r="G15" s="58"/>
      <c r="H15" s="58"/>
      <c r="I15" s="281"/>
      <c r="J15" s="281"/>
    </row>
    <row r="16" spans="1:13" ht="15" customHeight="1" thickBot="1" x14ac:dyDescent="0.25">
      <c r="A16" s="364"/>
      <c r="B16" s="328" t="s">
        <v>1475</v>
      </c>
      <c r="C16" s="365"/>
      <c r="D16" s="366"/>
      <c r="E16" s="56"/>
    </row>
    <row r="17" spans="1:12" ht="14.1" customHeight="1" x14ac:dyDescent="0.25">
      <c r="A17" s="329" t="s">
        <v>1673</v>
      </c>
      <c r="B17" s="330" t="s">
        <v>222</v>
      </c>
      <c r="C17" s="331" t="s">
        <v>1477</v>
      </c>
      <c r="D17" s="332" t="s">
        <v>223</v>
      </c>
      <c r="E17" s="56"/>
      <c r="F17" s="392">
        <v>65</v>
      </c>
      <c r="G17" s="393" t="s">
        <v>1249</v>
      </c>
      <c r="H17" s="250"/>
      <c r="I17" s="392">
        <v>67</v>
      </c>
      <c r="J17" s="393" t="s">
        <v>1260</v>
      </c>
      <c r="K17" s="250"/>
      <c r="L17" s="412" t="s">
        <v>1478</v>
      </c>
    </row>
    <row r="18" spans="1:12" ht="14.1" customHeight="1" x14ac:dyDescent="0.25">
      <c r="A18" s="333" t="s">
        <v>1674</v>
      </c>
      <c r="B18" s="334" t="s">
        <v>226</v>
      </c>
      <c r="C18" s="2" t="s">
        <v>1477</v>
      </c>
      <c r="D18" s="335" t="s">
        <v>223</v>
      </c>
      <c r="E18" s="56"/>
      <c r="F18" s="394">
        <v>0</v>
      </c>
      <c r="G18" s="395" t="s">
        <v>1249</v>
      </c>
      <c r="H18" s="250"/>
      <c r="I18" s="394">
        <v>0</v>
      </c>
      <c r="J18" s="395" t="s">
        <v>1260</v>
      </c>
      <c r="K18" s="250"/>
      <c r="L18" s="412" t="s">
        <v>1480</v>
      </c>
    </row>
    <row r="19" spans="1:12" ht="14.1" customHeight="1" x14ac:dyDescent="0.25">
      <c r="A19" s="333" t="s">
        <v>1675</v>
      </c>
      <c r="B19" s="334" t="s">
        <v>229</v>
      </c>
      <c r="C19" s="2" t="s">
        <v>1477</v>
      </c>
      <c r="D19" s="335" t="s">
        <v>223</v>
      </c>
      <c r="E19" s="56"/>
      <c r="F19" s="394">
        <v>0</v>
      </c>
      <c r="G19" s="395" t="s">
        <v>1249</v>
      </c>
      <c r="H19" s="250"/>
      <c r="I19" s="394">
        <v>0</v>
      </c>
      <c r="J19" s="395" t="s">
        <v>1260</v>
      </c>
      <c r="K19" s="250"/>
      <c r="L19" s="412" t="s">
        <v>1676</v>
      </c>
    </row>
    <row r="20" spans="1:12" ht="14.1" customHeight="1" x14ac:dyDescent="0.25">
      <c r="A20" s="333" t="s">
        <v>1677</v>
      </c>
      <c r="B20" s="334" t="s">
        <v>232</v>
      </c>
      <c r="C20" s="2" t="s">
        <v>1477</v>
      </c>
      <c r="D20" s="335" t="s">
        <v>223</v>
      </c>
      <c r="E20" s="56"/>
      <c r="F20" s="394">
        <v>0</v>
      </c>
      <c r="G20" s="395" t="s">
        <v>1249</v>
      </c>
      <c r="H20" s="250"/>
      <c r="I20" s="394">
        <v>0</v>
      </c>
      <c r="J20" s="395" t="s">
        <v>1260</v>
      </c>
      <c r="K20" s="250"/>
      <c r="L20" s="412" t="s">
        <v>1484</v>
      </c>
    </row>
    <row r="21" spans="1:12" ht="15" customHeight="1" thickBot="1" x14ac:dyDescent="0.3">
      <c r="A21" s="336" t="s">
        <v>1678</v>
      </c>
      <c r="B21" s="337" t="s">
        <v>1486</v>
      </c>
      <c r="C21" s="338" t="s">
        <v>1477</v>
      </c>
      <c r="D21" s="339" t="s">
        <v>190</v>
      </c>
      <c r="E21" s="56"/>
      <c r="F21" s="397">
        <f>SUM(F17:F20)</f>
        <v>65</v>
      </c>
      <c r="G21" s="398" t="s">
        <v>1249</v>
      </c>
      <c r="H21" s="250"/>
      <c r="I21" s="397">
        <f>SUM(I17:I20)</f>
        <v>67</v>
      </c>
      <c r="J21" s="398" t="s">
        <v>1260</v>
      </c>
      <c r="K21" s="250"/>
      <c r="L21" s="412" t="s">
        <v>1488</v>
      </c>
    </row>
    <row r="22" spans="1:12" ht="15" customHeight="1" thickBot="1" x14ac:dyDescent="0.25">
      <c r="A22" s="367"/>
      <c r="B22" s="368"/>
      <c r="C22" s="369"/>
      <c r="D22" s="369"/>
      <c r="F22" s="390"/>
      <c r="G22" s="250"/>
      <c r="I22" s="390"/>
      <c r="J22" s="250"/>
    </row>
    <row r="23" spans="1:12" ht="15" customHeight="1" thickBot="1" x14ac:dyDescent="0.25">
      <c r="A23" s="364"/>
      <c r="B23" s="328" t="s">
        <v>1489</v>
      </c>
      <c r="C23" s="370"/>
      <c r="D23" s="371"/>
      <c r="E23" s="56"/>
    </row>
    <row r="24" spans="1:12" ht="14.1" customHeight="1" x14ac:dyDescent="0.25">
      <c r="A24" s="329" t="s">
        <v>1679</v>
      </c>
      <c r="B24" s="340" t="s">
        <v>1680</v>
      </c>
      <c r="C24" s="331" t="s">
        <v>1492</v>
      </c>
      <c r="D24" s="332" t="s">
        <v>223</v>
      </c>
      <c r="E24" s="56"/>
      <c r="F24" s="392">
        <v>1310</v>
      </c>
      <c r="G24" s="393" t="s">
        <v>1249</v>
      </c>
      <c r="H24" s="250"/>
      <c r="I24" s="392">
        <v>1428</v>
      </c>
      <c r="J24" s="393" t="s">
        <v>1260</v>
      </c>
      <c r="K24" s="250"/>
      <c r="L24" s="412" t="s">
        <v>1681</v>
      </c>
    </row>
    <row r="25" spans="1:12" ht="14.1" customHeight="1" x14ac:dyDescent="0.25">
      <c r="A25" s="333" t="s">
        <v>1682</v>
      </c>
      <c r="B25" s="341" t="s">
        <v>1683</v>
      </c>
      <c r="C25" s="2" t="s">
        <v>1492</v>
      </c>
      <c r="D25" s="335" t="s">
        <v>223</v>
      </c>
      <c r="E25" s="56"/>
      <c r="F25" s="394">
        <v>7643</v>
      </c>
      <c r="G25" s="395" t="s">
        <v>1249</v>
      </c>
      <c r="H25" s="250"/>
      <c r="I25" s="394">
        <v>10404</v>
      </c>
      <c r="J25" s="395" t="s">
        <v>1260</v>
      </c>
      <c r="K25" s="250"/>
      <c r="L25" s="412" t="s">
        <v>1684</v>
      </c>
    </row>
    <row r="26" spans="1:12" ht="14.1" customHeight="1" x14ac:dyDescent="0.25">
      <c r="A26" s="333" t="s">
        <v>1685</v>
      </c>
      <c r="B26" s="341" t="s">
        <v>1498</v>
      </c>
      <c r="C26" s="2" t="s">
        <v>1492</v>
      </c>
      <c r="D26" s="335" t="s">
        <v>223</v>
      </c>
      <c r="E26" s="56"/>
      <c r="F26" s="394">
        <v>0</v>
      </c>
      <c r="G26" s="395" t="s">
        <v>1249</v>
      </c>
      <c r="H26" s="250"/>
      <c r="I26" s="394">
        <v>0</v>
      </c>
      <c r="J26" s="395" t="s">
        <v>1260</v>
      </c>
      <c r="K26" s="250"/>
      <c r="L26" s="412" t="s">
        <v>1686</v>
      </c>
    </row>
    <row r="27" spans="1:12" ht="15" customHeight="1" thickBot="1" x14ac:dyDescent="0.3">
      <c r="A27" s="336" t="s">
        <v>1687</v>
      </c>
      <c r="B27" s="342" t="s">
        <v>238</v>
      </c>
      <c r="C27" s="338" t="s">
        <v>1492</v>
      </c>
      <c r="D27" s="339" t="s">
        <v>190</v>
      </c>
      <c r="E27" s="56"/>
      <c r="F27" s="397">
        <f>SUM(F24:F26)</f>
        <v>8953</v>
      </c>
      <c r="G27" s="398" t="s">
        <v>1249</v>
      </c>
      <c r="H27" s="250"/>
      <c r="I27" s="397">
        <f>SUM(I24:I26)</f>
        <v>11832</v>
      </c>
      <c r="J27" s="398" t="s">
        <v>1260</v>
      </c>
      <c r="K27" s="250"/>
      <c r="L27" s="412" t="s">
        <v>1688</v>
      </c>
    </row>
    <row r="28" spans="1:12" ht="15" customHeight="1" thickBot="1" x14ac:dyDescent="0.25">
      <c r="A28" s="367"/>
      <c r="B28" s="368"/>
      <c r="C28" s="369"/>
      <c r="D28" s="369"/>
      <c r="F28" s="390"/>
      <c r="G28" s="250"/>
      <c r="I28" s="390"/>
      <c r="J28" s="250"/>
    </row>
    <row r="29" spans="1:12" ht="15" customHeight="1" thickBot="1" x14ac:dyDescent="0.25">
      <c r="A29" s="364"/>
      <c r="B29" s="328" t="s">
        <v>1502</v>
      </c>
      <c r="C29" s="370"/>
      <c r="D29" s="371"/>
      <c r="E29" s="56"/>
    </row>
    <row r="30" spans="1:12" ht="14.1" customHeight="1" x14ac:dyDescent="0.25">
      <c r="A30" s="329" t="s">
        <v>1689</v>
      </c>
      <c r="B30" s="330" t="s">
        <v>222</v>
      </c>
      <c r="C30" s="331" t="s">
        <v>1424</v>
      </c>
      <c r="D30" s="332" t="s">
        <v>223</v>
      </c>
      <c r="E30" s="56"/>
      <c r="F30" s="413">
        <v>195.03</v>
      </c>
      <c r="G30" s="393" t="s">
        <v>1690</v>
      </c>
      <c r="H30" s="250"/>
      <c r="I30" s="413">
        <v>214.34</v>
      </c>
      <c r="J30" s="393" t="s">
        <v>1690</v>
      </c>
      <c r="K30" s="250"/>
      <c r="L30" s="412" t="s">
        <v>1505</v>
      </c>
    </row>
    <row r="31" spans="1:12" ht="14.1" customHeight="1" x14ac:dyDescent="0.25">
      <c r="A31" s="333" t="s">
        <v>1691</v>
      </c>
      <c r="B31" s="334" t="s">
        <v>226</v>
      </c>
      <c r="C31" s="2" t="s">
        <v>1424</v>
      </c>
      <c r="D31" s="335" t="s">
        <v>223</v>
      </c>
      <c r="E31" s="56"/>
      <c r="F31" s="414">
        <v>579</v>
      </c>
      <c r="G31" s="395" t="s">
        <v>1690</v>
      </c>
      <c r="H31" s="250"/>
      <c r="I31" s="414">
        <v>636</v>
      </c>
      <c r="J31" s="395" t="s">
        <v>1690</v>
      </c>
      <c r="K31" s="250"/>
      <c r="L31" s="412" t="s">
        <v>1507</v>
      </c>
    </row>
    <row r="32" spans="1:12" ht="14.1" customHeight="1" x14ac:dyDescent="0.25">
      <c r="A32" s="333" t="s">
        <v>1692</v>
      </c>
      <c r="B32" s="334" t="s">
        <v>229</v>
      </c>
      <c r="C32" s="2" t="s">
        <v>1424</v>
      </c>
      <c r="D32" s="335" t="s">
        <v>223</v>
      </c>
      <c r="E32" s="56"/>
      <c r="F32" s="414">
        <v>1641</v>
      </c>
      <c r="G32" s="395" t="s">
        <v>1690</v>
      </c>
      <c r="H32" s="250"/>
      <c r="I32" s="414">
        <v>1803</v>
      </c>
      <c r="J32" s="395" t="s">
        <v>1690</v>
      </c>
      <c r="K32" s="250"/>
      <c r="L32" s="412" t="s">
        <v>1509</v>
      </c>
    </row>
    <row r="33" spans="1:12" ht="15" customHeight="1" thickBot="1" x14ac:dyDescent="0.3">
      <c r="A33" s="336" t="s">
        <v>1693</v>
      </c>
      <c r="B33" s="337" t="s">
        <v>232</v>
      </c>
      <c r="C33" s="338" t="s">
        <v>1424</v>
      </c>
      <c r="D33" s="339" t="s">
        <v>223</v>
      </c>
      <c r="E33" s="56"/>
      <c r="F33" s="415">
        <v>3648</v>
      </c>
      <c r="G33" s="398" t="s">
        <v>1690</v>
      </c>
      <c r="H33" s="250"/>
      <c r="I33" s="415">
        <v>4009</v>
      </c>
      <c r="J33" s="398" t="s">
        <v>1690</v>
      </c>
      <c r="K33" s="250"/>
      <c r="L33" s="412" t="s">
        <v>1511</v>
      </c>
    </row>
    <row r="34" spans="1:12" ht="15" customHeight="1" thickBot="1" x14ac:dyDescent="0.25">
      <c r="A34" s="367"/>
      <c r="B34" s="368"/>
      <c r="C34" s="369"/>
      <c r="D34" s="369"/>
      <c r="F34" s="390"/>
      <c r="G34" s="250"/>
      <c r="I34" s="390"/>
      <c r="J34" s="250"/>
    </row>
    <row r="35" spans="1:12" ht="15" customHeight="1" thickBot="1" x14ac:dyDescent="0.25">
      <c r="A35" s="364"/>
      <c r="B35" s="328" t="s">
        <v>1694</v>
      </c>
      <c r="C35" s="370"/>
      <c r="D35" s="371"/>
      <c r="E35" s="56"/>
    </row>
    <row r="36" spans="1:12" ht="14.1" customHeight="1" x14ac:dyDescent="0.25">
      <c r="A36" s="329" t="s">
        <v>1695</v>
      </c>
      <c r="B36" s="340" t="s">
        <v>1696</v>
      </c>
      <c r="C36" s="331" t="s">
        <v>1515</v>
      </c>
      <c r="D36" s="332" t="s">
        <v>223</v>
      </c>
      <c r="E36" s="56"/>
      <c r="F36" s="416">
        <v>3.8553000000000002</v>
      </c>
      <c r="G36" s="393" t="s">
        <v>1690</v>
      </c>
      <c r="H36" s="250"/>
      <c r="I36" s="416">
        <v>4.2370000000000001</v>
      </c>
      <c r="J36" s="393" t="s">
        <v>1690</v>
      </c>
      <c r="K36" s="250"/>
      <c r="L36" s="412" t="s">
        <v>1697</v>
      </c>
    </row>
    <row r="37" spans="1:12" ht="14.1" customHeight="1" x14ac:dyDescent="0.25">
      <c r="A37" s="333" t="s">
        <v>1698</v>
      </c>
      <c r="B37" s="341" t="s">
        <v>1699</v>
      </c>
      <c r="C37" s="2" t="s">
        <v>1515</v>
      </c>
      <c r="D37" s="335" t="s">
        <v>223</v>
      </c>
      <c r="E37" s="56"/>
      <c r="F37" s="417">
        <v>1.8231999999999999</v>
      </c>
      <c r="G37" s="395" t="s">
        <v>1690</v>
      </c>
      <c r="H37" s="250"/>
      <c r="I37" s="417">
        <v>2.0036999999999998</v>
      </c>
      <c r="J37" s="395" t="s">
        <v>1690</v>
      </c>
      <c r="K37" s="250"/>
      <c r="L37" s="412" t="s">
        <v>1700</v>
      </c>
    </row>
    <row r="38" spans="1:12" ht="15" customHeight="1" thickBot="1" x14ac:dyDescent="0.3">
      <c r="A38" s="336" t="s">
        <v>1701</v>
      </c>
      <c r="B38" s="343" t="s">
        <v>1498</v>
      </c>
      <c r="C38" s="338" t="s">
        <v>1515</v>
      </c>
      <c r="D38" s="339" t="s">
        <v>223</v>
      </c>
      <c r="E38" s="56"/>
      <c r="F38" s="418">
        <v>1.8231999999999999</v>
      </c>
      <c r="G38" s="398" t="s">
        <v>1690</v>
      </c>
      <c r="H38" s="250"/>
      <c r="I38" s="418">
        <v>2.0036999999999998</v>
      </c>
      <c r="J38" s="398" t="s">
        <v>1690</v>
      </c>
      <c r="K38" s="250"/>
      <c r="L38" s="412" t="s">
        <v>1521</v>
      </c>
    </row>
    <row r="39" spans="1:12" ht="15" customHeight="1" thickBot="1" x14ac:dyDescent="0.25">
      <c r="A39" s="367"/>
      <c r="B39" s="368"/>
      <c r="C39" s="369"/>
      <c r="D39" s="369"/>
      <c r="F39" s="390"/>
      <c r="G39" s="250"/>
      <c r="I39" s="390"/>
      <c r="J39" s="250"/>
    </row>
    <row r="40" spans="1:12" ht="15" customHeight="1" thickBot="1" x14ac:dyDescent="0.25">
      <c r="A40" s="364"/>
      <c r="B40" s="328" t="s">
        <v>1702</v>
      </c>
      <c r="C40" s="370"/>
      <c r="D40" s="371"/>
      <c r="E40" s="56"/>
    </row>
    <row r="41" spans="1:12" ht="14.1" customHeight="1" x14ac:dyDescent="0.25">
      <c r="A41" s="329" t="s">
        <v>1703</v>
      </c>
      <c r="B41" s="340" t="s">
        <v>1524</v>
      </c>
      <c r="C41" s="331" t="s">
        <v>1424</v>
      </c>
      <c r="D41" s="332" t="s">
        <v>190</v>
      </c>
      <c r="E41" s="56"/>
      <c r="F41" s="419">
        <f>SUMPRODUCT(F17:F20,F30:F33)</f>
        <v>12676.95</v>
      </c>
      <c r="G41" s="393" t="s">
        <v>1249</v>
      </c>
      <c r="H41" s="250"/>
      <c r="I41" s="419">
        <f>SUMPRODUCT(I17:I20,I30:I33)</f>
        <v>14360.78</v>
      </c>
      <c r="J41" s="393" t="s">
        <v>1260</v>
      </c>
      <c r="K41" s="250"/>
      <c r="L41" s="412" t="s">
        <v>1525</v>
      </c>
    </row>
    <row r="42" spans="1:12" ht="14.1" customHeight="1" x14ac:dyDescent="0.25">
      <c r="A42" s="333" t="s">
        <v>1704</v>
      </c>
      <c r="B42" s="341" t="s">
        <v>1705</v>
      </c>
      <c r="C42" s="2" t="s">
        <v>1424</v>
      </c>
      <c r="D42" s="335" t="s">
        <v>190</v>
      </c>
      <c r="E42" s="56"/>
      <c r="F42" s="396">
        <f>F24*F36</f>
        <v>5050.4430000000002</v>
      </c>
      <c r="G42" s="395" t="s">
        <v>1249</v>
      </c>
      <c r="H42" s="250"/>
      <c r="I42" s="396">
        <f>I24*I36</f>
        <v>6050.4359999999997</v>
      </c>
      <c r="J42" s="395" t="s">
        <v>1260</v>
      </c>
      <c r="K42" s="250"/>
      <c r="L42" s="412" t="s">
        <v>1706</v>
      </c>
    </row>
    <row r="43" spans="1:12" ht="14.1" customHeight="1" x14ac:dyDescent="0.25">
      <c r="A43" s="333" t="s">
        <v>1707</v>
      </c>
      <c r="B43" s="341" t="s">
        <v>1708</v>
      </c>
      <c r="C43" s="2" t="s">
        <v>1424</v>
      </c>
      <c r="D43" s="335" t="s">
        <v>190</v>
      </c>
      <c r="E43" s="56"/>
      <c r="F43" s="396">
        <f>F25*F37</f>
        <v>13934.7176</v>
      </c>
      <c r="G43" s="395" t="s">
        <v>1249</v>
      </c>
      <c r="H43" s="250"/>
      <c r="I43" s="396">
        <f>I25*I37</f>
        <v>20846.494799999997</v>
      </c>
      <c r="J43" s="395" t="s">
        <v>1260</v>
      </c>
      <c r="K43" s="250"/>
      <c r="L43" s="412" t="s">
        <v>1709</v>
      </c>
    </row>
    <row r="44" spans="1:12" ht="14.1" customHeight="1" x14ac:dyDescent="0.25">
      <c r="A44" s="333" t="s">
        <v>1710</v>
      </c>
      <c r="B44" s="341" t="s">
        <v>1498</v>
      </c>
      <c r="C44" s="2" t="s">
        <v>1424</v>
      </c>
      <c r="D44" s="335" t="s">
        <v>190</v>
      </c>
      <c r="E44" s="56"/>
      <c r="F44" s="396">
        <f>F26*F38</f>
        <v>0</v>
      </c>
      <c r="G44" s="395" t="s">
        <v>1249</v>
      </c>
      <c r="H44" s="250"/>
      <c r="I44" s="396">
        <f>I26*I38</f>
        <v>0</v>
      </c>
      <c r="J44" s="395" t="s">
        <v>1260</v>
      </c>
      <c r="K44" s="250"/>
      <c r="L44" s="412" t="s">
        <v>1533</v>
      </c>
    </row>
    <row r="45" spans="1:12" ht="15" customHeight="1" thickBot="1" x14ac:dyDescent="0.3">
      <c r="A45" s="336" t="s">
        <v>1711</v>
      </c>
      <c r="B45" s="342" t="s">
        <v>189</v>
      </c>
      <c r="C45" s="338" t="s">
        <v>1424</v>
      </c>
      <c r="D45" s="339" t="s">
        <v>190</v>
      </c>
      <c r="E45" s="56"/>
      <c r="F45" s="397">
        <f>SUM(F41:F44)</f>
        <v>31662.1106</v>
      </c>
      <c r="G45" s="398" t="s">
        <v>1249</v>
      </c>
      <c r="H45" s="250"/>
      <c r="I45" s="397">
        <f>SUM(I41:I44)</f>
        <v>41257.710800000001</v>
      </c>
      <c r="J45" s="398" t="s">
        <v>1260</v>
      </c>
      <c r="K45" s="250"/>
      <c r="L45" s="412" t="s">
        <v>1535</v>
      </c>
    </row>
    <row r="46" spans="1:12" ht="14.1" customHeight="1" x14ac:dyDescent="0.2">
      <c r="A46" s="216"/>
      <c r="B46" s="58"/>
      <c r="C46" s="58"/>
      <c r="D46" s="58"/>
      <c r="F46" s="250"/>
      <c r="G46" s="250"/>
      <c r="I46" s="250"/>
      <c r="J46" s="250"/>
    </row>
    <row r="47" spans="1:12" ht="14.1" customHeight="1" x14ac:dyDescent="0.2"/>
    <row r="48" spans="1:12" ht="15" customHeight="1" thickBot="1" x14ac:dyDescent="0.25"/>
    <row r="49" spans="1:20" ht="18.399999999999999" customHeight="1" thickBot="1" x14ac:dyDescent="0.25">
      <c r="A49" s="359"/>
      <c r="B49" s="327" t="s">
        <v>1712</v>
      </c>
      <c r="C49" s="360"/>
      <c r="D49" s="360"/>
      <c r="E49" s="361"/>
      <c r="F49" s="360"/>
      <c r="G49" s="361"/>
      <c r="H49" s="361"/>
      <c r="I49" s="360"/>
      <c r="J49" s="362"/>
      <c r="K49" s="363"/>
    </row>
    <row r="50" spans="1:20" ht="15" customHeight="1" thickBot="1" x14ac:dyDescent="0.25">
      <c r="A50" s="210"/>
      <c r="B50" s="358"/>
      <c r="C50" s="358"/>
      <c r="D50" s="358"/>
      <c r="E50" s="58"/>
      <c r="F50" s="58"/>
      <c r="G50" s="58"/>
      <c r="H50" s="58"/>
      <c r="I50" s="58"/>
      <c r="J50" s="58"/>
    </row>
    <row r="51" spans="1:20" ht="15" customHeight="1" thickBot="1" x14ac:dyDescent="0.25">
      <c r="A51" s="364"/>
      <c r="B51" s="328" t="s">
        <v>1713</v>
      </c>
      <c r="C51" s="365"/>
      <c r="D51" s="366"/>
      <c r="E51" s="56"/>
    </row>
    <row r="52" spans="1:20" ht="16.899999999999999" customHeight="1" x14ac:dyDescent="0.25">
      <c r="A52" s="344" t="s">
        <v>1714</v>
      </c>
      <c r="B52" s="345" t="s">
        <v>1715</v>
      </c>
      <c r="C52" s="331" t="s">
        <v>1477</v>
      </c>
      <c r="D52" s="332" t="s">
        <v>223</v>
      </c>
      <c r="E52" s="56"/>
      <c r="F52" s="392">
        <v>0</v>
      </c>
      <c r="G52" s="393" t="s">
        <v>1716</v>
      </c>
      <c r="H52" s="250"/>
      <c r="I52" s="392">
        <v>0</v>
      </c>
      <c r="J52" s="393" t="s">
        <v>1717</v>
      </c>
      <c r="K52" s="391">
        <v>5</v>
      </c>
      <c r="L52" s="412" t="s">
        <v>1718</v>
      </c>
      <c r="T52" s="346">
        <f t="shared" ref="T52:T60" si="0">K52/9</f>
        <v>0.55555555555555558</v>
      </c>
    </row>
    <row r="53" spans="1:20" ht="16.899999999999999" customHeight="1" x14ac:dyDescent="0.25">
      <c r="A53" s="347" t="s">
        <v>1719</v>
      </c>
      <c r="B53" s="348" t="s">
        <v>1720</v>
      </c>
      <c r="C53" s="2" t="s">
        <v>1477</v>
      </c>
      <c r="D53" s="335" t="s">
        <v>223</v>
      </c>
      <c r="E53" s="56"/>
      <c r="F53" s="394">
        <v>120</v>
      </c>
      <c r="G53" s="395" t="s">
        <v>1716</v>
      </c>
      <c r="H53" s="250"/>
      <c r="I53" s="394">
        <v>118</v>
      </c>
      <c r="J53" s="395" t="s">
        <v>1717</v>
      </c>
      <c r="K53" s="391">
        <v>6</v>
      </c>
      <c r="L53" s="412" t="s">
        <v>1718</v>
      </c>
      <c r="T53" s="346">
        <f t="shared" si="0"/>
        <v>0.66666666666666663</v>
      </c>
    </row>
    <row r="54" spans="1:20" ht="16.899999999999999" customHeight="1" x14ac:dyDescent="0.25">
      <c r="A54" s="347" t="s">
        <v>1721</v>
      </c>
      <c r="B54" s="348" t="s">
        <v>1722</v>
      </c>
      <c r="C54" s="2" t="s">
        <v>1477</v>
      </c>
      <c r="D54" s="335" t="s">
        <v>223</v>
      </c>
      <c r="E54" s="56"/>
      <c r="F54" s="394">
        <v>157</v>
      </c>
      <c r="G54" s="395" t="s">
        <v>1716</v>
      </c>
      <c r="H54" s="250"/>
      <c r="I54" s="394">
        <v>156</v>
      </c>
      <c r="J54" s="395" t="s">
        <v>1717</v>
      </c>
      <c r="K54" s="391">
        <v>7</v>
      </c>
      <c r="L54" s="412" t="s">
        <v>1718</v>
      </c>
      <c r="T54" s="346">
        <f t="shared" si="0"/>
        <v>0.77777777777777779</v>
      </c>
    </row>
    <row r="55" spans="1:20" ht="16.899999999999999" customHeight="1" x14ac:dyDescent="0.25">
      <c r="A55" s="347" t="s">
        <v>1723</v>
      </c>
      <c r="B55" s="348" t="s">
        <v>1724</v>
      </c>
      <c r="C55" s="2" t="s">
        <v>1477</v>
      </c>
      <c r="D55" s="335" t="s">
        <v>223</v>
      </c>
      <c r="E55" s="56"/>
      <c r="F55" s="394">
        <v>152</v>
      </c>
      <c r="G55" s="395" t="s">
        <v>1716</v>
      </c>
      <c r="H55" s="250"/>
      <c r="I55" s="394">
        <v>152</v>
      </c>
      <c r="J55" s="395" t="s">
        <v>1717</v>
      </c>
      <c r="K55" s="391">
        <v>8</v>
      </c>
      <c r="L55" s="412" t="s">
        <v>1718</v>
      </c>
      <c r="T55" s="346">
        <f t="shared" si="0"/>
        <v>0.88888888888888884</v>
      </c>
    </row>
    <row r="56" spans="1:20" ht="16.899999999999999" customHeight="1" x14ac:dyDescent="0.25">
      <c r="A56" s="347" t="s">
        <v>1725</v>
      </c>
      <c r="B56" s="348" t="s">
        <v>1726</v>
      </c>
      <c r="C56" s="2" t="s">
        <v>1477</v>
      </c>
      <c r="D56" s="335" t="s">
        <v>223</v>
      </c>
      <c r="E56" s="56"/>
      <c r="F56" s="394">
        <v>44</v>
      </c>
      <c r="G56" s="395" t="s">
        <v>1716</v>
      </c>
      <c r="H56" s="250"/>
      <c r="I56" s="394">
        <v>43</v>
      </c>
      <c r="J56" s="395" t="s">
        <v>1717</v>
      </c>
      <c r="K56" s="391">
        <v>9</v>
      </c>
      <c r="L56" s="412" t="s">
        <v>1718</v>
      </c>
      <c r="T56" s="346">
        <f t="shared" si="0"/>
        <v>1</v>
      </c>
    </row>
    <row r="57" spans="1:20" ht="16.899999999999999" customHeight="1" x14ac:dyDescent="0.25">
      <c r="A57" s="347" t="s">
        <v>1727</v>
      </c>
      <c r="B57" s="348" t="s">
        <v>1728</v>
      </c>
      <c r="C57" s="2" t="s">
        <v>1477</v>
      </c>
      <c r="D57" s="335" t="s">
        <v>223</v>
      </c>
      <c r="E57" s="56"/>
      <c r="F57" s="394">
        <v>35</v>
      </c>
      <c r="G57" s="395" t="s">
        <v>1716</v>
      </c>
      <c r="H57" s="250"/>
      <c r="I57" s="394">
        <v>31</v>
      </c>
      <c r="J57" s="395" t="s">
        <v>1717</v>
      </c>
      <c r="K57" s="391">
        <v>11</v>
      </c>
      <c r="L57" s="412" t="s">
        <v>1718</v>
      </c>
      <c r="T57" s="346">
        <f t="shared" si="0"/>
        <v>1.2222222222222223</v>
      </c>
    </row>
    <row r="58" spans="1:20" ht="16.899999999999999" customHeight="1" x14ac:dyDescent="0.25">
      <c r="A58" s="347" t="s">
        <v>1729</v>
      </c>
      <c r="B58" s="348" t="s">
        <v>1730</v>
      </c>
      <c r="C58" s="2" t="s">
        <v>1477</v>
      </c>
      <c r="D58" s="335" t="s">
        <v>223</v>
      </c>
      <c r="E58" s="56"/>
      <c r="F58" s="394">
        <v>19</v>
      </c>
      <c r="G58" s="395" t="s">
        <v>1716</v>
      </c>
      <c r="H58" s="250"/>
      <c r="I58" s="394">
        <v>17</v>
      </c>
      <c r="J58" s="395" t="s">
        <v>1717</v>
      </c>
      <c r="K58" s="391">
        <v>13</v>
      </c>
      <c r="L58" s="412" t="s">
        <v>1718</v>
      </c>
      <c r="T58" s="346">
        <f t="shared" si="0"/>
        <v>1.4444444444444444</v>
      </c>
    </row>
    <row r="59" spans="1:20" ht="16.899999999999999" customHeight="1" x14ac:dyDescent="0.25">
      <c r="A59" s="347" t="s">
        <v>1731</v>
      </c>
      <c r="B59" s="348" t="s">
        <v>1732</v>
      </c>
      <c r="C59" s="2" t="s">
        <v>1477</v>
      </c>
      <c r="D59" s="335" t="s">
        <v>223</v>
      </c>
      <c r="E59" s="56"/>
      <c r="F59" s="394">
        <v>31</v>
      </c>
      <c r="G59" s="395" t="s">
        <v>1716</v>
      </c>
      <c r="H59" s="250"/>
      <c r="I59" s="394">
        <v>31</v>
      </c>
      <c r="J59" s="395" t="s">
        <v>1717</v>
      </c>
      <c r="K59" s="391">
        <v>15</v>
      </c>
      <c r="L59" s="412" t="s">
        <v>1718</v>
      </c>
      <c r="T59" s="346">
        <f t="shared" si="0"/>
        <v>1.6666666666666667</v>
      </c>
    </row>
    <row r="60" spans="1:20" ht="16.899999999999999" customHeight="1" x14ac:dyDescent="0.25">
      <c r="A60" s="347" t="s">
        <v>1733</v>
      </c>
      <c r="B60" s="348" t="s">
        <v>1734</v>
      </c>
      <c r="C60" s="2" t="s">
        <v>1477</v>
      </c>
      <c r="D60" s="335" t="s">
        <v>223</v>
      </c>
      <c r="E60" s="56"/>
      <c r="F60" s="394">
        <v>14</v>
      </c>
      <c r="G60" s="395" t="s">
        <v>1716</v>
      </c>
      <c r="H60" s="250"/>
      <c r="I60" s="394">
        <v>14</v>
      </c>
      <c r="J60" s="395" t="s">
        <v>1717</v>
      </c>
      <c r="K60" s="391">
        <v>18</v>
      </c>
      <c r="L60" s="412" t="s">
        <v>1718</v>
      </c>
      <c r="T60" s="346">
        <f t="shared" si="0"/>
        <v>2</v>
      </c>
    </row>
    <row r="61" spans="1:20" ht="14.1" customHeight="1" x14ac:dyDescent="0.25">
      <c r="A61" s="347" t="s">
        <v>1735</v>
      </c>
      <c r="B61" s="348" t="s">
        <v>1486</v>
      </c>
      <c r="C61" s="2" t="s">
        <v>1477</v>
      </c>
      <c r="D61" s="335" t="s">
        <v>190</v>
      </c>
      <c r="E61" s="56"/>
      <c r="F61" s="396">
        <f>SUM(F52:F60)</f>
        <v>572</v>
      </c>
      <c r="G61" s="395" t="s">
        <v>1736</v>
      </c>
      <c r="H61" s="250"/>
      <c r="I61" s="396">
        <f>SUM(I52:I60)</f>
        <v>562</v>
      </c>
      <c r="J61" s="395" t="s">
        <v>1487</v>
      </c>
      <c r="K61" s="250"/>
      <c r="L61" s="412" t="s">
        <v>1737</v>
      </c>
    </row>
    <row r="62" spans="1:20" ht="15" customHeight="1" thickBot="1" x14ac:dyDescent="0.3">
      <c r="A62" s="349" t="s">
        <v>1738</v>
      </c>
      <c r="B62" s="350" t="s">
        <v>1739</v>
      </c>
      <c r="C62" s="338" t="s">
        <v>1477</v>
      </c>
      <c r="D62" s="339" t="s">
        <v>190</v>
      </c>
      <c r="E62" s="56"/>
      <c r="F62" s="397">
        <f>SUMPRODUCT(F52:F60,T52:T60)</f>
        <v>531.11111111111109</v>
      </c>
      <c r="G62" s="398" t="s">
        <v>1736</v>
      </c>
      <c r="H62" s="250"/>
      <c r="I62" s="397">
        <f>SUMPRODUCT(I52:I60,T52:T60)</f>
        <v>520.22222222222217</v>
      </c>
      <c r="J62" s="398" t="s">
        <v>1487</v>
      </c>
      <c r="K62" s="250"/>
      <c r="L62" s="412" t="s">
        <v>1740</v>
      </c>
    </row>
    <row r="63" spans="1:20" ht="15" customHeight="1" thickBot="1" x14ac:dyDescent="0.25">
      <c r="A63" s="210"/>
      <c r="B63" s="358"/>
      <c r="C63" s="358"/>
      <c r="D63" s="358"/>
      <c r="F63" s="250"/>
      <c r="G63" s="250"/>
      <c r="I63" s="250"/>
      <c r="J63" s="250"/>
    </row>
    <row r="64" spans="1:20" ht="15" customHeight="1" thickBot="1" x14ac:dyDescent="0.25">
      <c r="A64" s="364"/>
      <c r="B64" s="328" t="s">
        <v>1741</v>
      </c>
      <c r="C64" s="370"/>
      <c r="D64" s="371"/>
      <c r="E64" s="372"/>
    </row>
    <row r="65" spans="1:20" ht="15" customHeight="1" thickBot="1" x14ac:dyDescent="0.3">
      <c r="A65" s="351" t="s">
        <v>1742</v>
      </c>
      <c r="B65" s="352" t="s">
        <v>1743</v>
      </c>
      <c r="C65" s="353" t="s">
        <v>1424</v>
      </c>
      <c r="D65" s="354" t="s">
        <v>223</v>
      </c>
      <c r="E65" s="372"/>
      <c r="F65" s="399">
        <v>117.36</v>
      </c>
      <c r="G65" s="400" t="s">
        <v>1690</v>
      </c>
      <c r="H65" s="250"/>
      <c r="I65" s="399">
        <v>128.88</v>
      </c>
      <c r="J65" s="400" t="s">
        <v>1690</v>
      </c>
      <c r="K65" s="250"/>
      <c r="L65" s="412" t="s">
        <v>1426</v>
      </c>
    </row>
    <row r="66" spans="1:20" ht="15" customHeight="1" thickBot="1" x14ac:dyDescent="0.25">
      <c r="A66" s="210"/>
      <c r="B66" s="358"/>
      <c r="C66" s="369"/>
      <c r="D66" s="369"/>
      <c r="F66" s="390"/>
      <c r="G66" s="250"/>
      <c r="I66" s="390"/>
      <c r="J66" s="250"/>
    </row>
    <row r="67" spans="1:20" ht="15" customHeight="1" thickBot="1" x14ac:dyDescent="0.25">
      <c r="A67" s="364"/>
      <c r="B67" s="328" t="s">
        <v>1744</v>
      </c>
      <c r="C67" s="370"/>
      <c r="D67" s="371"/>
      <c r="E67" s="372"/>
    </row>
    <row r="68" spans="1:20" ht="15" customHeight="1" thickBot="1" x14ac:dyDescent="0.3">
      <c r="A68" s="351" t="s">
        <v>1745</v>
      </c>
      <c r="B68" s="352" t="s">
        <v>189</v>
      </c>
      <c r="C68" s="353" t="s">
        <v>1424</v>
      </c>
      <c r="D68" s="354" t="s">
        <v>190</v>
      </c>
      <c r="E68" s="372"/>
      <c r="F68" s="401">
        <f>F62*F65</f>
        <v>62331.199999999997</v>
      </c>
      <c r="G68" s="400" t="s">
        <v>1736</v>
      </c>
      <c r="H68" s="250"/>
      <c r="I68" s="401">
        <f>I62*I65</f>
        <v>67046.239999999991</v>
      </c>
      <c r="J68" s="400" t="s">
        <v>1487</v>
      </c>
      <c r="K68" s="250"/>
      <c r="L68" s="412" t="s">
        <v>1746</v>
      </c>
    </row>
    <row r="69" spans="1:20" ht="14.1" customHeight="1" x14ac:dyDescent="0.2">
      <c r="A69" s="216"/>
      <c r="B69" s="58"/>
      <c r="C69" s="58"/>
      <c r="D69" s="58"/>
      <c r="F69" s="250"/>
      <c r="G69" s="250"/>
      <c r="I69" s="250"/>
      <c r="J69" s="250"/>
    </row>
    <row r="70" spans="1:20" ht="14.1" customHeight="1" x14ac:dyDescent="0.2"/>
    <row r="71" spans="1:20" ht="15" customHeight="1" thickBot="1" x14ac:dyDescent="0.25"/>
    <row r="72" spans="1:20" ht="18.399999999999999" customHeight="1" thickBot="1" x14ac:dyDescent="0.25">
      <c r="A72" s="359"/>
      <c r="B72" s="327" t="s">
        <v>1747</v>
      </c>
      <c r="C72" s="360"/>
      <c r="D72" s="360"/>
      <c r="E72" s="361"/>
      <c r="F72" s="360"/>
      <c r="G72" s="361"/>
      <c r="H72" s="361"/>
      <c r="I72" s="360"/>
      <c r="J72" s="362"/>
      <c r="K72" s="363"/>
    </row>
    <row r="73" spans="1:20" ht="15" customHeight="1" thickBot="1" x14ac:dyDescent="0.25">
      <c r="A73" s="210"/>
      <c r="B73" s="358"/>
      <c r="C73" s="358"/>
      <c r="D73" s="358"/>
      <c r="E73" s="58"/>
      <c r="F73" s="58"/>
      <c r="G73" s="58"/>
      <c r="H73" s="58"/>
      <c r="I73" s="58"/>
      <c r="J73" s="58"/>
    </row>
    <row r="74" spans="1:20" ht="15" customHeight="1" thickBot="1" x14ac:dyDescent="0.25">
      <c r="A74" s="364"/>
      <c r="B74" s="328" t="s">
        <v>1748</v>
      </c>
      <c r="C74" s="365"/>
      <c r="D74" s="366"/>
      <c r="E74" s="56"/>
    </row>
    <row r="75" spans="1:20" ht="16.899999999999999" customHeight="1" x14ac:dyDescent="0.25">
      <c r="A75" s="344" t="s">
        <v>1749</v>
      </c>
      <c r="B75" s="345" t="s">
        <v>1715</v>
      </c>
      <c r="C75" s="331" t="s">
        <v>1477</v>
      </c>
      <c r="D75" s="332" t="s">
        <v>223</v>
      </c>
      <c r="E75" s="56"/>
      <c r="F75" s="392">
        <v>0</v>
      </c>
      <c r="G75" s="393" t="s">
        <v>1504</v>
      </c>
      <c r="H75" s="250"/>
      <c r="I75" s="392">
        <v>0</v>
      </c>
      <c r="J75" s="393" t="s">
        <v>1504</v>
      </c>
      <c r="K75" s="391">
        <v>5</v>
      </c>
      <c r="L75" s="412" t="s">
        <v>1718</v>
      </c>
      <c r="T75" s="346">
        <f t="shared" ref="T75:T83" si="1">K75/9</f>
        <v>0.55555555555555558</v>
      </c>
    </row>
    <row r="76" spans="1:20" ht="16.899999999999999" customHeight="1" x14ac:dyDescent="0.25">
      <c r="A76" s="347" t="s">
        <v>1750</v>
      </c>
      <c r="B76" s="348" t="s">
        <v>1720</v>
      </c>
      <c r="C76" s="2" t="s">
        <v>1477</v>
      </c>
      <c r="D76" s="335" t="s">
        <v>223</v>
      </c>
      <c r="E76" s="56"/>
      <c r="F76" s="394">
        <v>0</v>
      </c>
      <c r="G76" s="395" t="s">
        <v>1504</v>
      </c>
      <c r="H76" s="250"/>
      <c r="I76" s="394">
        <v>0</v>
      </c>
      <c r="J76" s="395" t="s">
        <v>1504</v>
      </c>
      <c r="K76" s="391">
        <v>6</v>
      </c>
      <c r="L76" s="412" t="s">
        <v>1718</v>
      </c>
      <c r="T76" s="346">
        <f t="shared" si="1"/>
        <v>0.66666666666666663</v>
      </c>
    </row>
    <row r="77" spans="1:20" ht="16.899999999999999" customHeight="1" x14ac:dyDescent="0.25">
      <c r="A77" s="347" t="s">
        <v>1751</v>
      </c>
      <c r="B77" s="348" t="s">
        <v>1722</v>
      </c>
      <c r="C77" s="2" t="s">
        <v>1477</v>
      </c>
      <c r="D77" s="335" t="s">
        <v>223</v>
      </c>
      <c r="E77" s="56"/>
      <c r="F77" s="394">
        <v>0</v>
      </c>
      <c r="G77" s="395" t="s">
        <v>1504</v>
      </c>
      <c r="H77" s="250"/>
      <c r="I77" s="394">
        <v>0</v>
      </c>
      <c r="J77" s="395" t="s">
        <v>1504</v>
      </c>
      <c r="K77" s="391">
        <v>7</v>
      </c>
      <c r="L77" s="412" t="s">
        <v>1718</v>
      </c>
      <c r="T77" s="346">
        <f t="shared" si="1"/>
        <v>0.77777777777777779</v>
      </c>
    </row>
    <row r="78" spans="1:20" ht="16.899999999999999" customHeight="1" x14ac:dyDescent="0.25">
      <c r="A78" s="347" t="s">
        <v>1752</v>
      </c>
      <c r="B78" s="348" t="s">
        <v>1724</v>
      </c>
      <c r="C78" s="2" t="s">
        <v>1477</v>
      </c>
      <c r="D78" s="335" t="s">
        <v>223</v>
      </c>
      <c r="E78" s="56"/>
      <c r="F78" s="394">
        <v>0</v>
      </c>
      <c r="G78" s="395" t="s">
        <v>1504</v>
      </c>
      <c r="H78" s="250"/>
      <c r="I78" s="394">
        <v>0</v>
      </c>
      <c r="J78" s="395" t="s">
        <v>1504</v>
      </c>
      <c r="K78" s="391">
        <v>8</v>
      </c>
      <c r="L78" s="412" t="s">
        <v>1718</v>
      </c>
      <c r="T78" s="346">
        <f t="shared" si="1"/>
        <v>0.88888888888888884</v>
      </c>
    </row>
    <row r="79" spans="1:20" ht="16.899999999999999" customHeight="1" x14ac:dyDescent="0.25">
      <c r="A79" s="347" t="s">
        <v>1753</v>
      </c>
      <c r="B79" s="348" t="s">
        <v>1726</v>
      </c>
      <c r="C79" s="2" t="s">
        <v>1477</v>
      </c>
      <c r="D79" s="335" t="s">
        <v>223</v>
      </c>
      <c r="E79" s="56"/>
      <c r="F79" s="394">
        <v>0</v>
      </c>
      <c r="G79" s="395" t="s">
        <v>1504</v>
      </c>
      <c r="H79" s="250"/>
      <c r="I79" s="394">
        <v>0</v>
      </c>
      <c r="J79" s="395" t="s">
        <v>1504</v>
      </c>
      <c r="K79" s="391">
        <v>9</v>
      </c>
      <c r="L79" s="412" t="s">
        <v>1718</v>
      </c>
      <c r="T79" s="346">
        <f t="shared" si="1"/>
        <v>1</v>
      </c>
    </row>
    <row r="80" spans="1:20" ht="16.899999999999999" customHeight="1" x14ac:dyDescent="0.25">
      <c r="A80" s="347" t="s">
        <v>1754</v>
      </c>
      <c r="B80" s="348" t="s">
        <v>1728</v>
      </c>
      <c r="C80" s="2" t="s">
        <v>1477</v>
      </c>
      <c r="D80" s="335" t="s">
        <v>223</v>
      </c>
      <c r="E80" s="56"/>
      <c r="F80" s="394">
        <v>0</v>
      </c>
      <c r="G80" s="395" t="s">
        <v>1504</v>
      </c>
      <c r="H80" s="250"/>
      <c r="I80" s="394">
        <v>0</v>
      </c>
      <c r="J80" s="395" t="s">
        <v>1504</v>
      </c>
      <c r="K80" s="391">
        <v>11</v>
      </c>
      <c r="L80" s="412" t="s">
        <v>1718</v>
      </c>
      <c r="T80" s="346">
        <f t="shared" si="1"/>
        <v>1.2222222222222223</v>
      </c>
    </row>
    <row r="81" spans="1:20" ht="16.899999999999999" customHeight="1" x14ac:dyDescent="0.25">
      <c r="A81" s="347" t="s">
        <v>1755</v>
      </c>
      <c r="B81" s="348" t="s">
        <v>1730</v>
      </c>
      <c r="C81" s="2" t="s">
        <v>1477</v>
      </c>
      <c r="D81" s="335" t="s">
        <v>223</v>
      </c>
      <c r="E81" s="56"/>
      <c r="F81" s="394">
        <v>0</v>
      </c>
      <c r="G81" s="395" t="s">
        <v>1504</v>
      </c>
      <c r="H81" s="250"/>
      <c r="I81" s="394">
        <v>0</v>
      </c>
      <c r="J81" s="395" t="s">
        <v>1504</v>
      </c>
      <c r="K81" s="391">
        <v>13</v>
      </c>
      <c r="L81" s="412" t="s">
        <v>1718</v>
      </c>
      <c r="T81" s="346">
        <f t="shared" si="1"/>
        <v>1.4444444444444444</v>
      </c>
    </row>
    <row r="82" spans="1:20" ht="16.899999999999999" customHeight="1" x14ac:dyDescent="0.25">
      <c r="A82" s="347" t="s">
        <v>1756</v>
      </c>
      <c r="B82" s="348" t="s">
        <v>1732</v>
      </c>
      <c r="C82" s="2" t="s">
        <v>1477</v>
      </c>
      <c r="D82" s="335" t="s">
        <v>223</v>
      </c>
      <c r="E82" s="56"/>
      <c r="F82" s="394">
        <v>0</v>
      </c>
      <c r="G82" s="395" t="s">
        <v>1504</v>
      </c>
      <c r="H82" s="250"/>
      <c r="I82" s="394">
        <v>0</v>
      </c>
      <c r="J82" s="395" t="s">
        <v>1504</v>
      </c>
      <c r="K82" s="391">
        <v>15</v>
      </c>
      <c r="L82" s="412" t="s">
        <v>1718</v>
      </c>
      <c r="T82" s="346">
        <f t="shared" si="1"/>
        <v>1.6666666666666667</v>
      </c>
    </row>
    <row r="83" spans="1:20" ht="16.899999999999999" customHeight="1" x14ac:dyDescent="0.25">
      <c r="A83" s="347" t="s">
        <v>1757</v>
      </c>
      <c r="B83" s="348" t="s">
        <v>1734</v>
      </c>
      <c r="C83" s="2" t="s">
        <v>1477</v>
      </c>
      <c r="D83" s="335" t="s">
        <v>223</v>
      </c>
      <c r="E83" s="56"/>
      <c r="F83" s="394">
        <v>0</v>
      </c>
      <c r="G83" s="395" t="s">
        <v>1504</v>
      </c>
      <c r="H83" s="250"/>
      <c r="I83" s="394">
        <v>0</v>
      </c>
      <c r="J83" s="395" t="s">
        <v>1504</v>
      </c>
      <c r="K83" s="391">
        <v>18</v>
      </c>
      <c r="L83" s="412" t="s">
        <v>1718</v>
      </c>
      <c r="T83" s="346">
        <f t="shared" si="1"/>
        <v>2</v>
      </c>
    </row>
    <row r="84" spans="1:20" ht="14.1" customHeight="1" x14ac:dyDescent="0.25">
      <c r="A84" s="347" t="s">
        <v>1758</v>
      </c>
      <c r="B84" s="348" t="s">
        <v>1486</v>
      </c>
      <c r="C84" s="2" t="s">
        <v>1477</v>
      </c>
      <c r="D84" s="335" t="s">
        <v>190</v>
      </c>
      <c r="E84" s="56"/>
      <c r="F84" s="396">
        <f>SUM(F75:F83)</f>
        <v>0</v>
      </c>
      <c r="G84" s="395" t="s">
        <v>1504</v>
      </c>
      <c r="H84" s="250"/>
      <c r="I84" s="396">
        <f>SUM(I75:I83)</f>
        <v>0</v>
      </c>
      <c r="J84" s="395" t="s">
        <v>1504</v>
      </c>
      <c r="K84" s="250"/>
      <c r="L84" s="412" t="s">
        <v>1737</v>
      </c>
    </row>
    <row r="85" spans="1:20" ht="15" customHeight="1" thickBot="1" x14ac:dyDescent="0.3">
      <c r="A85" s="349" t="s">
        <v>1759</v>
      </c>
      <c r="B85" s="350" t="s">
        <v>1739</v>
      </c>
      <c r="C85" s="338" t="s">
        <v>1477</v>
      </c>
      <c r="D85" s="339" t="s">
        <v>190</v>
      </c>
      <c r="E85" s="56"/>
      <c r="F85" s="397">
        <f>SUMPRODUCT(F75:F83,T75:T83)</f>
        <v>0</v>
      </c>
      <c r="G85" s="398" t="s">
        <v>1504</v>
      </c>
      <c r="H85" s="250"/>
      <c r="I85" s="397">
        <f>SUMPRODUCT(I75:I83,T75:T83)</f>
        <v>0</v>
      </c>
      <c r="J85" s="398" t="s">
        <v>1504</v>
      </c>
      <c r="K85" s="250"/>
      <c r="L85" s="412" t="s">
        <v>1740</v>
      </c>
    </row>
    <row r="86" spans="1:20" ht="15" customHeight="1" thickBot="1" x14ac:dyDescent="0.25">
      <c r="A86" s="210"/>
      <c r="B86" s="358"/>
      <c r="C86" s="358"/>
      <c r="D86" s="358"/>
      <c r="F86" s="250"/>
      <c r="G86" s="250"/>
      <c r="I86" s="250"/>
      <c r="J86" s="250"/>
    </row>
    <row r="87" spans="1:20" ht="15" customHeight="1" thickBot="1" x14ac:dyDescent="0.25">
      <c r="A87" s="364"/>
      <c r="B87" s="328" t="s">
        <v>1760</v>
      </c>
      <c r="C87" s="370"/>
      <c r="D87" s="371"/>
      <c r="E87" s="372"/>
    </row>
    <row r="88" spans="1:20" ht="15" customHeight="1" thickBot="1" x14ac:dyDescent="0.3">
      <c r="A88" s="351" t="s">
        <v>1761</v>
      </c>
      <c r="B88" s="352" t="s">
        <v>1743</v>
      </c>
      <c r="C88" s="353" t="s">
        <v>1424</v>
      </c>
      <c r="D88" s="354" t="s">
        <v>223</v>
      </c>
      <c r="E88" s="372"/>
      <c r="F88" s="399">
        <v>0</v>
      </c>
      <c r="G88" s="400" t="s">
        <v>1504</v>
      </c>
      <c r="H88" s="250"/>
      <c r="I88" s="399">
        <v>0</v>
      </c>
      <c r="J88" s="400" t="s">
        <v>1504</v>
      </c>
      <c r="K88" s="250"/>
      <c r="L88" s="412" t="s">
        <v>1426</v>
      </c>
    </row>
    <row r="89" spans="1:20" ht="15" customHeight="1" thickBot="1" x14ac:dyDescent="0.25">
      <c r="A89" s="210"/>
      <c r="B89" s="358"/>
      <c r="C89" s="369"/>
      <c r="D89" s="369"/>
      <c r="F89" s="390"/>
      <c r="G89" s="250"/>
      <c r="I89" s="390"/>
      <c r="J89" s="250"/>
    </row>
    <row r="90" spans="1:20" ht="15" customHeight="1" thickBot="1" x14ac:dyDescent="0.25">
      <c r="A90" s="364"/>
      <c r="B90" s="328" t="s">
        <v>1762</v>
      </c>
      <c r="C90" s="370"/>
      <c r="D90" s="371"/>
      <c r="E90" s="372"/>
    </row>
    <row r="91" spans="1:20" ht="15" customHeight="1" thickBot="1" x14ac:dyDescent="0.3">
      <c r="A91" s="351" t="s">
        <v>1763</v>
      </c>
      <c r="B91" s="352" t="s">
        <v>189</v>
      </c>
      <c r="C91" s="353" t="s">
        <v>1424</v>
      </c>
      <c r="D91" s="354" t="s">
        <v>190</v>
      </c>
      <c r="E91" s="372"/>
      <c r="F91" s="401">
        <f>F85*F88</f>
        <v>0</v>
      </c>
      <c r="G91" s="400" t="s">
        <v>1504</v>
      </c>
      <c r="H91" s="250"/>
      <c r="I91" s="401">
        <f>I85*I88</f>
        <v>0</v>
      </c>
      <c r="J91" s="400" t="s">
        <v>1504</v>
      </c>
      <c r="K91" s="250"/>
      <c r="L91" s="412" t="s">
        <v>1764</v>
      </c>
    </row>
    <row r="92" spans="1:20" ht="14.1" customHeight="1" x14ac:dyDescent="0.2">
      <c r="A92" s="216"/>
      <c r="B92" s="58"/>
      <c r="C92" s="58"/>
      <c r="D92" s="58"/>
      <c r="F92" s="250"/>
      <c r="G92" s="250"/>
      <c r="I92" s="250"/>
      <c r="J92" s="250"/>
    </row>
    <row r="93" spans="1:20" ht="15" customHeight="1" thickBot="1" x14ac:dyDescent="0.25"/>
    <row r="94" spans="1:20" ht="14.1" customHeight="1" x14ac:dyDescent="0.2">
      <c r="B94" s="403"/>
      <c r="C94" s="404"/>
      <c r="D94" s="405"/>
      <c r="E94" s="250"/>
    </row>
    <row r="95" spans="1:20" ht="14.1" customHeight="1" x14ac:dyDescent="0.2">
      <c r="B95" s="406" t="s">
        <v>1536</v>
      </c>
      <c r="C95" s="383" t="s">
        <v>151</v>
      </c>
      <c r="D95" s="377"/>
      <c r="E95" s="250"/>
    </row>
    <row r="96" spans="1:20" ht="14.1" customHeight="1" x14ac:dyDescent="0.2">
      <c r="B96" s="406"/>
      <c r="D96" s="377"/>
      <c r="E96" s="250"/>
    </row>
    <row r="97" spans="2:5" ht="14.1" customHeight="1" x14ac:dyDescent="0.2">
      <c r="B97" s="406" t="s">
        <v>1537</v>
      </c>
      <c r="C97" s="383" t="s">
        <v>151</v>
      </c>
      <c r="D97" s="377"/>
      <c r="E97" s="250"/>
    </row>
    <row r="98" spans="2:5" ht="14.1" customHeight="1" x14ac:dyDescent="0.2">
      <c r="B98" s="406"/>
      <c r="D98" s="377"/>
      <c r="E98" s="250"/>
    </row>
    <row r="99" spans="2:5" ht="15" customHeight="1" thickBot="1" x14ac:dyDescent="0.25">
      <c r="B99" s="407" t="s">
        <v>1767</v>
      </c>
      <c r="C99" s="408" t="s">
        <v>826</v>
      </c>
      <c r="D99" s="409"/>
      <c r="E99" s="250"/>
    </row>
    <row r="100" spans="2:5" ht="14.1" customHeight="1" x14ac:dyDescent="0.2">
      <c r="B100" s="402"/>
      <c r="D100" s="402"/>
    </row>
    <row r="101" spans="2:5" ht="14.1" customHeight="1" x14ac:dyDescent="0.2"/>
    <row r="102" spans="2:5" ht="14.1" customHeight="1" x14ac:dyDescent="0.2"/>
    <row r="103" spans="2:5" ht="14.1" customHeight="1" x14ac:dyDescent="0.2"/>
    <row r="104" spans="2:5" ht="14.1" customHeight="1" x14ac:dyDescent="0.2"/>
    <row r="105" spans="2:5" ht="14.1" customHeight="1" x14ac:dyDescent="0.2"/>
    <row r="106" spans="2:5" ht="14.1" customHeight="1" x14ac:dyDescent="0.2"/>
    <row r="107" spans="2:5" ht="14.1" customHeight="1" x14ac:dyDescent="0.2"/>
    <row r="108" spans="2:5" ht="14.1" customHeight="1" x14ac:dyDescent="0.2"/>
    <row r="109" spans="2:5" ht="14.1" customHeight="1" x14ac:dyDescent="0.2"/>
    <row r="110" spans="2:5" ht="14.1" customHeight="1" x14ac:dyDescent="0.2"/>
    <row r="111" spans="2:5" ht="14.1" customHeight="1" x14ac:dyDescent="0.2"/>
    <row r="112" spans="2:5"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sheetData>
  <mergeCells count="4">
    <mergeCell ref="A1:B1"/>
    <mergeCell ref="A3:B3"/>
    <mergeCell ref="A6:B6"/>
    <mergeCell ref="A7:E7"/>
  </mergeCells>
  <dataValidations count="1">
    <dataValidation type="list" allowBlank="1" sqref="G61:G62 J61:J62 G91 G88 J68 J88 J91 J75:J85 G75:G85 G68" xr:uid="{00000000-0002-0000-0900-000000000000}">
      <formula1>#REF!</formula1>
    </dataValidation>
  </dataValidations>
  <pageMargins left="0.75" right="0.75" top="1" bottom="1" header="0.5" footer="0.5"/>
  <pageSetup paperSize="9" orientation="portrait" r:id="rId1"/>
  <headerFooter>
    <oddFooter>&amp;L_x000D_&amp;1#&amp;"Calibri"&amp;11&amp;K000000 SW Internal
Commercial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f592852341843f8bdfae7ca25eef972 xmlns="717ab7f6-fd44-4bc6-8ec0-b60b0dae7a6c">
      <Terms xmlns="http://schemas.microsoft.com/office/infopath/2007/PartnerControls"/>
    </cf592852341843f8bdfae7ca25eef972>
    <_ip_UnifiedCompliancePolicyUIAction xmlns="http://schemas.microsoft.com/sharepoint/v3" xsi:nil="true"/>
    <_ip_UnifiedCompliancePolicyProperties xmlns="http://schemas.microsoft.com/sharepoint/v3" xsi:nil="true"/>
    <bfc079fce85f491ab29dd2fc5176ac66 xmlns="dfc5cf3b-63a0-41eb-9e2d-d2b6491b4379">
      <Terms xmlns="http://schemas.microsoft.com/office/infopath/2007/PartnerControls"/>
    </bfc079fce85f491ab29dd2fc5176ac66>
    <lcf76f155ced4ddcb4097134ff3c332f xmlns="717ab7f6-fd44-4bc6-8ec0-b60b0dae7a6c">
      <Terms xmlns="http://schemas.microsoft.com/office/infopath/2007/PartnerControls"/>
    </lcf76f155ced4ddcb4097134ff3c332f>
    <TaxCatchAll xmlns="dfc5cf3b-63a0-41eb-9e2d-d2b6491b437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673E8A027AD84478D085E8578848EF7" ma:contentTypeVersion="23" ma:contentTypeDescription="Create a new document." ma:contentTypeScope="" ma:versionID="d060c0f9bea57fee1eb901fb80181251">
  <xsd:schema xmlns:xsd="http://www.w3.org/2001/XMLSchema" xmlns:xs="http://www.w3.org/2001/XMLSchema" xmlns:p="http://schemas.microsoft.com/office/2006/metadata/properties" xmlns:ns1="http://schemas.microsoft.com/sharepoint/v3" xmlns:ns2="717ab7f6-fd44-4bc6-8ec0-b60b0dae7a6c" xmlns:ns3="dfc5cf3b-63a0-41eb-9e2d-d2b6491b4379" targetNamespace="http://schemas.microsoft.com/office/2006/metadata/properties" ma:root="true" ma:fieldsID="5ddd18505cf7328d30431c3c1b31a951" ns1:_="" ns2:_="" ns3:_="">
    <xsd:import namespace="http://schemas.microsoft.com/sharepoint/v3"/>
    <xsd:import namespace="717ab7f6-fd44-4bc6-8ec0-b60b0dae7a6c"/>
    <xsd:import namespace="dfc5cf3b-63a0-41eb-9e2d-d2b6491b4379"/>
    <xsd:element name="properties">
      <xsd:complexType>
        <xsd:sequence>
          <xsd:element name="documentManagement">
            <xsd:complexType>
              <xsd:all>
                <xsd:element ref="ns2:cf592852341843f8bdfae7ca25eef972" minOccurs="0"/>
                <xsd:element ref="ns3:TaxCatchAll" minOccurs="0"/>
                <xsd:element ref="ns3:bfc079fce85f491ab29dd2fc5176ac66"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ab7f6-fd44-4bc6-8ec0-b60b0dae7a6c" elementFormDefault="qualified">
    <xsd:import namespace="http://schemas.microsoft.com/office/2006/documentManagement/types"/>
    <xsd:import namespace="http://schemas.microsoft.com/office/infopath/2007/PartnerControls"/>
    <xsd:element name="cf592852341843f8bdfae7ca25eef972" ma:index="9" nillable="true" ma:taxonomy="true" ma:internalName="cf592852341843f8bdfae7ca25eef972" ma:taxonomyFieldName="Data_x0020_Area" ma:displayName="Data Area" ma:indexed="true" ma:default="" ma:fieldId="{cf592852-3418-43f8-bdfa-e7ca25eef972}" ma:sspId="f924a736-b285-4c68-8cdb-5ccf3ff341b6" ma:termSetId="7a5625a2-4e1a-4ba2-934b-4b033497e6b1"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DateTaken" ma:index="27" nillable="true" ma:displayName="MediaServiceDateTaken" ma:description="" ma:hidden="true" ma:indexed="true" ma:internalName="MediaServiceDateTake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f924a736-b285-4c68-8cdb-5ccf3ff341b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bfc079fce85f491ab29dd2fc5176ac66" ma:index="12" nillable="true" ma:taxonomy="true" ma:internalName="bfc079fce85f491ab29dd2fc5176ac66" ma:taxonomyFieldName="Financial_x0020_Year" ma:displayName="Financial Year" ma:indexed="true" ma:default="" ma:fieldId="{bfc079fc-e85f-491a-b29d-d2fc5176ac66}" ma:sspId="f924a736-b285-4c68-8cdb-5ccf3ff341b6" ma:termSetId="e3db7dc0-d157-4e6b-95e0-f2d210bd78ba" ma:anchorId="00000000-0000-0000-0000-000000000000" ma:open="false" ma:isKeyword="false">
      <xsd:complexType>
        <xsd:sequence>
          <xsd:element ref="pc:Terms" minOccurs="0" maxOccurs="1"/>
        </xsd:sequence>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B71409-5DD2-4AD8-9BBF-533F38B3B829}">
  <ds:schemaRefs>
    <ds:schemaRef ds:uri="http://schemas.microsoft.com/office/2006/metadata/customXsn"/>
  </ds:schemaRefs>
</ds:datastoreItem>
</file>

<file path=customXml/itemProps2.xml><?xml version="1.0" encoding="utf-8"?>
<ds:datastoreItem xmlns:ds="http://schemas.openxmlformats.org/officeDocument/2006/customXml" ds:itemID="{C791DC41-F7BA-4886-90AB-018ECB4E4D4A}">
  <ds:schemaRefs>
    <ds:schemaRef ds:uri="http://schemas.microsoft.com/sharepoint/v3/contenttype/forms"/>
  </ds:schemaRefs>
</ds:datastoreItem>
</file>

<file path=customXml/itemProps3.xml><?xml version="1.0" encoding="utf-8"?>
<ds:datastoreItem xmlns:ds="http://schemas.openxmlformats.org/officeDocument/2006/customXml" ds:itemID="{982A38F3-BC5D-4B22-A587-E94661E8D5F7}">
  <ds:schemaRefs>
    <ds:schemaRef ds:uri="http://purl.org/dc/elements/1.1/"/>
    <ds:schemaRef ds:uri="dfc5cf3b-63a0-41eb-9e2d-d2b6491b4379"/>
    <ds:schemaRef ds:uri="http://purl.org/dc/terms/"/>
    <ds:schemaRef ds:uri="http://schemas.microsoft.com/sharepoint/v3"/>
    <ds:schemaRef ds:uri="http://purl.org/dc/dcmitype/"/>
    <ds:schemaRef ds:uri="http://schemas.microsoft.com/office/2006/metadata/properties"/>
    <ds:schemaRef ds:uri="717ab7f6-fd44-4bc6-8ec0-b60b0dae7a6c"/>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s>
</ds:datastoreItem>
</file>

<file path=customXml/itemProps4.xml><?xml version="1.0" encoding="utf-8"?>
<ds:datastoreItem xmlns:ds="http://schemas.openxmlformats.org/officeDocument/2006/customXml" ds:itemID="{4DF0E830-51DE-4A7A-9545-AC69FDFA6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7ab7f6-fd44-4bc6-8ec0-b60b0dae7a6c"/>
    <ds:schemaRef ds:uri="dfc5cf3b-63a0-41eb-9e2d-d2b6491b43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P1</vt:lpstr>
      <vt:lpstr>P2</vt:lpstr>
      <vt:lpstr>P2a</vt:lpstr>
      <vt:lpstr>P3</vt:lpstr>
      <vt:lpstr>P4</vt:lpstr>
      <vt:lpstr>P5</vt:lpstr>
      <vt:lpstr>P6</vt:lpstr>
      <vt:lpstr>'P1'!Print_Area</vt:lpstr>
      <vt:lpstr>'P2'!Print_Area</vt:lpstr>
      <vt:lpstr>P2a!Print_Area</vt:lpstr>
      <vt:lpstr>'P4'!Print_Area</vt:lpstr>
      <vt:lpstr>'P6'!Print_Area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2025-11-10T15:37:00Z</dcterms:created>
  <dcterms:modified xsi:type="dcterms:W3CDTF">2025-11-26T10:48:16Z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8726ee-aa22-4015-a145-38c9c7d44652_ContentBits">
    <vt:lpwstr>2</vt:lpwstr>
  </property>
  <property fmtid="{D5CDD505-2E9C-101B-9397-08002B2CF9AE}" pid="3" name="Data_x0020_Area">
    <vt:lpwstr/>
  </property>
  <property fmtid="{D5CDD505-2E9C-101B-9397-08002B2CF9AE}" pid="4" name="MSIP_Label_058726ee-aa22-4015-a145-38c9c7d44652_Tag">
    <vt:lpwstr>10, 0, 1, 2</vt:lpwstr>
  </property>
  <property fmtid="{D5CDD505-2E9C-101B-9397-08002B2CF9AE}" pid="5" name="MediaServiceImageTags">
    <vt:lpwstr/>
  </property>
  <property fmtid="{D5CDD505-2E9C-101B-9397-08002B2CF9AE}" pid="6" name="ContentTypeId">
    <vt:lpwstr>0x0101000673E8A027AD84478D085E8578848EF7</vt:lpwstr>
  </property>
  <property fmtid="{D5CDD505-2E9C-101B-9397-08002B2CF9AE}" pid="7" name="MSIP_Label_058726ee-aa22-4015-a145-38c9c7d44652_Method">
    <vt:lpwstr>Privileged</vt:lpwstr>
  </property>
  <property fmtid="{D5CDD505-2E9C-101B-9397-08002B2CF9AE}" pid="8" name="MSIP_Label_058726ee-aa22-4015-a145-38c9c7d44652_SiteId">
    <vt:lpwstr>f90bd2e7-b5c0-4b25-9e27-226ff8b6c17b</vt:lpwstr>
  </property>
  <property fmtid="{D5CDD505-2E9C-101B-9397-08002B2CF9AE}" pid="9" name="_dlc_DocIdItemGuid">
    <vt:lpwstr>3cffcf2a-6cf8-4221-bbf2-809e3098fcdb</vt:lpwstr>
  </property>
  <property fmtid="{D5CDD505-2E9C-101B-9397-08002B2CF9AE}" pid="10" name="Financial Year">
    <vt:lpwstr/>
  </property>
  <property fmtid="{D5CDD505-2E9C-101B-9397-08002B2CF9AE}" pid="11" name="MSIP_Label_058726ee-aa22-4015-a145-38c9c7d44652_SetDate">
    <vt:lpwstr>2025-06-24T08:36:38Z</vt:lpwstr>
  </property>
  <property fmtid="{D5CDD505-2E9C-101B-9397-08002B2CF9AE}" pid="12" name="MSIP_Label_058726ee-aa22-4015-a145-38c9c7d44652_ActionId">
    <vt:lpwstr>7040ea4d-6aa1-4176-8c84-df8c8fc42e6b</vt:lpwstr>
  </property>
  <property fmtid="{D5CDD505-2E9C-101B-9397-08002B2CF9AE}" pid="13" name="Financial_x0020_Year">
    <vt:lpwstr/>
  </property>
  <property fmtid="{D5CDD505-2E9C-101B-9397-08002B2CF9AE}" pid="14" name="Data Area">
    <vt:lpwstr/>
  </property>
  <property fmtid="{D5CDD505-2E9C-101B-9397-08002B2CF9AE}" pid="15" name="MSIP_Label_058726ee-aa22-4015-a145-38c9c7d44652_Enabled">
    <vt:lpwstr>true</vt:lpwstr>
  </property>
  <property fmtid="{D5CDD505-2E9C-101B-9397-08002B2CF9AE}" pid="16" name="MSIP_Label_058726ee-aa22-4015-a145-38c9c7d44652_Name">
    <vt:lpwstr>058726ee-aa22-4015-a145-38c9c7d44652</vt:lpwstr>
  </property>
</Properties>
</file>