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9"/>
  <workbookPr filterPrivacy="1"/>
  <xr:revisionPtr revIDLastSave="0" documentId="8_{6C383593-9DE0-4B6A-965B-39C4C35F2EC9}" xr6:coauthVersionLast="47" xr6:coauthVersionMax="47" xr10:uidLastSave="{00000000-0000-0000-0000-000000000000}"/>
  <bookViews>
    <workbookView xWindow="-110" yWindow="-110" windowWidth="38620" windowHeight="21220" tabRatio="728" xr2:uid="{00000000-000D-0000-FFFF-FFFF00000000}"/>
  </bookViews>
  <sheets>
    <sheet name="B1" sheetId="62" r:id="rId1"/>
    <sheet name="B2" sheetId="77" r:id="rId2"/>
    <sheet name="B3" sheetId="17" r:id="rId3"/>
    <sheet name="B3a" sheetId="38" r:id="rId4"/>
    <sheet name="B4" sheetId="26" r:id="rId5"/>
    <sheet name="B5" sheetId="54" r:id="rId6"/>
    <sheet name="B6" sheetId="70" r:id="rId7"/>
    <sheet name="B6A" sheetId="47" r:id="rId8"/>
    <sheet name="B7" sheetId="60" r:id="rId9"/>
    <sheet name="B8" sheetId="40" r:id="rId10"/>
    <sheet name="B9" sheetId="63" r:id="rId11"/>
    <sheet name="B9a" sheetId="64" r:id="rId12"/>
    <sheet name="B9b" sheetId="65" r:id="rId13"/>
    <sheet name="B9c" sheetId="66" r:id="rId14"/>
    <sheet name="B9d" sheetId="67" r:id="rId15"/>
    <sheet name="B9e" sheetId="68" r:id="rId16"/>
    <sheet name="B9f" sheetId="69" r:id="rId17"/>
    <sheet name="B10" sheetId="76" r:id="rId18"/>
    <sheet name="B11a" sheetId="72" r:id="rId19"/>
    <sheet name="B11b" sheetId="73" r:id="rId20"/>
    <sheet name="B11c" sheetId="74" r:id="rId21"/>
    <sheet name="B11d" sheetId="75" r:id="rId22"/>
    <sheet name="Report year index" sheetId="78" r:id="rId23"/>
  </sheets>
  <definedNames>
    <definedName name="_Calendaryear">'Report year index'!$B$7</definedName>
    <definedName name="_Calendaryearend">'Report year index'!$B$7</definedName>
    <definedName name="_xlnm._FilterDatabase" localSheetId="20" hidden="1">B11c!$B$13:$Y$34</definedName>
    <definedName name="_reportyear">'Report year index'!$B$4</definedName>
    <definedName name="_Reportyearminus1">'Report year index'!$B$3</definedName>
    <definedName name="_reportyearplus1">'Report year index'!$B$5</definedName>
    <definedName name="C_WSI">#REF!</definedName>
    <definedName name="_xlnm.Print_Area" localSheetId="21">B11d!$A$1:$H$120</definedName>
    <definedName name="_xlnm.Print_Area" localSheetId="1">'B2'!$A$1:$L$82</definedName>
    <definedName name="_xlnm.Print_Area" localSheetId="2">'B3'!$A$1:$K$61</definedName>
    <definedName name="_xlnm.Print_Area" localSheetId="6">'B6'!$A$1:$O$97</definedName>
    <definedName name="_xlnm.Print_Area" localSheetId="7">B6A!$A$1:$K$57</definedName>
    <definedName name="Register_Class">#REF!</definedName>
    <definedName name="Table_1" localSheetId="18">#REF!</definedName>
    <definedName name="Table_1" localSheetId="19">#REF!</definedName>
    <definedName name="Table_1" localSheetId="20">#REF!</definedName>
    <definedName name="Table_1" localSheetId="21">#REF!</definedName>
    <definedName name="Table_1" localSheetId="6">#REF!</definedName>
    <definedName name="Table_1">#REF!</definedName>
    <definedName name="Table_10" localSheetId="18">#REF!</definedName>
    <definedName name="Table_10" localSheetId="19">#REF!</definedName>
    <definedName name="Table_10" localSheetId="20">#REF!</definedName>
    <definedName name="Table_10" localSheetId="21">#REF!</definedName>
    <definedName name="Table_10" localSheetId="6">#REF!</definedName>
    <definedName name="Table_10">#REF!</definedName>
    <definedName name="Table_2" localSheetId="18">#REF!</definedName>
    <definedName name="Table_2" localSheetId="19">#REF!</definedName>
    <definedName name="Table_2" localSheetId="20">#REF!</definedName>
    <definedName name="Table_2" localSheetId="21">#REF!</definedName>
    <definedName name="Table_2" localSheetId="6">#REF!</definedName>
    <definedName name="Table_2">#REF!</definedName>
    <definedName name="Table_3" localSheetId="18">#REF!</definedName>
    <definedName name="Table_3" localSheetId="19">#REF!</definedName>
    <definedName name="Table_3" localSheetId="20">#REF!</definedName>
    <definedName name="Table_3" localSheetId="21">#REF!</definedName>
    <definedName name="Table_3" localSheetId="6">#REF!</definedName>
    <definedName name="Table_3">#REF!</definedName>
    <definedName name="Table_4" localSheetId="18">#REF!</definedName>
    <definedName name="Table_4" localSheetId="19">#REF!</definedName>
    <definedName name="Table_4" localSheetId="20">#REF!</definedName>
    <definedName name="Table_4" localSheetId="21">#REF!</definedName>
    <definedName name="Table_4" localSheetId="6">#REF!</definedName>
    <definedName name="Table_4">#REF!</definedName>
    <definedName name="Table_5" localSheetId="18">#REF!</definedName>
    <definedName name="Table_5" localSheetId="19">#REF!</definedName>
    <definedName name="Table_5" localSheetId="20">#REF!</definedName>
    <definedName name="Table_5" localSheetId="21">#REF!</definedName>
    <definedName name="Table_5" localSheetId="6">#REF!</definedName>
    <definedName name="Table_5">#REF!</definedName>
    <definedName name="Table_6" localSheetId="18">#REF!</definedName>
    <definedName name="Table_6" localSheetId="19">#REF!</definedName>
    <definedName name="Table_6" localSheetId="20">#REF!</definedName>
    <definedName name="Table_6" localSheetId="21">#REF!</definedName>
    <definedName name="Table_6" localSheetId="6">#REF!</definedName>
    <definedName name="Table_6">#REF!</definedName>
    <definedName name="Table_7" localSheetId="18">#REF!</definedName>
    <definedName name="Table_7" localSheetId="19">#REF!</definedName>
    <definedName name="Table_7" localSheetId="20">#REF!</definedName>
    <definedName name="Table_7" localSheetId="21">#REF!</definedName>
    <definedName name="Table_7" localSheetId="6">#REF!</definedName>
    <definedName name="Table_7">#REF!</definedName>
    <definedName name="Table_8" localSheetId="18">#REF!</definedName>
    <definedName name="Table_8" localSheetId="19">#REF!</definedName>
    <definedName name="Table_8" localSheetId="20">#REF!</definedName>
    <definedName name="Table_8" localSheetId="21">#REF!</definedName>
    <definedName name="Table_8" localSheetId="6">#REF!</definedName>
    <definedName name="Table_8">#REF!</definedName>
    <definedName name="Table_9" localSheetId="18">#REF!</definedName>
    <definedName name="Table_9" localSheetId="19">#REF!</definedName>
    <definedName name="Table_9" localSheetId="20">#REF!</definedName>
    <definedName name="Table_9" localSheetId="21">#REF!</definedName>
    <definedName name="Table_9" localSheetId="6">#REF!</definedName>
    <definedName name="Table_9">#REF!</definedName>
    <definedName name="TableCEM" localSheetId="18">#REF!</definedName>
    <definedName name="TableCEM" localSheetId="19">#REF!</definedName>
    <definedName name="TableCEM" localSheetId="20">#REF!</definedName>
    <definedName name="TableCEM" localSheetId="21">#REF!</definedName>
    <definedName name="TableCEM" localSheetId="6">#REF!</definedName>
    <definedName name="TableCEM" localSheetId="7">#REF!</definedName>
    <definedName name="TableCEM">#REF!</definedName>
    <definedName name="TableOPA" localSheetId="18">#REF!</definedName>
    <definedName name="TableOPA" localSheetId="19">#REF!</definedName>
    <definedName name="TableOPA" localSheetId="20">#REF!</definedName>
    <definedName name="TableOPA" localSheetId="21">#REF!</definedName>
    <definedName name="TableOPA" localSheetId="6">#REF!</definedName>
    <definedName name="TableOPA" localSheetId="7">#REF!</definedName>
    <definedName name="TableOP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0" i="70" l="1"/>
  <c r="G16" i="70"/>
  <c r="F31" i="76"/>
  <c r="G25" i="63"/>
  <c r="G72" i="70" l="1"/>
  <c r="N112" i="60"/>
  <c r="N113" i="60"/>
  <c r="N114" i="60"/>
  <c r="N115" i="60"/>
  <c r="N116" i="60"/>
  <c r="N117" i="60"/>
  <c r="N118" i="60"/>
  <c r="N119" i="60"/>
  <c r="N120" i="60"/>
  <c r="N121" i="60"/>
  <c r="N122" i="60"/>
  <c r="N106" i="60"/>
  <c r="N107" i="60"/>
  <c r="N108" i="60"/>
  <c r="N99" i="60"/>
  <c r="N100" i="60"/>
  <c r="N101" i="60"/>
  <c r="N102" i="60"/>
  <c r="N103" i="60"/>
  <c r="N104" i="60"/>
  <c r="N93" i="60"/>
  <c r="N94" i="60"/>
  <c r="N95" i="60"/>
  <c r="N96" i="60"/>
  <c r="N85" i="60"/>
  <c r="N86" i="60"/>
  <c r="N87" i="60"/>
  <c r="N88" i="60"/>
  <c r="N89" i="60"/>
  <c r="N90" i="60"/>
  <c r="N78" i="60"/>
  <c r="N79" i="60"/>
  <c r="N80" i="60"/>
  <c r="N81" i="60"/>
  <c r="N82" i="60"/>
  <c r="N71" i="60"/>
  <c r="N72" i="60"/>
  <c r="N73" i="60"/>
  <c r="N74" i="60"/>
  <c r="N75" i="60"/>
  <c r="N54" i="60"/>
  <c r="N55" i="60"/>
  <c r="N47" i="60"/>
  <c r="N48" i="60"/>
  <c r="N49" i="60"/>
  <c r="N50" i="60"/>
  <c r="N51" i="60"/>
  <c r="N41" i="60"/>
  <c r="N42" i="60"/>
  <c r="N43" i="60"/>
  <c r="N44" i="60"/>
  <c r="N31" i="60"/>
  <c r="N32" i="60"/>
  <c r="N33" i="60"/>
  <c r="N34" i="60"/>
  <c r="N35" i="60"/>
  <c r="N36" i="60"/>
  <c r="N37" i="60"/>
  <c r="N38" i="60"/>
  <c r="N21" i="60"/>
  <c r="N22" i="60"/>
  <c r="N23" i="60"/>
  <c r="N24" i="60"/>
  <c r="N25" i="60"/>
  <c r="N26" i="60"/>
  <c r="N27" i="60"/>
  <c r="N28" i="60"/>
  <c r="N16" i="60"/>
  <c r="N17" i="60"/>
  <c r="N18" i="60"/>
  <c r="N15" i="60"/>
  <c r="X24" i="76"/>
  <c r="F22" i="26"/>
  <c r="F21" i="26" s="1"/>
  <c r="X50" i="74" a="1"/>
  <c r="X50" i="74" s="1"/>
  <c r="F27" i="40"/>
  <c r="K16" i="63" l="1"/>
  <c r="J16" i="63"/>
  <c r="J17" i="63" s="1"/>
  <c r="I16" i="63"/>
  <c r="I18" i="63" s="1"/>
  <c r="I20" i="63" s="1" a="1"/>
  <c r="I20" i="63" s="1"/>
  <c r="H16" i="63"/>
  <c r="H18" i="63" s="1"/>
  <c r="H20" i="63" s="1" a="1"/>
  <c r="H20" i="63" s="1"/>
  <c r="G16" i="63"/>
  <c r="G18" i="63" s="1"/>
  <c r="G20" i="63" s="1" a="1"/>
  <c r="G20" i="63" s="1"/>
  <c r="F16" i="63"/>
  <c r="F22" i="40"/>
  <c r="T13" i="76"/>
  <c r="F28" i="47" l="1"/>
  <c r="F15" i="47" s="1"/>
  <c r="T14" i="76" l="1"/>
  <c r="F121" i="60"/>
  <c r="F115" i="60"/>
  <c r="F103" i="60"/>
  <c r="F89" i="60"/>
  <c r="F81" i="60"/>
  <c r="F74" i="60"/>
  <c r="F67" i="60"/>
  <c r="F57" i="60"/>
  <c r="F50" i="60"/>
  <c r="F27" i="60"/>
  <c r="F17" i="60"/>
  <c r="X52" i="74" a="1"/>
  <c r="X52" i="74" s="1"/>
  <c r="X49" i="74" l="1" a="1"/>
  <c r="X49" i="74" s="1"/>
  <c r="B8" i="74"/>
  <c r="J72" i="70" l="1"/>
  <c r="I42" i="54" l="1"/>
  <c r="F42" i="54"/>
  <c r="F64" i="54" l="1"/>
  <c r="F18" i="62"/>
  <c r="X51" i="74" a="1"/>
  <c r="X51" i="74" s="1"/>
  <c r="O9" i="74" l="1"/>
  <c r="O8" i="74"/>
  <c r="J7" i="72"/>
  <c r="B9" i="74"/>
  <c r="H7" i="73"/>
  <c r="K7" i="73"/>
  <c r="B7" i="78"/>
  <c r="A5" i="76"/>
  <c r="A3" i="76"/>
  <c r="A3" i="69"/>
  <c r="A3" i="68"/>
  <c r="A3" i="67"/>
  <c r="A3" i="66"/>
  <c r="A3" i="65"/>
  <c r="A3" i="64"/>
  <c r="A3" i="63"/>
  <c r="A3" i="40"/>
  <c r="A3" i="60"/>
  <c r="A3" i="47"/>
  <c r="A3" i="70"/>
  <c r="A3" i="54"/>
  <c r="A3" i="26"/>
  <c r="A3" i="38"/>
  <c r="A3" i="17"/>
  <c r="A3" i="77"/>
  <c r="A3" i="62"/>
  <c r="I12" i="40"/>
  <c r="F12" i="40"/>
  <c r="I12" i="60"/>
  <c r="F12" i="60"/>
  <c r="I12" i="47"/>
  <c r="F12" i="47"/>
  <c r="G12" i="70"/>
  <c r="M12" i="70"/>
  <c r="J12" i="70"/>
  <c r="I12" i="54"/>
  <c r="F12" i="54"/>
  <c r="I12" i="26"/>
  <c r="F12" i="26"/>
  <c r="I12" i="38"/>
  <c r="F12" i="38"/>
  <c r="I12" i="17"/>
  <c r="F12" i="17"/>
  <c r="J12" i="77"/>
  <c r="G12" i="77"/>
  <c r="I12" i="62"/>
  <c r="F12" i="62"/>
  <c r="I17" i="26" l="1"/>
  <c r="G50" i="70" l="1"/>
  <c r="G60" i="77"/>
  <c r="G62" i="77"/>
  <c r="G61" i="77"/>
  <c r="G63" i="77" l="1"/>
  <c r="J60" i="77" l="1"/>
  <c r="J62" i="77"/>
  <c r="J61" i="77"/>
  <c r="AB11" i="76"/>
  <c r="J63" i="77" l="1"/>
  <c r="M72" i="70"/>
  <c r="G78" i="70"/>
  <c r="X45" i="74" l="1"/>
  <c r="H61" i="73" l="1"/>
  <c r="K61" i="73"/>
  <c r="V24" i="76"/>
  <c r="P24" i="76"/>
  <c r="N24" i="76"/>
  <c r="H24" i="76"/>
  <c r="F24" i="76"/>
  <c r="AB23" i="76"/>
  <c r="L23" i="76"/>
  <c r="AB22" i="76"/>
  <c r="AB21" i="76"/>
  <c r="AB20" i="76"/>
  <c r="AB19" i="76"/>
  <c r="AB18" i="76"/>
  <c r="AB17" i="76"/>
  <c r="AB16" i="76"/>
  <c r="AB15" i="76"/>
  <c r="AB14" i="76"/>
  <c r="L14" i="76"/>
  <c r="AB13" i="76"/>
  <c r="L13" i="76"/>
  <c r="AB12" i="76"/>
  <c r="L24" i="76" l="1"/>
  <c r="AB24" i="76"/>
  <c r="T24" i="76"/>
  <c r="K45" i="74" l="1"/>
  <c r="K48" i="74" s="1"/>
  <c r="H57" i="73"/>
  <c r="F17" i="54" l="1"/>
  <c r="F22" i="47" l="1"/>
  <c r="N29" i="72"/>
  <c r="M29" i="72"/>
  <c r="L29" i="72"/>
  <c r="N28" i="72"/>
  <c r="M28" i="72"/>
  <c r="L28" i="72"/>
  <c r="F29" i="72"/>
  <c r="E29" i="72"/>
  <c r="D29" i="72"/>
  <c r="F28" i="72"/>
  <c r="E28" i="72"/>
  <c r="D28" i="72"/>
  <c r="O25" i="72"/>
  <c r="O24" i="72"/>
  <c r="O23" i="72"/>
  <c r="O22" i="72"/>
  <c r="O18" i="72"/>
  <c r="O16" i="72"/>
  <c r="O15" i="72"/>
  <c r="O14" i="72"/>
  <c r="O13" i="72"/>
  <c r="O12" i="72"/>
  <c r="O11" i="72"/>
  <c r="G18" i="72"/>
  <c r="G17" i="72"/>
  <c r="G16" i="72"/>
  <c r="G15" i="72"/>
  <c r="G13" i="72"/>
  <c r="G12" i="72"/>
  <c r="G11" i="72"/>
  <c r="L32" i="72" l="1"/>
  <c r="D33" i="72"/>
  <c r="L33" i="72"/>
  <c r="D32" i="72"/>
  <c r="F16" i="54"/>
  <c r="I64" i="54"/>
  <c r="H23" i="73" l="1"/>
  <c r="H35" i="73"/>
  <c r="K28" i="63"/>
  <c r="J28" i="63"/>
  <c r="I28" i="63"/>
  <c r="H28" i="63"/>
  <c r="G28" i="63"/>
  <c r="I27" i="60"/>
  <c r="J50" i="70" l="1"/>
  <c r="J33" i="70"/>
  <c r="G33" i="70"/>
  <c r="J30" i="70"/>
  <c r="J22" i="70"/>
  <c r="J21" i="70"/>
  <c r="J20" i="70"/>
  <c r="J18" i="70"/>
  <c r="J17" i="70"/>
  <c r="M33" i="70"/>
  <c r="M30" i="70"/>
  <c r="M22" i="70"/>
  <c r="M21" i="70"/>
  <c r="M20" i="70"/>
  <c r="I16" i="26" s="1"/>
  <c r="M18" i="70"/>
  <c r="G18" i="70"/>
  <c r="G17" i="70"/>
  <c r="J80" i="70" l="1"/>
  <c r="J34" i="70"/>
  <c r="M34" i="70"/>
  <c r="I45" i="54"/>
  <c r="F18" i="54"/>
  <c r="I16" i="54"/>
  <c r="I17" i="54"/>
  <c r="I18" i="54"/>
  <c r="J78" i="70" l="1"/>
  <c r="J19" i="70"/>
  <c r="I28" i="47"/>
  <c r="I15" i="47" s="1"/>
  <c r="J65" i="70" l="1"/>
  <c r="F41" i="17"/>
  <c r="F20" i="62"/>
  <c r="M50" i="70"/>
  <c r="M19" i="70"/>
  <c r="M17" i="70"/>
  <c r="I22" i="47"/>
  <c r="G30" i="70"/>
  <c r="F16" i="26"/>
  <c r="F17" i="26"/>
  <c r="I22" i="26"/>
  <c r="I21" i="26" s="1"/>
  <c r="G34" i="70" l="1"/>
  <c r="M80" i="70"/>
  <c r="M78" i="70" s="1"/>
  <c r="J63" i="70"/>
  <c r="F45" i="17"/>
  <c r="I20" i="54"/>
  <c r="M65" i="70"/>
  <c r="H41" i="73"/>
  <c r="K52" i="74" a="1"/>
  <c r="K52" i="74" s="1"/>
  <c r="K51" i="74" a="1"/>
  <c r="K51" i="74" s="1"/>
  <c r="K50" i="74" a="1"/>
  <c r="K50" i="74" s="1"/>
  <c r="X48" i="74"/>
  <c r="K49" i="74" a="1"/>
  <c r="K49" i="74" s="1"/>
  <c r="K57" i="73"/>
  <c r="K49" i="73"/>
  <c r="H49" i="73"/>
  <c r="K41" i="73"/>
  <c r="K35" i="73"/>
  <c r="K29" i="73"/>
  <c r="H29" i="73"/>
  <c r="K23" i="73"/>
  <c r="K17" i="73"/>
  <c r="H17" i="73"/>
  <c r="G25" i="72"/>
  <c r="G24" i="72"/>
  <c r="G23" i="72"/>
  <c r="G22" i="72"/>
  <c r="O17" i="72"/>
  <c r="G14" i="72"/>
  <c r="G65" i="70" l="1"/>
  <c r="G63" i="70" s="1"/>
  <c r="I59" i="54"/>
  <c r="I57" i="54" s="1"/>
  <c r="I15" i="54" s="1"/>
  <c r="M63" i="70"/>
  <c r="M16" i="70" s="1"/>
  <c r="F31" i="40"/>
  <c r="H25" i="63"/>
  <c r="I25" i="63"/>
  <c r="J25" i="63"/>
  <c r="K25" i="63"/>
  <c r="I121" i="60"/>
  <c r="I115" i="60"/>
  <c r="I103" i="60"/>
  <c r="I89" i="60"/>
  <c r="I81" i="60"/>
  <c r="I74" i="60"/>
  <c r="I67" i="60"/>
  <c r="I57" i="60"/>
  <c r="I50" i="60"/>
  <c r="I17" i="60"/>
  <c r="I26" i="63" l="1"/>
  <c r="H26" i="63"/>
  <c r="G26" i="63"/>
  <c r="K26" i="63"/>
  <c r="J26" i="63"/>
  <c r="G19" i="63"/>
  <c r="H19" i="63"/>
  <c r="I19" i="63"/>
  <c r="I27" i="63" l="1"/>
  <c r="H27" i="63"/>
  <c r="G27" i="63"/>
  <c r="K27" i="63"/>
  <c r="J27" i="63"/>
  <c r="N263" i="69"/>
  <c r="G263" i="69"/>
  <c r="F263" i="69"/>
  <c r="E263" i="69"/>
  <c r="D263" i="69"/>
  <c r="C263" i="69"/>
  <c r="H262" i="69"/>
  <c r="K262" i="69" s="1"/>
  <c r="O262" i="69" s="1"/>
  <c r="H261" i="69"/>
  <c r="K261" i="69" s="1"/>
  <c r="H260" i="69"/>
  <c r="K260" i="69" s="1"/>
  <c r="H259" i="69"/>
  <c r="K259" i="69" s="1"/>
  <c r="H258" i="69"/>
  <c r="K258" i="69" s="1"/>
  <c r="H257" i="69"/>
  <c r="K257" i="69" s="1"/>
  <c r="O257" i="69" s="1"/>
  <c r="H256" i="69"/>
  <c r="K256" i="69" s="1"/>
  <c r="H255" i="69"/>
  <c r="K255" i="69" s="1"/>
  <c r="H254" i="69"/>
  <c r="K254" i="69" s="1"/>
  <c r="H253" i="69"/>
  <c r="K253" i="69" s="1"/>
  <c r="M253" i="69" s="1"/>
  <c r="H252" i="69"/>
  <c r="K252" i="69" s="1"/>
  <c r="H251" i="69"/>
  <c r="K251" i="69" s="1"/>
  <c r="H250" i="69"/>
  <c r="K250" i="69" s="1"/>
  <c r="H249" i="69"/>
  <c r="K249" i="69" s="1"/>
  <c r="H248" i="69"/>
  <c r="K248" i="69" s="1"/>
  <c r="H247" i="69"/>
  <c r="K247" i="69" s="1"/>
  <c r="H246" i="69"/>
  <c r="K246" i="69" s="1"/>
  <c r="H245" i="69"/>
  <c r="K245" i="69" s="1"/>
  <c r="M245" i="69" s="1"/>
  <c r="H244" i="69"/>
  <c r="K244" i="69" s="1"/>
  <c r="H243" i="69"/>
  <c r="K243" i="69" s="1"/>
  <c r="H242" i="69"/>
  <c r="K242" i="69" s="1"/>
  <c r="H241" i="69"/>
  <c r="K241" i="69" s="1"/>
  <c r="H240" i="69"/>
  <c r="K240" i="69" s="1"/>
  <c r="H239" i="69"/>
  <c r="K239" i="69" s="1"/>
  <c r="H238" i="69"/>
  <c r="K238" i="69" s="1"/>
  <c r="H237" i="69"/>
  <c r="K237" i="69" s="1"/>
  <c r="H236" i="69"/>
  <c r="K236" i="69" s="1"/>
  <c r="H235" i="69"/>
  <c r="K235" i="69" s="1"/>
  <c r="H234" i="69"/>
  <c r="K234" i="69" s="1"/>
  <c r="H233" i="69"/>
  <c r="K233" i="69" s="1"/>
  <c r="H232" i="69"/>
  <c r="K232" i="69" s="1"/>
  <c r="H231" i="69"/>
  <c r="K231" i="69" s="1"/>
  <c r="O231" i="69" s="1"/>
  <c r="H230" i="69"/>
  <c r="K230" i="69" s="1"/>
  <c r="H229" i="69"/>
  <c r="K229" i="69" s="1"/>
  <c r="H228" i="69"/>
  <c r="K228" i="69" s="1"/>
  <c r="M228" i="69" s="1"/>
  <c r="H227" i="69"/>
  <c r="K227" i="69" s="1"/>
  <c r="H226" i="69"/>
  <c r="K226" i="69" s="1"/>
  <c r="H225" i="69"/>
  <c r="K225" i="69" s="1"/>
  <c r="O225" i="69" s="1"/>
  <c r="H224" i="69"/>
  <c r="K224" i="69" s="1"/>
  <c r="H223" i="69"/>
  <c r="K223" i="69" s="1"/>
  <c r="O223" i="69" s="1"/>
  <c r="H222" i="69"/>
  <c r="K222" i="69" s="1"/>
  <c r="H221" i="69"/>
  <c r="K221" i="69" s="1"/>
  <c r="H220" i="69"/>
  <c r="K220" i="69" s="1"/>
  <c r="M220" i="69" s="1"/>
  <c r="H219" i="69"/>
  <c r="K219" i="69" s="1"/>
  <c r="H218" i="69"/>
  <c r="K218" i="69" s="1"/>
  <c r="H217" i="69"/>
  <c r="K217" i="69" s="1"/>
  <c r="O217" i="69" s="1"/>
  <c r="H216" i="69"/>
  <c r="K216" i="69" s="1"/>
  <c r="H215" i="69"/>
  <c r="K215" i="69" s="1"/>
  <c r="O215" i="69" s="1"/>
  <c r="H214" i="69"/>
  <c r="K214" i="69" s="1"/>
  <c r="H213" i="69"/>
  <c r="K213" i="69" s="1"/>
  <c r="M213" i="69" s="1"/>
  <c r="H212" i="69"/>
  <c r="K212" i="69" s="1"/>
  <c r="M212" i="69" s="1"/>
  <c r="H211" i="69"/>
  <c r="K211" i="69" s="1"/>
  <c r="H210" i="69"/>
  <c r="K210" i="69" s="1"/>
  <c r="H209" i="69"/>
  <c r="K209" i="69" s="1"/>
  <c r="O209" i="69" s="1"/>
  <c r="H208" i="69"/>
  <c r="K208" i="69" s="1"/>
  <c r="H207" i="69"/>
  <c r="K207" i="69" s="1"/>
  <c r="O207" i="69" s="1"/>
  <c r="H206" i="69"/>
  <c r="K206" i="69" s="1"/>
  <c r="H205" i="69"/>
  <c r="K205" i="69" s="1"/>
  <c r="M205" i="69" s="1"/>
  <c r="H204" i="69"/>
  <c r="K204" i="69" s="1"/>
  <c r="H203" i="69"/>
  <c r="K203" i="69" s="1"/>
  <c r="H202" i="69"/>
  <c r="K202" i="69" s="1"/>
  <c r="H201" i="69"/>
  <c r="K201" i="69" s="1"/>
  <c r="O201" i="69" s="1"/>
  <c r="H200" i="69"/>
  <c r="K200" i="69" s="1"/>
  <c r="H199" i="69"/>
  <c r="K199" i="69" s="1"/>
  <c r="H198" i="69"/>
  <c r="K198" i="69" s="1"/>
  <c r="H197" i="69"/>
  <c r="K197" i="69" s="1"/>
  <c r="M197" i="69" s="1"/>
  <c r="H196" i="69"/>
  <c r="K196" i="69" s="1"/>
  <c r="H195" i="69"/>
  <c r="K195" i="69" s="1"/>
  <c r="H194" i="69"/>
  <c r="K194" i="69" s="1"/>
  <c r="H193" i="69"/>
  <c r="K193" i="69" s="1"/>
  <c r="O193" i="69" s="1"/>
  <c r="H192" i="69"/>
  <c r="K192" i="69" s="1"/>
  <c r="H191" i="69"/>
  <c r="K191" i="69" s="1"/>
  <c r="H190" i="69"/>
  <c r="K190" i="69" s="1"/>
  <c r="H189" i="69"/>
  <c r="K189" i="69" s="1"/>
  <c r="M189" i="69" s="1"/>
  <c r="H188" i="69"/>
  <c r="K188" i="69" s="1"/>
  <c r="H187" i="69"/>
  <c r="K187" i="69" s="1"/>
  <c r="H186" i="69"/>
  <c r="K186" i="69" s="1"/>
  <c r="H185" i="69"/>
  <c r="K185" i="69" s="1"/>
  <c r="H184" i="69"/>
  <c r="K184" i="69" s="1"/>
  <c r="H183" i="69"/>
  <c r="K183" i="69" s="1"/>
  <c r="H182" i="69"/>
  <c r="K182" i="69" s="1"/>
  <c r="H181" i="69"/>
  <c r="K181" i="69" s="1"/>
  <c r="M181" i="69" s="1"/>
  <c r="H180" i="69"/>
  <c r="K180" i="69" s="1"/>
  <c r="H179" i="69"/>
  <c r="K179" i="69" s="1"/>
  <c r="H178" i="69"/>
  <c r="K178" i="69" s="1"/>
  <c r="H177" i="69"/>
  <c r="K177" i="69" s="1"/>
  <c r="H176" i="69"/>
  <c r="K176" i="69" s="1"/>
  <c r="H175" i="69"/>
  <c r="K175" i="69" s="1"/>
  <c r="H174" i="69"/>
  <c r="K174" i="69" s="1"/>
  <c r="H173" i="69"/>
  <c r="K173" i="69" s="1"/>
  <c r="H172" i="69"/>
  <c r="K172" i="69" s="1"/>
  <c r="H171" i="69"/>
  <c r="K171" i="69" s="1"/>
  <c r="H170" i="69"/>
  <c r="K170" i="69" s="1"/>
  <c r="H169" i="69"/>
  <c r="K169" i="69" s="1"/>
  <c r="H168" i="69"/>
  <c r="K168" i="69" s="1"/>
  <c r="H167" i="69"/>
  <c r="K167" i="69" s="1"/>
  <c r="H166" i="69"/>
  <c r="K166" i="69" s="1"/>
  <c r="H165" i="69"/>
  <c r="K165" i="69" s="1"/>
  <c r="H164" i="69"/>
  <c r="K164" i="69" s="1"/>
  <c r="M164" i="69" s="1"/>
  <c r="H163" i="69"/>
  <c r="K163" i="69" s="1"/>
  <c r="H162" i="69"/>
  <c r="K162" i="69" s="1"/>
  <c r="H161" i="69"/>
  <c r="K161" i="69" s="1"/>
  <c r="O161" i="69" s="1"/>
  <c r="H160" i="69"/>
  <c r="K160" i="69" s="1"/>
  <c r="O160" i="69" s="1"/>
  <c r="H159" i="69"/>
  <c r="K159" i="69" s="1"/>
  <c r="H158" i="69"/>
  <c r="K158" i="69" s="1"/>
  <c r="H157" i="69"/>
  <c r="K157" i="69" s="1"/>
  <c r="M157" i="69" s="1"/>
  <c r="H156" i="69"/>
  <c r="K156" i="69" s="1"/>
  <c r="H155" i="69"/>
  <c r="K155" i="69" s="1"/>
  <c r="H154" i="69"/>
  <c r="K154" i="69" s="1"/>
  <c r="H153" i="69"/>
  <c r="K153" i="69" s="1"/>
  <c r="H152" i="69"/>
  <c r="K152" i="69" s="1"/>
  <c r="O152" i="69" s="1"/>
  <c r="H151" i="69"/>
  <c r="K151" i="69" s="1"/>
  <c r="O151" i="69" s="1"/>
  <c r="H150" i="69"/>
  <c r="K150" i="69" s="1"/>
  <c r="H149" i="69"/>
  <c r="K149" i="69" s="1"/>
  <c r="M149" i="69" s="1"/>
  <c r="H148" i="69"/>
  <c r="K148" i="69" s="1"/>
  <c r="H147" i="69"/>
  <c r="K147" i="69" s="1"/>
  <c r="H146" i="69"/>
  <c r="K146" i="69" s="1"/>
  <c r="H145" i="69"/>
  <c r="K145" i="69" s="1"/>
  <c r="O145" i="69" s="1"/>
  <c r="H144" i="69"/>
  <c r="K144" i="69" s="1"/>
  <c r="O144" i="69" s="1"/>
  <c r="H143" i="69"/>
  <c r="K143" i="69" s="1"/>
  <c r="O143" i="69" s="1"/>
  <c r="H142" i="69"/>
  <c r="K142" i="69" s="1"/>
  <c r="H141" i="69"/>
  <c r="K141" i="69" s="1"/>
  <c r="M141" i="69" s="1"/>
  <c r="H140" i="69"/>
  <c r="K140" i="69" s="1"/>
  <c r="M140" i="69" s="1"/>
  <c r="H139" i="69"/>
  <c r="K139" i="69" s="1"/>
  <c r="H138" i="69"/>
  <c r="K138" i="69" s="1"/>
  <c r="H137" i="69"/>
  <c r="K137" i="69" s="1"/>
  <c r="H136" i="69"/>
  <c r="K136" i="69" s="1"/>
  <c r="O136" i="69" s="1"/>
  <c r="H135" i="69"/>
  <c r="K135" i="69" s="1"/>
  <c r="H134" i="69"/>
  <c r="K134" i="69" s="1"/>
  <c r="H133" i="69"/>
  <c r="K133" i="69" s="1"/>
  <c r="M133" i="69" s="1"/>
  <c r="H132" i="69"/>
  <c r="K132" i="69" s="1"/>
  <c r="H131" i="69"/>
  <c r="K131" i="69" s="1"/>
  <c r="H130" i="69"/>
  <c r="K130" i="69" s="1"/>
  <c r="H129" i="69"/>
  <c r="K129" i="69" s="1"/>
  <c r="H128" i="69"/>
  <c r="K128" i="69" s="1"/>
  <c r="H127" i="69"/>
  <c r="K127" i="69" s="1"/>
  <c r="H126" i="69"/>
  <c r="K126" i="69" s="1"/>
  <c r="H125" i="69"/>
  <c r="K125" i="69" s="1"/>
  <c r="M125" i="69" s="1"/>
  <c r="H124" i="69"/>
  <c r="K124" i="69" s="1"/>
  <c r="H123" i="69"/>
  <c r="K123" i="69" s="1"/>
  <c r="H122" i="69"/>
  <c r="K122" i="69" s="1"/>
  <c r="H121" i="69"/>
  <c r="K121" i="69" s="1"/>
  <c r="H120" i="69"/>
  <c r="K120" i="69" s="1"/>
  <c r="H119" i="69"/>
  <c r="K119" i="69" s="1"/>
  <c r="H118" i="69"/>
  <c r="K118" i="69" s="1"/>
  <c r="H117" i="69"/>
  <c r="K117" i="69" s="1"/>
  <c r="M117" i="69" s="1"/>
  <c r="H116" i="69"/>
  <c r="K116" i="69" s="1"/>
  <c r="H115" i="69"/>
  <c r="K115" i="69" s="1"/>
  <c r="H114" i="69"/>
  <c r="K114" i="69" s="1"/>
  <c r="H113" i="69"/>
  <c r="K113" i="69" s="1"/>
  <c r="O113" i="69" s="1"/>
  <c r="H112" i="69"/>
  <c r="K112" i="69" s="1"/>
  <c r="O112" i="69" s="1"/>
  <c r="H111" i="69"/>
  <c r="K111" i="69" s="1"/>
  <c r="H110" i="69"/>
  <c r="K110" i="69" s="1"/>
  <c r="H109" i="69"/>
  <c r="K109" i="69" s="1"/>
  <c r="M109" i="69" s="1"/>
  <c r="H108" i="69"/>
  <c r="K108" i="69" s="1"/>
  <c r="H107" i="69"/>
  <c r="K107" i="69" s="1"/>
  <c r="H106" i="69"/>
  <c r="K106" i="69" s="1"/>
  <c r="H105" i="69"/>
  <c r="K105" i="69" s="1"/>
  <c r="O105" i="69" s="1"/>
  <c r="H104" i="69"/>
  <c r="K104" i="69" s="1"/>
  <c r="H103" i="69"/>
  <c r="K103" i="69" s="1"/>
  <c r="H102" i="69"/>
  <c r="K102" i="69" s="1"/>
  <c r="H101" i="69"/>
  <c r="K101" i="69" s="1"/>
  <c r="H100" i="69"/>
  <c r="K100" i="69" s="1"/>
  <c r="H99" i="69"/>
  <c r="K99" i="69" s="1"/>
  <c r="H98" i="69"/>
  <c r="K98" i="69" s="1"/>
  <c r="H97" i="69"/>
  <c r="K97" i="69" s="1"/>
  <c r="O97" i="69" s="1"/>
  <c r="H96" i="69"/>
  <c r="K96" i="69" s="1"/>
  <c r="H95" i="69"/>
  <c r="K95" i="69" s="1"/>
  <c r="O95" i="69" s="1"/>
  <c r="H94" i="69"/>
  <c r="K94" i="69" s="1"/>
  <c r="O94" i="69" s="1"/>
  <c r="H93" i="69"/>
  <c r="K93" i="69" s="1"/>
  <c r="H92" i="69"/>
  <c r="K92" i="69" s="1"/>
  <c r="H91" i="69"/>
  <c r="K91" i="69" s="1"/>
  <c r="H90" i="69"/>
  <c r="K90" i="69" s="1"/>
  <c r="H89" i="69"/>
  <c r="K89" i="69" s="1"/>
  <c r="O89" i="69" s="1"/>
  <c r="H88" i="69"/>
  <c r="K88" i="69" s="1"/>
  <c r="H87" i="69"/>
  <c r="K87" i="69" s="1"/>
  <c r="H86" i="69"/>
  <c r="K86" i="69" s="1"/>
  <c r="H85" i="69"/>
  <c r="K85" i="69" s="1"/>
  <c r="H84" i="69"/>
  <c r="K84" i="69" s="1"/>
  <c r="H83" i="69"/>
  <c r="K83" i="69" s="1"/>
  <c r="H82" i="69"/>
  <c r="K82" i="69" s="1"/>
  <c r="H81" i="69"/>
  <c r="K81" i="69" s="1"/>
  <c r="H80" i="69"/>
  <c r="K80" i="69" s="1"/>
  <c r="H79" i="69"/>
  <c r="K79" i="69" s="1"/>
  <c r="H78" i="69"/>
  <c r="K78" i="69" s="1"/>
  <c r="H77" i="69"/>
  <c r="K77" i="69" s="1"/>
  <c r="H76" i="69"/>
  <c r="K76" i="69" s="1"/>
  <c r="H75" i="69"/>
  <c r="K75" i="69" s="1"/>
  <c r="H74" i="69"/>
  <c r="K74" i="69" s="1"/>
  <c r="H73" i="69"/>
  <c r="K73" i="69" s="1"/>
  <c r="H72" i="69"/>
  <c r="K72" i="69" s="1"/>
  <c r="O72" i="69" s="1"/>
  <c r="H71" i="69"/>
  <c r="K71" i="69" s="1"/>
  <c r="H70" i="69"/>
  <c r="K70" i="69" s="1"/>
  <c r="H69" i="69"/>
  <c r="K69" i="69" s="1"/>
  <c r="H68" i="69"/>
  <c r="K68" i="69" s="1"/>
  <c r="H67" i="69"/>
  <c r="K67" i="69" s="1"/>
  <c r="H66" i="69"/>
  <c r="K66" i="69" s="1"/>
  <c r="H65" i="69"/>
  <c r="K65" i="69" s="1"/>
  <c r="H64" i="69"/>
  <c r="K64" i="69" s="1"/>
  <c r="O64" i="69" s="1"/>
  <c r="H63" i="69"/>
  <c r="K63" i="69" s="1"/>
  <c r="H62" i="69"/>
  <c r="K62" i="69" s="1"/>
  <c r="H61" i="69"/>
  <c r="K61" i="69" s="1"/>
  <c r="H60" i="69"/>
  <c r="K60" i="69" s="1"/>
  <c r="H59" i="69"/>
  <c r="K59" i="69" s="1"/>
  <c r="H58" i="69"/>
  <c r="K58" i="69" s="1"/>
  <c r="H57" i="69"/>
  <c r="K57" i="69" s="1"/>
  <c r="M57" i="69" s="1"/>
  <c r="H56" i="69"/>
  <c r="K56" i="69" s="1"/>
  <c r="H55" i="69"/>
  <c r="K55" i="69" s="1"/>
  <c r="H54" i="69"/>
  <c r="K54" i="69" s="1"/>
  <c r="H53" i="69"/>
  <c r="K53" i="69" s="1"/>
  <c r="H52" i="69"/>
  <c r="K52" i="69" s="1"/>
  <c r="H51" i="69"/>
  <c r="K51" i="69" s="1"/>
  <c r="H50" i="69"/>
  <c r="K50" i="69" s="1"/>
  <c r="H49" i="69"/>
  <c r="K49" i="69" s="1"/>
  <c r="M49" i="69" s="1"/>
  <c r="H48" i="69"/>
  <c r="K48" i="69" s="1"/>
  <c r="O48" i="69" s="1"/>
  <c r="H47" i="69"/>
  <c r="K47" i="69" s="1"/>
  <c r="H46" i="69"/>
  <c r="K46" i="69" s="1"/>
  <c r="H45" i="69"/>
  <c r="K45" i="69" s="1"/>
  <c r="H44" i="69"/>
  <c r="K44" i="69" s="1"/>
  <c r="H43" i="69"/>
  <c r="K43" i="69" s="1"/>
  <c r="H42" i="69"/>
  <c r="K42" i="69" s="1"/>
  <c r="H41" i="69"/>
  <c r="K41" i="69" s="1"/>
  <c r="O41" i="69" s="1"/>
  <c r="H40" i="69"/>
  <c r="K40" i="69" s="1"/>
  <c r="O40" i="69" s="1"/>
  <c r="H39" i="69"/>
  <c r="K39" i="69" s="1"/>
  <c r="H38" i="69"/>
  <c r="K38" i="69" s="1"/>
  <c r="H37" i="69"/>
  <c r="K37" i="69" s="1"/>
  <c r="H36" i="69"/>
  <c r="K36" i="69" s="1"/>
  <c r="H35" i="69"/>
  <c r="K35" i="69" s="1"/>
  <c r="H34" i="69"/>
  <c r="K34" i="69" s="1"/>
  <c r="H33" i="69"/>
  <c r="K33" i="69" s="1"/>
  <c r="H32" i="69"/>
  <c r="K32" i="69" s="1"/>
  <c r="O32" i="69" s="1"/>
  <c r="H31" i="69"/>
  <c r="K31" i="69" s="1"/>
  <c r="H30" i="69"/>
  <c r="K30" i="69" s="1"/>
  <c r="H29" i="69"/>
  <c r="K29" i="69" s="1"/>
  <c r="H28" i="69"/>
  <c r="K28" i="69" s="1"/>
  <c r="H27" i="69"/>
  <c r="K27" i="69" s="1"/>
  <c r="H26" i="69"/>
  <c r="K26" i="69" s="1"/>
  <c r="H25" i="69"/>
  <c r="K25" i="69" s="1"/>
  <c r="O25" i="69" s="1"/>
  <c r="H24" i="69"/>
  <c r="K24" i="69" s="1"/>
  <c r="H23" i="69"/>
  <c r="K23" i="69" s="1"/>
  <c r="H22" i="69"/>
  <c r="K22" i="69" s="1"/>
  <c r="H21" i="69"/>
  <c r="K21" i="69" s="1"/>
  <c r="H20" i="69"/>
  <c r="K20" i="69" s="1"/>
  <c r="H19" i="69"/>
  <c r="K19" i="69" s="1"/>
  <c r="H18" i="69"/>
  <c r="K18" i="69" s="1"/>
  <c r="H17" i="69"/>
  <c r="K17" i="69" s="1"/>
  <c r="M17" i="69" s="1"/>
  <c r="H16" i="69"/>
  <c r="K16" i="69" s="1"/>
  <c r="O16" i="69" s="1"/>
  <c r="H15" i="69"/>
  <c r="K15" i="69" s="1"/>
  <c r="H14" i="69"/>
  <c r="K14" i="69" s="1"/>
  <c r="H13" i="69"/>
  <c r="K13" i="69" s="1"/>
  <c r="N263" i="68"/>
  <c r="G263" i="68"/>
  <c r="F263" i="68"/>
  <c r="E263" i="68"/>
  <c r="D263" i="68"/>
  <c r="C263" i="68"/>
  <c r="H262" i="68"/>
  <c r="K262" i="68" s="1"/>
  <c r="H261" i="68"/>
  <c r="K261" i="68" s="1"/>
  <c r="H260" i="68"/>
  <c r="K260" i="68" s="1"/>
  <c r="O260" i="68" s="1"/>
  <c r="H259" i="68"/>
  <c r="K259" i="68" s="1"/>
  <c r="H258" i="68"/>
  <c r="K258" i="68" s="1"/>
  <c r="H257" i="68"/>
  <c r="K257" i="68" s="1"/>
  <c r="H256" i="68"/>
  <c r="K256" i="68" s="1"/>
  <c r="H255" i="68"/>
  <c r="K255" i="68" s="1"/>
  <c r="H254" i="68"/>
  <c r="K254" i="68" s="1"/>
  <c r="H253" i="68"/>
  <c r="K253" i="68" s="1"/>
  <c r="H252" i="68"/>
  <c r="K252" i="68" s="1"/>
  <c r="O252" i="68" s="1"/>
  <c r="H251" i="68"/>
  <c r="K251" i="68" s="1"/>
  <c r="H250" i="68"/>
  <c r="K250" i="68" s="1"/>
  <c r="O250" i="68" s="1"/>
  <c r="H249" i="68"/>
  <c r="K249" i="68" s="1"/>
  <c r="H248" i="68"/>
  <c r="K248" i="68" s="1"/>
  <c r="H247" i="68"/>
  <c r="K247" i="68" s="1"/>
  <c r="M247" i="68" s="1"/>
  <c r="H246" i="68"/>
  <c r="K246" i="68" s="1"/>
  <c r="H245" i="68"/>
  <c r="K245" i="68" s="1"/>
  <c r="H244" i="68"/>
  <c r="K244" i="68" s="1"/>
  <c r="H243" i="68"/>
  <c r="K243" i="68" s="1"/>
  <c r="H242" i="68"/>
  <c r="K242" i="68" s="1"/>
  <c r="H241" i="68"/>
  <c r="K241" i="68" s="1"/>
  <c r="H240" i="68"/>
  <c r="K240" i="68" s="1"/>
  <c r="H239" i="68"/>
  <c r="K239" i="68" s="1"/>
  <c r="H238" i="68"/>
  <c r="K238" i="68" s="1"/>
  <c r="H237" i="68"/>
  <c r="K237" i="68" s="1"/>
  <c r="H236" i="68"/>
  <c r="K236" i="68" s="1"/>
  <c r="O236" i="68" s="1"/>
  <c r="H235" i="68"/>
  <c r="K235" i="68" s="1"/>
  <c r="H234" i="68"/>
  <c r="K234" i="68" s="1"/>
  <c r="H233" i="68"/>
  <c r="K233" i="68" s="1"/>
  <c r="H232" i="68"/>
  <c r="K232" i="68" s="1"/>
  <c r="H231" i="68"/>
  <c r="K231" i="68" s="1"/>
  <c r="M231" i="68" s="1"/>
  <c r="H230" i="68"/>
  <c r="K230" i="68" s="1"/>
  <c r="H229" i="68"/>
  <c r="K229" i="68" s="1"/>
  <c r="H228" i="68"/>
  <c r="K228" i="68" s="1"/>
  <c r="O228" i="68" s="1"/>
  <c r="H227" i="68"/>
  <c r="K227" i="68" s="1"/>
  <c r="H226" i="68"/>
  <c r="K226" i="68" s="1"/>
  <c r="O226" i="68" s="1"/>
  <c r="H225" i="68"/>
  <c r="K225" i="68" s="1"/>
  <c r="H224" i="68"/>
  <c r="K224" i="68" s="1"/>
  <c r="H223" i="68"/>
  <c r="K223" i="68" s="1"/>
  <c r="H222" i="68"/>
  <c r="K222" i="68" s="1"/>
  <c r="H221" i="68"/>
  <c r="K221" i="68" s="1"/>
  <c r="H220" i="68"/>
  <c r="K220" i="68" s="1"/>
  <c r="O220" i="68" s="1"/>
  <c r="H219" i="68"/>
  <c r="K219" i="68" s="1"/>
  <c r="H218" i="68"/>
  <c r="K218" i="68" s="1"/>
  <c r="O218" i="68" s="1"/>
  <c r="H217" i="68"/>
  <c r="K217" i="68" s="1"/>
  <c r="H216" i="68"/>
  <c r="K216" i="68" s="1"/>
  <c r="H215" i="68"/>
  <c r="K215" i="68" s="1"/>
  <c r="H214" i="68"/>
  <c r="K214" i="68" s="1"/>
  <c r="H213" i="68"/>
  <c r="K213" i="68" s="1"/>
  <c r="H212" i="68"/>
  <c r="K212" i="68" s="1"/>
  <c r="H211" i="68"/>
  <c r="K211" i="68" s="1"/>
  <c r="H210" i="68"/>
  <c r="K210" i="68" s="1"/>
  <c r="H209" i="68"/>
  <c r="K209" i="68" s="1"/>
  <c r="H208" i="68"/>
  <c r="K208" i="68" s="1"/>
  <c r="H207" i="68"/>
  <c r="K207" i="68" s="1"/>
  <c r="M207" i="68" s="1"/>
  <c r="H206" i="68"/>
  <c r="K206" i="68" s="1"/>
  <c r="H205" i="68"/>
  <c r="K205" i="68" s="1"/>
  <c r="H204" i="68"/>
  <c r="K204" i="68" s="1"/>
  <c r="H203" i="68"/>
  <c r="K203" i="68" s="1"/>
  <c r="H202" i="68"/>
  <c r="K202" i="68" s="1"/>
  <c r="O202" i="68" s="1"/>
  <c r="H201" i="68"/>
  <c r="K201" i="68" s="1"/>
  <c r="H200" i="68"/>
  <c r="K200" i="68" s="1"/>
  <c r="H199" i="68"/>
  <c r="K199" i="68" s="1"/>
  <c r="M199" i="68" s="1"/>
  <c r="H198" i="68"/>
  <c r="K198" i="68" s="1"/>
  <c r="H197" i="68"/>
  <c r="K197" i="68" s="1"/>
  <c r="H196" i="68"/>
  <c r="K196" i="68" s="1"/>
  <c r="O196" i="68" s="1"/>
  <c r="H195" i="68"/>
  <c r="K195" i="68" s="1"/>
  <c r="H194" i="68"/>
  <c r="K194" i="68" s="1"/>
  <c r="H193" i="68"/>
  <c r="K193" i="68" s="1"/>
  <c r="H192" i="68"/>
  <c r="K192" i="68" s="1"/>
  <c r="H191" i="68"/>
  <c r="K191" i="68" s="1"/>
  <c r="H190" i="68"/>
  <c r="K190" i="68" s="1"/>
  <c r="H189" i="68"/>
  <c r="K189" i="68" s="1"/>
  <c r="H188" i="68"/>
  <c r="K188" i="68" s="1"/>
  <c r="H187" i="68"/>
  <c r="K187" i="68" s="1"/>
  <c r="H186" i="68"/>
  <c r="K186" i="68" s="1"/>
  <c r="O186" i="68" s="1"/>
  <c r="H185" i="68"/>
  <c r="K185" i="68" s="1"/>
  <c r="H184" i="68"/>
  <c r="K184" i="68" s="1"/>
  <c r="H183" i="68"/>
  <c r="K183" i="68" s="1"/>
  <c r="M183" i="68" s="1"/>
  <c r="H182" i="68"/>
  <c r="K182" i="68" s="1"/>
  <c r="H181" i="68"/>
  <c r="K181" i="68" s="1"/>
  <c r="H180" i="68"/>
  <c r="K180" i="68" s="1"/>
  <c r="H179" i="68"/>
  <c r="K179" i="68" s="1"/>
  <c r="H178" i="68"/>
  <c r="K178" i="68" s="1"/>
  <c r="H177" i="68"/>
  <c r="K177" i="68" s="1"/>
  <c r="H176" i="68"/>
  <c r="K176" i="68" s="1"/>
  <c r="H175" i="68"/>
  <c r="K175" i="68" s="1"/>
  <c r="M175" i="68" s="1"/>
  <c r="H174" i="68"/>
  <c r="K174" i="68" s="1"/>
  <c r="H173" i="68"/>
  <c r="K173" i="68" s="1"/>
  <c r="H172" i="68"/>
  <c r="K172" i="68" s="1"/>
  <c r="O172" i="68" s="1"/>
  <c r="H171" i="68"/>
  <c r="K171" i="68" s="1"/>
  <c r="H170" i="68"/>
  <c r="K170" i="68" s="1"/>
  <c r="H169" i="68"/>
  <c r="K169" i="68" s="1"/>
  <c r="H168" i="68"/>
  <c r="K168" i="68" s="1"/>
  <c r="H167" i="68"/>
  <c r="K167" i="68" s="1"/>
  <c r="M167" i="68" s="1"/>
  <c r="H166" i="68"/>
  <c r="K166" i="68" s="1"/>
  <c r="H165" i="68"/>
  <c r="K165" i="68" s="1"/>
  <c r="H164" i="68"/>
  <c r="K164" i="68" s="1"/>
  <c r="H163" i="68"/>
  <c r="K163" i="68" s="1"/>
  <c r="H162" i="68"/>
  <c r="K162" i="68" s="1"/>
  <c r="O162" i="68" s="1"/>
  <c r="H161" i="68"/>
  <c r="K161" i="68" s="1"/>
  <c r="H160" i="68"/>
  <c r="K160" i="68" s="1"/>
  <c r="H159" i="68"/>
  <c r="K159" i="68" s="1"/>
  <c r="H158" i="68"/>
  <c r="K158" i="68" s="1"/>
  <c r="H157" i="68"/>
  <c r="K157" i="68" s="1"/>
  <c r="H156" i="68"/>
  <c r="K156" i="68" s="1"/>
  <c r="H155" i="68"/>
  <c r="K155" i="68" s="1"/>
  <c r="H154" i="68"/>
  <c r="K154" i="68" s="1"/>
  <c r="O154" i="68" s="1"/>
  <c r="H153" i="68"/>
  <c r="K153" i="68" s="1"/>
  <c r="H152" i="68"/>
  <c r="K152" i="68" s="1"/>
  <c r="H151" i="68"/>
  <c r="K151" i="68" s="1"/>
  <c r="H150" i="68"/>
  <c r="K150" i="68" s="1"/>
  <c r="H149" i="68"/>
  <c r="K149" i="68" s="1"/>
  <c r="H148" i="68"/>
  <c r="K148" i="68" s="1"/>
  <c r="H147" i="68"/>
  <c r="K147" i="68" s="1"/>
  <c r="H146" i="68"/>
  <c r="K146" i="68" s="1"/>
  <c r="H145" i="68"/>
  <c r="K145" i="68" s="1"/>
  <c r="H144" i="68"/>
  <c r="K144" i="68" s="1"/>
  <c r="H143" i="68"/>
  <c r="K143" i="68" s="1"/>
  <c r="M143" i="68" s="1"/>
  <c r="H142" i="68"/>
  <c r="K142" i="68" s="1"/>
  <c r="H141" i="68"/>
  <c r="K141" i="68" s="1"/>
  <c r="H140" i="68"/>
  <c r="K140" i="68" s="1"/>
  <c r="H139" i="68"/>
  <c r="K139" i="68" s="1"/>
  <c r="H138" i="68"/>
  <c r="K138" i="68" s="1"/>
  <c r="O138" i="68" s="1"/>
  <c r="H137" i="68"/>
  <c r="K137" i="68" s="1"/>
  <c r="H136" i="68"/>
  <c r="K136" i="68" s="1"/>
  <c r="H135" i="68"/>
  <c r="K135" i="68" s="1"/>
  <c r="M135" i="68" s="1"/>
  <c r="H134" i="68"/>
  <c r="K134" i="68" s="1"/>
  <c r="H133" i="68"/>
  <c r="K133" i="68" s="1"/>
  <c r="H132" i="68"/>
  <c r="K132" i="68" s="1"/>
  <c r="O132" i="68" s="1"/>
  <c r="H131" i="68"/>
  <c r="K131" i="68" s="1"/>
  <c r="H130" i="68"/>
  <c r="K130" i="68" s="1"/>
  <c r="O130" i="68" s="1"/>
  <c r="H129" i="68"/>
  <c r="K129" i="68" s="1"/>
  <c r="H128" i="68"/>
  <c r="K128" i="68" s="1"/>
  <c r="H127" i="68"/>
  <c r="K127" i="68" s="1"/>
  <c r="H126" i="68"/>
  <c r="K126" i="68" s="1"/>
  <c r="H125" i="68"/>
  <c r="K125" i="68" s="1"/>
  <c r="H124" i="68"/>
  <c r="K124" i="68" s="1"/>
  <c r="H123" i="68"/>
  <c r="K123" i="68" s="1"/>
  <c r="H122" i="68"/>
  <c r="K122" i="68" s="1"/>
  <c r="O122" i="68" s="1"/>
  <c r="H121" i="68"/>
  <c r="K121" i="68" s="1"/>
  <c r="H120" i="68"/>
  <c r="K120" i="68" s="1"/>
  <c r="H119" i="68"/>
  <c r="K119" i="68" s="1"/>
  <c r="M119" i="68" s="1"/>
  <c r="H118" i="68"/>
  <c r="K118" i="68" s="1"/>
  <c r="H117" i="68"/>
  <c r="K117" i="68" s="1"/>
  <c r="H116" i="68"/>
  <c r="K116" i="68" s="1"/>
  <c r="H115" i="68"/>
  <c r="K115" i="68" s="1"/>
  <c r="H114" i="68"/>
  <c r="K114" i="68" s="1"/>
  <c r="H113" i="68"/>
  <c r="K113" i="68" s="1"/>
  <c r="H112" i="68"/>
  <c r="K112" i="68" s="1"/>
  <c r="H111" i="68"/>
  <c r="K111" i="68" s="1"/>
  <c r="M111" i="68" s="1"/>
  <c r="H110" i="68"/>
  <c r="K110" i="68" s="1"/>
  <c r="H109" i="68"/>
  <c r="K109" i="68" s="1"/>
  <c r="H108" i="68"/>
  <c r="K108" i="68" s="1"/>
  <c r="H107" i="68"/>
  <c r="K107" i="68" s="1"/>
  <c r="H106" i="68"/>
  <c r="K106" i="68" s="1"/>
  <c r="H105" i="68"/>
  <c r="K105" i="68" s="1"/>
  <c r="O105" i="68" s="1"/>
  <c r="H104" i="68"/>
  <c r="K104" i="68" s="1"/>
  <c r="H103" i="68"/>
  <c r="K103" i="68" s="1"/>
  <c r="M103" i="68" s="1"/>
  <c r="H102" i="68"/>
  <c r="K102" i="68" s="1"/>
  <c r="H101" i="68"/>
  <c r="K101" i="68" s="1"/>
  <c r="H100" i="68"/>
  <c r="K100" i="68" s="1"/>
  <c r="H99" i="68"/>
  <c r="K99" i="68" s="1"/>
  <c r="M99" i="68" s="1"/>
  <c r="H98" i="68"/>
  <c r="K98" i="68" s="1"/>
  <c r="H97" i="68"/>
  <c r="K97" i="68" s="1"/>
  <c r="O97" i="68" s="1"/>
  <c r="H96" i="68"/>
  <c r="K96" i="68" s="1"/>
  <c r="O96" i="68" s="1"/>
  <c r="H95" i="68"/>
  <c r="K95" i="68" s="1"/>
  <c r="O95" i="68" s="1"/>
  <c r="H94" i="68"/>
  <c r="K94" i="68" s="1"/>
  <c r="H93" i="68"/>
  <c r="K93" i="68" s="1"/>
  <c r="H92" i="68"/>
  <c r="K92" i="68" s="1"/>
  <c r="H91" i="68"/>
  <c r="K91" i="68" s="1"/>
  <c r="O91" i="68" s="1"/>
  <c r="H90" i="68"/>
  <c r="K90" i="68" s="1"/>
  <c r="H89" i="68"/>
  <c r="K89" i="68" s="1"/>
  <c r="H88" i="68"/>
  <c r="K88" i="68" s="1"/>
  <c r="H87" i="68"/>
  <c r="K87" i="68" s="1"/>
  <c r="H86" i="68"/>
  <c r="K86" i="68" s="1"/>
  <c r="H85" i="68"/>
  <c r="K85" i="68" s="1"/>
  <c r="H84" i="68"/>
  <c r="K84" i="68" s="1"/>
  <c r="H83" i="68"/>
  <c r="K83" i="68" s="1"/>
  <c r="O83" i="68" s="1"/>
  <c r="H82" i="68"/>
  <c r="K82" i="68" s="1"/>
  <c r="H81" i="68"/>
  <c r="K81" i="68" s="1"/>
  <c r="H80" i="68"/>
  <c r="K80" i="68" s="1"/>
  <c r="H79" i="68"/>
  <c r="K79" i="68" s="1"/>
  <c r="H78" i="68"/>
  <c r="K78" i="68" s="1"/>
  <c r="H77" i="68"/>
  <c r="K77" i="68" s="1"/>
  <c r="H76" i="68"/>
  <c r="K76" i="68" s="1"/>
  <c r="H75" i="68"/>
  <c r="K75" i="68" s="1"/>
  <c r="O75" i="68" s="1"/>
  <c r="H74" i="68"/>
  <c r="K74" i="68" s="1"/>
  <c r="H73" i="68"/>
  <c r="K73" i="68" s="1"/>
  <c r="H72" i="68"/>
  <c r="K72" i="68" s="1"/>
  <c r="H71" i="68"/>
  <c r="K71" i="68" s="1"/>
  <c r="O71" i="68" s="1"/>
  <c r="H70" i="68"/>
  <c r="K70" i="68" s="1"/>
  <c r="H69" i="68"/>
  <c r="K69" i="68" s="1"/>
  <c r="H68" i="68"/>
  <c r="K68" i="68" s="1"/>
  <c r="H67" i="68"/>
  <c r="K67" i="68" s="1"/>
  <c r="O67" i="68" s="1"/>
  <c r="H66" i="68"/>
  <c r="K66" i="68" s="1"/>
  <c r="H65" i="68"/>
  <c r="K65" i="68" s="1"/>
  <c r="H64" i="68"/>
  <c r="K64" i="68" s="1"/>
  <c r="H63" i="68"/>
  <c r="K63" i="68" s="1"/>
  <c r="O63" i="68" s="1"/>
  <c r="H62" i="68"/>
  <c r="K62" i="68" s="1"/>
  <c r="H61" i="68"/>
  <c r="K61" i="68" s="1"/>
  <c r="H60" i="68"/>
  <c r="K60" i="68" s="1"/>
  <c r="H59" i="68"/>
  <c r="K59" i="68" s="1"/>
  <c r="O59" i="68" s="1"/>
  <c r="H58" i="68"/>
  <c r="K58" i="68" s="1"/>
  <c r="H57" i="68"/>
  <c r="K57" i="68" s="1"/>
  <c r="H56" i="68"/>
  <c r="K56" i="68" s="1"/>
  <c r="H55" i="68"/>
  <c r="K55" i="68" s="1"/>
  <c r="O55" i="68" s="1"/>
  <c r="H54" i="68"/>
  <c r="K54" i="68" s="1"/>
  <c r="H53" i="68"/>
  <c r="K53" i="68" s="1"/>
  <c r="H52" i="68"/>
  <c r="K52" i="68" s="1"/>
  <c r="H51" i="68"/>
  <c r="K51" i="68" s="1"/>
  <c r="O51" i="68" s="1"/>
  <c r="H50" i="68"/>
  <c r="K50" i="68" s="1"/>
  <c r="H49" i="68"/>
  <c r="K49" i="68" s="1"/>
  <c r="H48" i="68"/>
  <c r="K48" i="68" s="1"/>
  <c r="H47" i="68"/>
  <c r="K47" i="68" s="1"/>
  <c r="O47" i="68" s="1"/>
  <c r="H46" i="68"/>
  <c r="K46" i="68" s="1"/>
  <c r="H45" i="68"/>
  <c r="K45" i="68" s="1"/>
  <c r="H44" i="68"/>
  <c r="K44" i="68" s="1"/>
  <c r="H43" i="68"/>
  <c r="K43" i="68" s="1"/>
  <c r="O43" i="68" s="1"/>
  <c r="H42" i="68"/>
  <c r="K42" i="68" s="1"/>
  <c r="H41" i="68"/>
  <c r="K41" i="68" s="1"/>
  <c r="H40" i="68"/>
  <c r="K40" i="68" s="1"/>
  <c r="H39" i="68"/>
  <c r="K39" i="68" s="1"/>
  <c r="O39" i="68" s="1"/>
  <c r="H38" i="68"/>
  <c r="K38" i="68" s="1"/>
  <c r="H37" i="68"/>
  <c r="K37" i="68" s="1"/>
  <c r="H36" i="68"/>
  <c r="K36" i="68" s="1"/>
  <c r="H35" i="68"/>
  <c r="K35" i="68" s="1"/>
  <c r="O35" i="68" s="1"/>
  <c r="H34" i="68"/>
  <c r="K34" i="68" s="1"/>
  <c r="H33" i="68"/>
  <c r="K33" i="68" s="1"/>
  <c r="H32" i="68"/>
  <c r="K32" i="68" s="1"/>
  <c r="H31" i="68"/>
  <c r="K31" i="68" s="1"/>
  <c r="O31" i="68" s="1"/>
  <c r="H30" i="68"/>
  <c r="K30" i="68" s="1"/>
  <c r="H29" i="68"/>
  <c r="K29" i="68" s="1"/>
  <c r="H28" i="68"/>
  <c r="K28" i="68" s="1"/>
  <c r="H27" i="68"/>
  <c r="K27" i="68" s="1"/>
  <c r="O27" i="68" s="1"/>
  <c r="H26" i="68"/>
  <c r="K26" i="68" s="1"/>
  <c r="H25" i="68"/>
  <c r="K25" i="68" s="1"/>
  <c r="H24" i="68"/>
  <c r="K24" i="68" s="1"/>
  <c r="H23" i="68"/>
  <c r="K23" i="68" s="1"/>
  <c r="H22" i="68"/>
  <c r="K22" i="68" s="1"/>
  <c r="H21" i="68"/>
  <c r="K21" i="68" s="1"/>
  <c r="H20" i="68"/>
  <c r="K20" i="68" s="1"/>
  <c r="H19" i="68"/>
  <c r="K19" i="68" s="1"/>
  <c r="O19" i="68" s="1"/>
  <c r="H18" i="68"/>
  <c r="K18" i="68" s="1"/>
  <c r="H17" i="68"/>
  <c r="K17" i="68" s="1"/>
  <c r="H16" i="68"/>
  <c r="K16" i="68" s="1"/>
  <c r="H15" i="68"/>
  <c r="K15" i="68" s="1"/>
  <c r="H14" i="68"/>
  <c r="K14" i="68" s="1"/>
  <c r="H13" i="68"/>
  <c r="K13" i="68" s="1"/>
  <c r="N263" i="67"/>
  <c r="G263" i="67"/>
  <c r="F263" i="67"/>
  <c r="E263" i="67"/>
  <c r="D263" i="67"/>
  <c r="C263" i="67"/>
  <c r="H262" i="67"/>
  <c r="K262" i="67" s="1"/>
  <c r="H261" i="67"/>
  <c r="K261" i="67" s="1"/>
  <c r="H260" i="67"/>
  <c r="K260" i="67" s="1"/>
  <c r="H259" i="67"/>
  <c r="K259" i="67" s="1"/>
  <c r="H258" i="67"/>
  <c r="K258" i="67" s="1"/>
  <c r="H257" i="67"/>
  <c r="K257" i="67" s="1"/>
  <c r="H256" i="67"/>
  <c r="K256" i="67" s="1"/>
  <c r="H255" i="67"/>
  <c r="K255" i="67" s="1"/>
  <c r="H254" i="67"/>
  <c r="K254" i="67" s="1"/>
  <c r="H253" i="67"/>
  <c r="K253" i="67" s="1"/>
  <c r="H252" i="67"/>
  <c r="K252" i="67" s="1"/>
  <c r="H251" i="67"/>
  <c r="K251" i="67" s="1"/>
  <c r="H250" i="67"/>
  <c r="K250" i="67" s="1"/>
  <c r="H249" i="67"/>
  <c r="K249" i="67" s="1"/>
  <c r="H248" i="67"/>
  <c r="K248" i="67" s="1"/>
  <c r="H247" i="67"/>
  <c r="K247" i="67" s="1"/>
  <c r="H246" i="67"/>
  <c r="K246" i="67" s="1"/>
  <c r="H245" i="67"/>
  <c r="K245" i="67" s="1"/>
  <c r="H244" i="67"/>
  <c r="K244" i="67" s="1"/>
  <c r="O244" i="67" s="1"/>
  <c r="H243" i="67"/>
  <c r="K243" i="67" s="1"/>
  <c r="O243" i="67" s="1"/>
  <c r="H242" i="67"/>
  <c r="K242" i="67" s="1"/>
  <c r="H241" i="67"/>
  <c r="K241" i="67" s="1"/>
  <c r="H240" i="67"/>
  <c r="K240" i="67" s="1"/>
  <c r="H239" i="67"/>
  <c r="K239" i="67" s="1"/>
  <c r="H238" i="67"/>
  <c r="K238" i="67" s="1"/>
  <c r="H237" i="67"/>
  <c r="K237" i="67" s="1"/>
  <c r="H236" i="67"/>
  <c r="K236" i="67" s="1"/>
  <c r="O236" i="67" s="1"/>
  <c r="H235" i="67"/>
  <c r="K235" i="67" s="1"/>
  <c r="O235" i="67" s="1"/>
  <c r="H234" i="67"/>
  <c r="K234" i="67" s="1"/>
  <c r="H233" i="67"/>
  <c r="K233" i="67" s="1"/>
  <c r="H232" i="67"/>
  <c r="K232" i="67" s="1"/>
  <c r="H231" i="67"/>
  <c r="K231" i="67" s="1"/>
  <c r="H230" i="67"/>
  <c r="K230" i="67" s="1"/>
  <c r="H229" i="67"/>
  <c r="K229" i="67" s="1"/>
  <c r="H228" i="67"/>
  <c r="K228" i="67" s="1"/>
  <c r="O228" i="67" s="1"/>
  <c r="H227" i="67"/>
  <c r="K227" i="67" s="1"/>
  <c r="O227" i="67" s="1"/>
  <c r="H226" i="67"/>
  <c r="K226" i="67" s="1"/>
  <c r="H225" i="67"/>
  <c r="K225" i="67" s="1"/>
  <c r="H224" i="67"/>
  <c r="K224" i="67" s="1"/>
  <c r="H223" i="67"/>
  <c r="K223" i="67" s="1"/>
  <c r="H222" i="67"/>
  <c r="K222" i="67" s="1"/>
  <c r="H221" i="67"/>
  <c r="K221" i="67" s="1"/>
  <c r="H220" i="67"/>
  <c r="K220" i="67" s="1"/>
  <c r="O220" i="67" s="1"/>
  <c r="H219" i="67"/>
  <c r="K219" i="67" s="1"/>
  <c r="O219" i="67" s="1"/>
  <c r="H218" i="67"/>
  <c r="K218" i="67" s="1"/>
  <c r="H217" i="67"/>
  <c r="K217" i="67" s="1"/>
  <c r="H216" i="67"/>
  <c r="K216" i="67" s="1"/>
  <c r="H215" i="67"/>
  <c r="K215" i="67" s="1"/>
  <c r="H214" i="67"/>
  <c r="K214" i="67" s="1"/>
  <c r="H213" i="67"/>
  <c r="K213" i="67" s="1"/>
  <c r="H212" i="67"/>
  <c r="K212" i="67" s="1"/>
  <c r="O212" i="67" s="1"/>
  <c r="H211" i="67"/>
  <c r="K211" i="67" s="1"/>
  <c r="O211" i="67" s="1"/>
  <c r="H210" i="67"/>
  <c r="K210" i="67" s="1"/>
  <c r="H209" i="67"/>
  <c r="K209" i="67" s="1"/>
  <c r="H208" i="67"/>
  <c r="K208" i="67" s="1"/>
  <c r="H207" i="67"/>
  <c r="K207" i="67" s="1"/>
  <c r="H206" i="67"/>
  <c r="K206" i="67" s="1"/>
  <c r="H205" i="67"/>
  <c r="K205" i="67" s="1"/>
  <c r="H204" i="67"/>
  <c r="K204" i="67" s="1"/>
  <c r="O204" i="67" s="1"/>
  <c r="H203" i="67"/>
  <c r="K203" i="67" s="1"/>
  <c r="O203" i="67" s="1"/>
  <c r="H202" i="67"/>
  <c r="K202" i="67" s="1"/>
  <c r="H201" i="67"/>
  <c r="K201" i="67" s="1"/>
  <c r="H200" i="67"/>
  <c r="K200" i="67" s="1"/>
  <c r="H199" i="67"/>
  <c r="K199" i="67" s="1"/>
  <c r="H198" i="67"/>
  <c r="K198" i="67" s="1"/>
  <c r="H197" i="67"/>
  <c r="K197" i="67" s="1"/>
  <c r="H196" i="67"/>
  <c r="K196" i="67" s="1"/>
  <c r="O196" i="67" s="1"/>
  <c r="H195" i="67"/>
  <c r="K195" i="67" s="1"/>
  <c r="O195" i="67" s="1"/>
  <c r="H194" i="67"/>
  <c r="K194" i="67" s="1"/>
  <c r="H193" i="67"/>
  <c r="K193" i="67" s="1"/>
  <c r="H192" i="67"/>
  <c r="K192" i="67" s="1"/>
  <c r="H191" i="67"/>
  <c r="K191" i="67" s="1"/>
  <c r="H190" i="67"/>
  <c r="K190" i="67" s="1"/>
  <c r="H189" i="67"/>
  <c r="K189" i="67" s="1"/>
  <c r="H188" i="67"/>
  <c r="K188" i="67" s="1"/>
  <c r="H187" i="67"/>
  <c r="K187" i="67" s="1"/>
  <c r="H186" i="67"/>
  <c r="K186" i="67" s="1"/>
  <c r="H185" i="67"/>
  <c r="K185" i="67" s="1"/>
  <c r="H184" i="67"/>
  <c r="K184" i="67" s="1"/>
  <c r="H183" i="67"/>
  <c r="K183" i="67" s="1"/>
  <c r="H182" i="67"/>
  <c r="K182" i="67" s="1"/>
  <c r="H181" i="67"/>
  <c r="K181" i="67" s="1"/>
  <c r="H180" i="67"/>
  <c r="K180" i="67" s="1"/>
  <c r="H179" i="67"/>
  <c r="K179" i="67" s="1"/>
  <c r="O179" i="67" s="1"/>
  <c r="H178" i="67"/>
  <c r="K178" i="67" s="1"/>
  <c r="H177" i="67"/>
  <c r="K177" i="67" s="1"/>
  <c r="H176" i="67"/>
  <c r="K176" i="67" s="1"/>
  <c r="H175" i="67"/>
  <c r="K175" i="67" s="1"/>
  <c r="H174" i="67"/>
  <c r="K174" i="67" s="1"/>
  <c r="H173" i="67"/>
  <c r="K173" i="67" s="1"/>
  <c r="H172" i="67"/>
  <c r="K172" i="67" s="1"/>
  <c r="H171" i="67"/>
  <c r="K171" i="67" s="1"/>
  <c r="H170" i="67"/>
  <c r="K170" i="67" s="1"/>
  <c r="H169" i="67"/>
  <c r="K169" i="67" s="1"/>
  <c r="H168" i="67"/>
  <c r="K168" i="67" s="1"/>
  <c r="H167" i="67"/>
  <c r="K167" i="67" s="1"/>
  <c r="H166" i="67"/>
  <c r="K166" i="67" s="1"/>
  <c r="H165" i="67"/>
  <c r="K165" i="67" s="1"/>
  <c r="H164" i="67"/>
  <c r="K164" i="67" s="1"/>
  <c r="H163" i="67"/>
  <c r="K163" i="67" s="1"/>
  <c r="H162" i="67"/>
  <c r="K162" i="67" s="1"/>
  <c r="H161" i="67"/>
  <c r="K161" i="67" s="1"/>
  <c r="H160" i="67"/>
  <c r="K160" i="67" s="1"/>
  <c r="H159" i="67"/>
  <c r="K159" i="67" s="1"/>
  <c r="H158" i="67"/>
  <c r="K158" i="67" s="1"/>
  <c r="H157" i="67"/>
  <c r="K157" i="67" s="1"/>
  <c r="H156" i="67"/>
  <c r="K156" i="67" s="1"/>
  <c r="H155" i="67"/>
  <c r="K155" i="67" s="1"/>
  <c r="H154" i="67"/>
  <c r="K154" i="67" s="1"/>
  <c r="H153" i="67"/>
  <c r="K153" i="67" s="1"/>
  <c r="H152" i="67"/>
  <c r="K152" i="67" s="1"/>
  <c r="H151" i="67"/>
  <c r="K151" i="67" s="1"/>
  <c r="H150" i="67"/>
  <c r="K150" i="67" s="1"/>
  <c r="H149" i="67"/>
  <c r="K149" i="67" s="1"/>
  <c r="H148" i="67"/>
  <c r="K148" i="67" s="1"/>
  <c r="O148" i="67" s="1"/>
  <c r="H147" i="67"/>
  <c r="K147" i="67" s="1"/>
  <c r="O147" i="67" s="1"/>
  <c r="H146" i="67"/>
  <c r="K146" i="67" s="1"/>
  <c r="H145" i="67"/>
  <c r="K145" i="67" s="1"/>
  <c r="H144" i="67"/>
  <c r="K144" i="67" s="1"/>
  <c r="H143" i="67"/>
  <c r="K143" i="67" s="1"/>
  <c r="H142" i="67"/>
  <c r="K142" i="67" s="1"/>
  <c r="H141" i="67"/>
  <c r="K141" i="67" s="1"/>
  <c r="H140" i="67"/>
  <c r="K140" i="67" s="1"/>
  <c r="H139" i="67"/>
  <c r="K139" i="67" s="1"/>
  <c r="O139" i="67" s="1"/>
  <c r="H138" i="67"/>
  <c r="K138" i="67" s="1"/>
  <c r="H137" i="67"/>
  <c r="K137" i="67" s="1"/>
  <c r="H136" i="67"/>
  <c r="K136" i="67" s="1"/>
  <c r="H135" i="67"/>
  <c r="K135" i="67" s="1"/>
  <c r="M135" i="67" s="1"/>
  <c r="H134" i="67"/>
  <c r="K134" i="67" s="1"/>
  <c r="H133" i="67"/>
  <c r="K133" i="67" s="1"/>
  <c r="H132" i="67"/>
  <c r="K132" i="67" s="1"/>
  <c r="O132" i="67" s="1"/>
  <c r="H131" i="67"/>
  <c r="K131" i="67" s="1"/>
  <c r="O131" i="67" s="1"/>
  <c r="H130" i="67"/>
  <c r="K130" i="67" s="1"/>
  <c r="H129" i="67"/>
  <c r="K129" i="67" s="1"/>
  <c r="H128" i="67"/>
  <c r="K128" i="67" s="1"/>
  <c r="H127" i="67"/>
  <c r="K127" i="67" s="1"/>
  <c r="H126" i="67"/>
  <c r="K126" i="67" s="1"/>
  <c r="H125" i="67"/>
  <c r="K125" i="67" s="1"/>
  <c r="H124" i="67"/>
  <c r="K124" i="67" s="1"/>
  <c r="H123" i="67"/>
  <c r="K123" i="67" s="1"/>
  <c r="O123" i="67" s="1"/>
  <c r="H122" i="67"/>
  <c r="K122" i="67" s="1"/>
  <c r="H121" i="67"/>
  <c r="K121" i="67" s="1"/>
  <c r="H120" i="67"/>
  <c r="K120" i="67" s="1"/>
  <c r="H119" i="67"/>
  <c r="K119" i="67" s="1"/>
  <c r="M119" i="67" s="1"/>
  <c r="H118" i="67"/>
  <c r="K118" i="67" s="1"/>
  <c r="H117" i="67"/>
  <c r="K117" i="67" s="1"/>
  <c r="H116" i="67"/>
  <c r="K116" i="67" s="1"/>
  <c r="H115" i="67"/>
  <c r="K115" i="67" s="1"/>
  <c r="O115" i="67" s="1"/>
  <c r="H114" i="67"/>
  <c r="K114" i="67" s="1"/>
  <c r="H113" i="67"/>
  <c r="K113" i="67" s="1"/>
  <c r="H112" i="67"/>
  <c r="K112" i="67" s="1"/>
  <c r="H111" i="67"/>
  <c r="K111" i="67" s="1"/>
  <c r="M111" i="67" s="1"/>
  <c r="H110" i="67"/>
  <c r="K110" i="67" s="1"/>
  <c r="H109" i="67"/>
  <c r="K109" i="67" s="1"/>
  <c r="H108" i="67"/>
  <c r="K108" i="67" s="1"/>
  <c r="H107" i="67"/>
  <c r="K107" i="67" s="1"/>
  <c r="O107" i="67" s="1"/>
  <c r="H106" i="67"/>
  <c r="K106" i="67" s="1"/>
  <c r="O106" i="67" s="1"/>
  <c r="H105" i="67"/>
  <c r="K105" i="67" s="1"/>
  <c r="M105" i="67" s="1"/>
  <c r="H104" i="67"/>
  <c r="K104" i="67" s="1"/>
  <c r="H103" i="67"/>
  <c r="K103" i="67" s="1"/>
  <c r="M103" i="67" s="1"/>
  <c r="H102" i="67"/>
  <c r="K102" i="67" s="1"/>
  <c r="H101" i="67"/>
  <c r="K101" i="67" s="1"/>
  <c r="H100" i="67"/>
  <c r="K100" i="67" s="1"/>
  <c r="H99" i="67"/>
  <c r="K99" i="67" s="1"/>
  <c r="H98" i="67"/>
  <c r="K98" i="67" s="1"/>
  <c r="O98" i="67" s="1"/>
  <c r="H97" i="67"/>
  <c r="K97" i="67" s="1"/>
  <c r="M97" i="67" s="1"/>
  <c r="H96" i="67"/>
  <c r="K96" i="67" s="1"/>
  <c r="H95" i="67"/>
  <c r="K95" i="67" s="1"/>
  <c r="M95" i="67" s="1"/>
  <c r="H94" i="67"/>
  <c r="K94" i="67" s="1"/>
  <c r="H93" i="67"/>
  <c r="K93" i="67" s="1"/>
  <c r="H92" i="67"/>
  <c r="K92" i="67" s="1"/>
  <c r="H91" i="67"/>
  <c r="K91" i="67" s="1"/>
  <c r="H90" i="67"/>
  <c r="K90" i="67" s="1"/>
  <c r="M90" i="67" s="1"/>
  <c r="H89" i="67"/>
  <c r="K89" i="67" s="1"/>
  <c r="H88" i="67"/>
  <c r="K88" i="67" s="1"/>
  <c r="H87" i="67"/>
  <c r="K87" i="67" s="1"/>
  <c r="H86" i="67"/>
  <c r="K86" i="67" s="1"/>
  <c r="O86" i="67" s="1"/>
  <c r="H85" i="67"/>
  <c r="K85" i="67" s="1"/>
  <c r="H84" i="67"/>
  <c r="K84" i="67" s="1"/>
  <c r="H83" i="67"/>
  <c r="K83" i="67" s="1"/>
  <c r="H82" i="67"/>
  <c r="K82" i="67" s="1"/>
  <c r="O82" i="67" s="1"/>
  <c r="H81" i="67"/>
  <c r="K81" i="67" s="1"/>
  <c r="H80" i="67"/>
  <c r="K80" i="67" s="1"/>
  <c r="H79" i="67"/>
  <c r="K79" i="67" s="1"/>
  <c r="H78" i="67"/>
  <c r="K78" i="67" s="1"/>
  <c r="O78" i="67" s="1"/>
  <c r="H77" i="67"/>
  <c r="K77" i="67" s="1"/>
  <c r="H76" i="67"/>
  <c r="K76" i="67" s="1"/>
  <c r="H75" i="67"/>
  <c r="K75" i="67" s="1"/>
  <c r="H74" i="67"/>
  <c r="K74" i="67" s="1"/>
  <c r="M74" i="67" s="1"/>
  <c r="H73" i="67"/>
  <c r="K73" i="67" s="1"/>
  <c r="H72" i="67"/>
  <c r="K72" i="67" s="1"/>
  <c r="H71" i="67"/>
  <c r="K71" i="67" s="1"/>
  <c r="H70" i="67"/>
  <c r="K70" i="67" s="1"/>
  <c r="O70" i="67" s="1"/>
  <c r="H69" i="67"/>
  <c r="K69" i="67" s="1"/>
  <c r="H68" i="67"/>
  <c r="K68" i="67" s="1"/>
  <c r="H67" i="67"/>
  <c r="K67" i="67" s="1"/>
  <c r="H66" i="67"/>
  <c r="K66" i="67" s="1"/>
  <c r="M66" i="67" s="1"/>
  <c r="H65" i="67"/>
  <c r="K65" i="67" s="1"/>
  <c r="H64" i="67"/>
  <c r="K64" i="67" s="1"/>
  <c r="H63" i="67"/>
  <c r="K63" i="67" s="1"/>
  <c r="H62" i="67"/>
  <c r="K62" i="67" s="1"/>
  <c r="O62" i="67" s="1"/>
  <c r="H61" i="67"/>
  <c r="K61" i="67" s="1"/>
  <c r="H60" i="67"/>
  <c r="K60" i="67" s="1"/>
  <c r="H59" i="67"/>
  <c r="K59" i="67" s="1"/>
  <c r="H58" i="67"/>
  <c r="K58" i="67" s="1"/>
  <c r="M58" i="67" s="1"/>
  <c r="H57" i="67"/>
  <c r="K57" i="67" s="1"/>
  <c r="H56" i="67"/>
  <c r="K56" i="67" s="1"/>
  <c r="H55" i="67"/>
  <c r="K55" i="67" s="1"/>
  <c r="H54" i="67"/>
  <c r="K54" i="67" s="1"/>
  <c r="O54" i="67" s="1"/>
  <c r="H53" i="67"/>
  <c r="K53" i="67" s="1"/>
  <c r="H52" i="67"/>
  <c r="K52" i="67" s="1"/>
  <c r="H51" i="67"/>
  <c r="K51" i="67" s="1"/>
  <c r="H50" i="67"/>
  <c r="K50" i="67" s="1"/>
  <c r="M50" i="67" s="1"/>
  <c r="H49" i="67"/>
  <c r="K49" i="67" s="1"/>
  <c r="H48" i="67"/>
  <c r="K48" i="67" s="1"/>
  <c r="H47" i="67"/>
  <c r="K47" i="67" s="1"/>
  <c r="H46" i="67"/>
  <c r="K46" i="67" s="1"/>
  <c r="O46" i="67" s="1"/>
  <c r="H45" i="67"/>
  <c r="K45" i="67" s="1"/>
  <c r="H44" i="67"/>
  <c r="K44" i="67" s="1"/>
  <c r="H43" i="67"/>
  <c r="K43" i="67" s="1"/>
  <c r="H42" i="67"/>
  <c r="K42" i="67" s="1"/>
  <c r="M42" i="67" s="1"/>
  <c r="H41" i="67"/>
  <c r="K41" i="67" s="1"/>
  <c r="H40" i="67"/>
  <c r="K40" i="67" s="1"/>
  <c r="H39" i="67"/>
  <c r="K39" i="67" s="1"/>
  <c r="H38" i="67"/>
  <c r="K38" i="67" s="1"/>
  <c r="O38" i="67" s="1"/>
  <c r="H37" i="67"/>
  <c r="K37" i="67" s="1"/>
  <c r="H36" i="67"/>
  <c r="K36" i="67" s="1"/>
  <c r="H35" i="67"/>
  <c r="K35" i="67" s="1"/>
  <c r="H34" i="67"/>
  <c r="K34" i="67" s="1"/>
  <c r="M34" i="67" s="1"/>
  <c r="H33" i="67"/>
  <c r="K33" i="67" s="1"/>
  <c r="H32" i="67"/>
  <c r="K32" i="67" s="1"/>
  <c r="H31" i="67"/>
  <c r="K31" i="67" s="1"/>
  <c r="H30" i="67"/>
  <c r="K30" i="67" s="1"/>
  <c r="O30" i="67" s="1"/>
  <c r="H29" i="67"/>
  <c r="K29" i="67" s="1"/>
  <c r="H28" i="67"/>
  <c r="K28" i="67" s="1"/>
  <c r="H27" i="67"/>
  <c r="K27" i="67" s="1"/>
  <c r="H26" i="67"/>
  <c r="K26" i="67" s="1"/>
  <c r="O26" i="67" s="1"/>
  <c r="H25" i="67"/>
  <c r="K25" i="67" s="1"/>
  <c r="H24" i="67"/>
  <c r="K24" i="67" s="1"/>
  <c r="H23" i="67"/>
  <c r="K23" i="67" s="1"/>
  <c r="H22" i="67"/>
  <c r="K22" i="67" s="1"/>
  <c r="O22" i="67" s="1"/>
  <c r="H21" i="67"/>
  <c r="K21" i="67" s="1"/>
  <c r="H20" i="67"/>
  <c r="K20" i="67" s="1"/>
  <c r="H19" i="67"/>
  <c r="K19" i="67" s="1"/>
  <c r="H18" i="67"/>
  <c r="K18" i="67" s="1"/>
  <c r="M18" i="67" s="1"/>
  <c r="H17" i="67"/>
  <c r="K17" i="67" s="1"/>
  <c r="H16" i="67"/>
  <c r="K16" i="67" s="1"/>
  <c r="H15" i="67"/>
  <c r="K15" i="67" s="1"/>
  <c r="H14" i="67"/>
  <c r="K14" i="67" s="1"/>
  <c r="O14" i="67" s="1"/>
  <c r="H13" i="67"/>
  <c r="K13" i="67" s="1"/>
  <c r="N263" i="66"/>
  <c r="G263" i="66"/>
  <c r="F263" i="66"/>
  <c r="E263" i="66"/>
  <c r="D263" i="66"/>
  <c r="C263" i="66"/>
  <c r="H262" i="66"/>
  <c r="K262" i="66" s="1"/>
  <c r="H261" i="66"/>
  <c r="K261" i="66" s="1"/>
  <c r="M261" i="66" s="1"/>
  <c r="H260" i="66"/>
  <c r="K260" i="66" s="1"/>
  <c r="H259" i="66"/>
  <c r="K259" i="66" s="1"/>
  <c r="H258" i="66"/>
  <c r="K258" i="66" s="1"/>
  <c r="H257" i="66"/>
  <c r="K257" i="66" s="1"/>
  <c r="H256" i="66"/>
  <c r="K256" i="66" s="1"/>
  <c r="H255" i="66"/>
  <c r="K255" i="66" s="1"/>
  <c r="H254" i="66"/>
  <c r="K254" i="66" s="1"/>
  <c r="H253" i="66"/>
  <c r="K253" i="66" s="1"/>
  <c r="H252" i="66"/>
  <c r="K252" i="66" s="1"/>
  <c r="H251" i="66"/>
  <c r="K251" i="66" s="1"/>
  <c r="O251" i="66" s="1"/>
  <c r="H250" i="66"/>
  <c r="K250" i="66" s="1"/>
  <c r="H249" i="66"/>
  <c r="K249" i="66" s="1"/>
  <c r="H248" i="66"/>
  <c r="K248" i="66" s="1"/>
  <c r="H247" i="66"/>
  <c r="K247" i="66" s="1"/>
  <c r="O247" i="66" s="1"/>
  <c r="H246" i="66"/>
  <c r="K246" i="66" s="1"/>
  <c r="H245" i="66"/>
  <c r="K245" i="66" s="1"/>
  <c r="H244" i="66"/>
  <c r="K244" i="66" s="1"/>
  <c r="H243" i="66"/>
  <c r="K243" i="66" s="1"/>
  <c r="O243" i="66" s="1"/>
  <c r="H242" i="66"/>
  <c r="K242" i="66" s="1"/>
  <c r="H241" i="66"/>
  <c r="K241" i="66" s="1"/>
  <c r="H240" i="66"/>
  <c r="K240" i="66" s="1"/>
  <c r="H239" i="66"/>
  <c r="K239" i="66" s="1"/>
  <c r="O239" i="66" s="1"/>
  <c r="H238" i="66"/>
  <c r="K238" i="66" s="1"/>
  <c r="H237" i="66"/>
  <c r="K237" i="66" s="1"/>
  <c r="H236" i="66"/>
  <c r="K236" i="66" s="1"/>
  <c r="H235" i="66"/>
  <c r="K235" i="66" s="1"/>
  <c r="O235" i="66" s="1"/>
  <c r="H234" i="66"/>
  <c r="K234" i="66" s="1"/>
  <c r="H233" i="66"/>
  <c r="K233" i="66" s="1"/>
  <c r="H232" i="66"/>
  <c r="K232" i="66" s="1"/>
  <c r="H231" i="66"/>
  <c r="K231" i="66" s="1"/>
  <c r="H230" i="66"/>
  <c r="K230" i="66" s="1"/>
  <c r="H229" i="66"/>
  <c r="K229" i="66" s="1"/>
  <c r="H228" i="66"/>
  <c r="K228" i="66" s="1"/>
  <c r="H227" i="66"/>
  <c r="K227" i="66" s="1"/>
  <c r="O227" i="66" s="1"/>
  <c r="H226" i="66"/>
  <c r="K226" i="66" s="1"/>
  <c r="O226" i="66" s="1"/>
  <c r="H225" i="66"/>
  <c r="K225" i="66" s="1"/>
  <c r="H224" i="66"/>
  <c r="K224" i="66" s="1"/>
  <c r="H223" i="66"/>
  <c r="K223" i="66" s="1"/>
  <c r="H222" i="66"/>
  <c r="K222" i="66" s="1"/>
  <c r="H221" i="66"/>
  <c r="K221" i="66" s="1"/>
  <c r="H220" i="66"/>
  <c r="K220" i="66" s="1"/>
  <c r="H219" i="66"/>
  <c r="K219" i="66" s="1"/>
  <c r="H218" i="66"/>
  <c r="K218" i="66" s="1"/>
  <c r="O218" i="66" s="1"/>
  <c r="H217" i="66"/>
  <c r="K217" i="66" s="1"/>
  <c r="H216" i="66"/>
  <c r="K216" i="66" s="1"/>
  <c r="H215" i="66"/>
  <c r="K215" i="66" s="1"/>
  <c r="O215" i="66" s="1"/>
  <c r="H214" i="66"/>
  <c r="K214" i="66" s="1"/>
  <c r="H213" i="66"/>
  <c r="K213" i="66" s="1"/>
  <c r="H212" i="66"/>
  <c r="K212" i="66" s="1"/>
  <c r="H211" i="66"/>
  <c r="K211" i="66" s="1"/>
  <c r="H210" i="66"/>
  <c r="K210" i="66" s="1"/>
  <c r="H209" i="66"/>
  <c r="K209" i="66" s="1"/>
  <c r="H208" i="66"/>
  <c r="K208" i="66" s="1"/>
  <c r="H207" i="66"/>
  <c r="K207" i="66" s="1"/>
  <c r="O207" i="66" s="1"/>
  <c r="H206" i="66"/>
  <c r="K206" i="66" s="1"/>
  <c r="H205" i="66"/>
  <c r="K205" i="66" s="1"/>
  <c r="H204" i="66"/>
  <c r="K204" i="66" s="1"/>
  <c r="H203" i="66"/>
  <c r="K203" i="66" s="1"/>
  <c r="H202" i="66"/>
  <c r="K202" i="66" s="1"/>
  <c r="O202" i="66" s="1"/>
  <c r="H201" i="66"/>
  <c r="K201" i="66" s="1"/>
  <c r="H200" i="66"/>
  <c r="K200" i="66" s="1"/>
  <c r="H199" i="66"/>
  <c r="K199" i="66" s="1"/>
  <c r="H198" i="66"/>
  <c r="K198" i="66" s="1"/>
  <c r="H197" i="66"/>
  <c r="K197" i="66" s="1"/>
  <c r="H196" i="66"/>
  <c r="K196" i="66" s="1"/>
  <c r="H195" i="66"/>
  <c r="K195" i="66" s="1"/>
  <c r="H194" i="66"/>
  <c r="K194" i="66" s="1"/>
  <c r="M194" i="66" s="1"/>
  <c r="H193" i="66"/>
  <c r="K193" i="66" s="1"/>
  <c r="H192" i="66"/>
  <c r="K192" i="66" s="1"/>
  <c r="H191" i="66"/>
  <c r="K191" i="66" s="1"/>
  <c r="H190" i="66"/>
  <c r="K190" i="66" s="1"/>
  <c r="H189" i="66"/>
  <c r="K189" i="66" s="1"/>
  <c r="H188" i="66"/>
  <c r="K188" i="66" s="1"/>
  <c r="H187" i="66"/>
  <c r="K187" i="66" s="1"/>
  <c r="H186" i="66"/>
  <c r="K186" i="66" s="1"/>
  <c r="H185" i="66"/>
  <c r="K185" i="66" s="1"/>
  <c r="H184" i="66"/>
  <c r="K184" i="66" s="1"/>
  <c r="H183" i="66"/>
  <c r="K183" i="66" s="1"/>
  <c r="O183" i="66" s="1"/>
  <c r="H182" i="66"/>
  <c r="K182" i="66" s="1"/>
  <c r="H181" i="66"/>
  <c r="K181" i="66" s="1"/>
  <c r="H180" i="66"/>
  <c r="K180" i="66" s="1"/>
  <c r="H179" i="66"/>
  <c r="K179" i="66" s="1"/>
  <c r="H178" i="66"/>
  <c r="K178" i="66" s="1"/>
  <c r="H177" i="66"/>
  <c r="K177" i="66" s="1"/>
  <c r="H176" i="66"/>
  <c r="K176" i="66" s="1"/>
  <c r="H175" i="66"/>
  <c r="K175" i="66" s="1"/>
  <c r="H174" i="66"/>
  <c r="K174" i="66" s="1"/>
  <c r="H173" i="66"/>
  <c r="K173" i="66" s="1"/>
  <c r="H172" i="66"/>
  <c r="K172" i="66" s="1"/>
  <c r="H171" i="66"/>
  <c r="K171" i="66" s="1"/>
  <c r="H170" i="66"/>
  <c r="K170" i="66" s="1"/>
  <c r="H169" i="66"/>
  <c r="K169" i="66" s="1"/>
  <c r="H168" i="66"/>
  <c r="K168" i="66" s="1"/>
  <c r="H167" i="66"/>
  <c r="K167" i="66" s="1"/>
  <c r="H166" i="66"/>
  <c r="K166" i="66" s="1"/>
  <c r="H165" i="66"/>
  <c r="K165" i="66" s="1"/>
  <c r="H164" i="66"/>
  <c r="K164" i="66" s="1"/>
  <c r="H163" i="66"/>
  <c r="K163" i="66" s="1"/>
  <c r="H162" i="66"/>
  <c r="K162" i="66" s="1"/>
  <c r="O162" i="66" s="1"/>
  <c r="H161" i="66"/>
  <c r="K161" i="66" s="1"/>
  <c r="H160" i="66"/>
  <c r="K160" i="66" s="1"/>
  <c r="H159" i="66"/>
  <c r="K159" i="66" s="1"/>
  <c r="H158" i="66"/>
  <c r="K158" i="66" s="1"/>
  <c r="H157" i="66"/>
  <c r="K157" i="66" s="1"/>
  <c r="H156" i="66"/>
  <c r="K156" i="66" s="1"/>
  <c r="H155" i="66"/>
  <c r="K155" i="66" s="1"/>
  <c r="H154" i="66"/>
  <c r="K154" i="66" s="1"/>
  <c r="O154" i="66" s="1"/>
  <c r="H153" i="66"/>
  <c r="K153" i="66" s="1"/>
  <c r="H152" i="66"/>
  <c r="K152" i="66" s="1"/>
  <c r="H151" i="66"/>
  <c r="K151" i="66" s="1"/>
  <c r="O151" i="66" s="1"/>
  <c r="H150" i="66"/>
  <c r="K150" i="66" s="1"/>
  <c r="H149" i="66"/>
  <c r="K149" i="66" s="1"/>
  <c r="H148" i="66"/>
  <c r="K148" i="66" s="1"/>
  <c r="H147" i="66"/>
  <c r="K147" i="66" s="1"/>
  <c r="H146" i="66"/>
  <c r="K146" i="66" s="1"/>
  <c r="H145" i="66"/>
  <c r="K145" i="66" s="1"/>
  <c r="H144" i="66"/>
  <c r="K144" i="66" s="1"/>
  <c r="O144" i="66" s="1"/>
  <c r="H143" i="66"/>
  <c r="K143" i="66" s="1"/>
  <c r="O143" i="66" s="1"/>
  <c r="H142" i="66"/>
  <c r="K142" i="66" s="1"/>
  <c r="H141" i="66"/>
  <c r="K141" i="66" s="1"/>
  <c r="M141" i="66" s="1"/>
  <c r="H140" i="66"/>
  <c r="K140" i="66" s="1"/>
  <c r="H139" i="66"/>
  <c r="K139" i="66" s="1"/>
  <c r="H138" i="66"/>
  <c r="K138" i="66" s="1"/>
  <c r="H137" i="66"/>
  <c r="K137" i="66" s="1"/>
  <c r="H136" i="66"/>
  <c r="K136" i="66" s="1"/>
  <c r="O136" i="66" s="1"/>
  <c r="H135" i="66"/>
  <c r="K135" i="66" s="1"/>
  <c r="O135" i="66" s="1"/>
  <c r="H134" i="66"/>
  <c r="K134" i="66" s="1"/>
  <c r="H133" i="66"/>
  <c r="K133" i="66" s="1"/>
  <c r="M133" i="66" s="1"/>
  <c r="H132" i="66"/>
  <c r="K132" i="66" s="1"/>
  <c r="H131" i="66"/>
  <c r="K131" i="66" s="1"/>
  <c r="H130" i="66"/>
  <c r="K130" i="66" s="1"/>
  <c r="H129" i="66"/>
  <c r="K129" i="66" s="1"/>
  <c r="H128" i="66"/>
  <c r="K128" i="66" s="1"/>
  <c r="O128" i="66" s="1"/>
  <c r="H127" i="66"/>
  <c r="K127" i="66" s="1"/>
  <c r="O127" i="66" s="1"/>
  <c r="H126" i="66"/>
  <c r="K126" i="66" s="1"/>
  <c r="H125" i="66"/>
  <c r="K125" i="66" s="1"/>
  <c r="M125" i="66" s="1"/>
  <c r="H124" i="66"/>
  <c r="K124" i="66" s="1"/>
  <c r="H123" i="66"/>
  <c r="K123" i="66" s="1"/>
  <c r="H122" i="66"/>
  <c r="K122" i="66" s="1"/>
  <c r="H121" i="66"/>
  <c r="K121" i="66" s="1"/>
  <c r="H120" i="66"/>
  <c r="K120" i="66" s="1"/>
  <c r="O120" i="66" s="1"/>
  <c r="H119" i="66"/>
  <c r="K119" i="66" s="1"/>
  <c r="H118" i="66"/>
  <c r="K118" i="66" s="1"/>
  <c r="H117" i="66"/>
  <c r="K117" i="66" s="1"/>
  <c r="M117" i="66" s="1"/>
  <c r="H116" i="66"/>
  <c r="K116" i="66" s="1"/>
  <c r="H115" i="66"/>
  <c r="K115" i="66" s="1"/>
  <c r="H114" i="66"/>
  <c r="K114" i="66" s="1"/>
  <c r="M114" i="66" s="1"/>
  <c r="H113" i="66"/>
  <c r="K113" i="66" s="1"/>
  <c r="H112" i="66"/>
  <c r="K112" i="66" s="1"/>
  <c r="O112" i="66" s="1"/>
  <c r="H111" i="66"/>
  <c r="K111" i="66" s="1"/>
  <c r="H110" i="66"/>
  <c r="K110" i="66" s="1"/>
  <c r="H109" i="66"/>
  <c r="K109" i="66" s="1"/>
  <c r="M109" i="66" s="1"/>
  <c r="H108" i="66"/>
  <c r="K108" i="66" s="1"/>
  <c r="H107" i="66"/>
  <c r="K107" i="66" s="1"/>
  <c r="H106" i="66"/>
  <c r="K106" i="66" s="1"/>
  <c r="H105" i="66"/>
  <c r="K105" i="66" s="1"/>
  <c r="M105" i="66" s="1"/>
  <c r="H104" i="66"/>
  <c r="K104" i="66" s="1"/>
  <c r="O104" i="66" s="1"/>
  <c r="H103" i="66"/>
  <c r="K103" i="66" s="1"/>
  <c r="O103" i="66" s="1"/>
  <c r="H102" i="66"/>
  <c r="K102" i="66" s="1"/>
  <c r="O102" i="66" s="1"/>
  <c r="H101" i="66"/>
  <c r="K101" i="66" s="1"/>
  <c r="H100" i="66"/>
  <c r="K100" i="66" s="1"/>
  <c r="H99" i="66"/>
  <c r="K99" i="66" s="1"/>
  <c r="H98" i="66"/>
  <c r="K98" i="66" s="1"/>
  <c r="O98" i="66" s="1"/>
  <c r="H97" i="66"/>
  <c r="K97" i="66" s="1"/>
  <c r="M97" i="66" s="1"/>
  <c r="H96" i="66"/>
  <c r="K96" i="66" s="1"/>
  <c r="O96" i="66" s="1"/>
  <c r="H95" i="66"/>
  <c r="K95" i="66" s="1"/>
  <c r="O95" i="66" s="1"/>
  <c r="H94" i="66"/>
  <c r="K94" i="66" s="1"/>
  <c r="H93" i="66"/>
  <c r="K93" i="66" s="1"/>
  <c r="O93" i="66" s="1"/>
  <c r="H92" i="66"/>
  <c r="K92" i="66" s="1"/>
  <c r="H91" i="66"/>
  <c r="K91" i="66" s="1"/>
  <c r="H90" i="66"/>
  <c r="K90" i="66" s="1"/>
  <c r="H89" i="66"/>
  <c r="K89" i="66" s="1"/>
  <c r="H88" i="66"/>
  <c r="K88" i="66" s="1"/>
  <c r="H87" i="66"/>
  <c r="K87" i="66" s="1"/>
  <c r="H86" i="66"/>
  <c r="K86" i="66" s="1"/>
  <c r="M86" i="66" s="1"/>
  <c r="H85" i="66"/>
  <c r="K85" i="66" s="1"/>
  <c r="O85" i="66" s="1"/>
  <c r="H84" i="66"/>
  <c r="K84" i="66" s="1"/>
  <c r="H83" i="66"/>
  <c r="K83" i="66" s="1"/>
  <c r="H82" i="66"/>
  <c r="K82" i="66" s="1"/>
  <c r="H81" i="66"/>
  <c r="K81" i="66" s="1"/>
  <c r="H80" i="66"/>
  <c r="K80" i="66" s="1"/>
  <c r="H79" i="66"/>
  <c r="K79" i="66" s="1"/>
  <c r="H78" i="66"/>
  <c r="K78" i="66" s="1"/>
  <c r="M78" i="66" s="1"/>
  <c r="H77" i="66"/>
  <c r="K77" i="66" s="1"/>
  <c r="H76" i="66"/>
  <c r="K76" i="66" s="1"/>
  <c r="H75" i="66"/>
  <c r="K75" i="66" s="1"/>
  <c r="H74" i="66"/>
  <c r="K74" i="66" s="1"/>
  <c r="H73" i="66"/>
  <c r="K73" i="66" s="1"/>
  <c r="H72" i="66"/>
  <c r="K72" i="66" s="1"/>
  <c r="H71" i="66"/>
  <c r="K71" i="66" s="1"/>
  <c r="H70" i="66"/>
  <c r="K70" i="66" s="1"/>
  <c r="M70" i="66" s="1"/>
  <c r="H69" i="66"/>
  <c r="K69" i="66" s="1"/>
  <c r="O69" i="66" s="1"/>
  <c r="H68" i="66"/>
  <c r="K68" i="66" s="1"/>
  <c r="H67" i="66"/>
  <c r="K67" i="66" s="1"/>
  <c r="H66" i="66"/>
  <c r="K66" i="66" s="1"/>
  <c r="H65" i="66"/>
  <c r="K65" i="66" s="1"/>
  <c r="H64" i="66"/>
  <c r="K64" i="66" s="1"/>
  <c r="H63" i="66"/>
  <c r="K63" i="66" s="1"/>
  <c r="H62" i="66"/>
  <c r="K62" i="66" s="1"/>
  <c r="M62" i="66" s="1"/>
  <c r="H61" i="66"/>
  <c r="K61" i="66" s="1"/>
  <c r="O61" i="66" s="1"/>
  <c r="H60" i="66"/>
  <c r="K60" i="66" s="1"/>
  <c r="H59" i="66"/>
  <c r="K59" i="66" s="1"/>
  <c r="H58" i="66"/>
  <c r="K58" i="66" s="1"/>
  <c r="H57" i="66"/>
  <c r="K57" i="66" s="1"/>
  <c r="H56" i="66"/>
  <c r="K56" i="66" s="1"/>
  <c r="H55" i="66"/>
  <c r="K55" i="66" s="1"/>
  <c r="H54" i="66"/>
  <c r="K54" i="66" s="1"/>
  <c r="M54" i="66" s="1"/>
  <c r="H53" i="66"/>
  <c r="K53" i="66" s="1"/>
  <c r="O53" i="66" s="1"/>
  <c r="H52" i="66"/>
  <c r="K52" i="66" s="1"/>
  <c r="H51" i="66"/>
  <c r="K51" i="66" s="1"/>
  <c r="H50" i="66"/>
  <c r="K50" i="66" s="1"/>
  <c r="H49" i="66"/>
  <c r="K49" i="66" s="1"/>
  <c r="H48" i="66"/>
  <c r="K48" i="66" s="1"/>
  <c r="H47" i="66"/>
  <c r="K47" i="66" s="1"/>
  <c r="H46" i="66"/>
  <c r="K46" i="66" s="1"/>
  <c r="M46" i="66" s="1"/>
  <c r="H45" i="66"/>
  <c r="K45" i="66" s="1"/>
  <c r="H44" i="66"/>
  <c r="K44" i="66" s="1"/>
  <c r="H43" i="66"/>
  <c r="K43" i="66" s="1"/>
  <c r="H42" i="66"/>
  <c r="K42" i="66" s="1"/>
  <c r="H41" i="66"/>
  <c r="K41" i="66" s="1"/>
  <c r="H40" i="66"/>
  <c r="K40" i="66" s="1"/>
  <c r="H39" i="66"/>
  <c r="K39" i="66" s="1"/>
  <c r="H38" i="66"/>
  <c r="K38" i="66" s="1"/>
  <c r="M38" i="66" s="1"/>
  <c r="H37" i="66"/>
  <c r="K37" i="66" s="1"/>
  <c r="O37" i="66" s="1"/>
  <c r="H36" i="66"/>
  <c r="K36" i="66" s="1"/>
  <c r="H35" i="66"/>
  <c r="K35" i="66" s="1"/>
  <c r="H34" i="66"/>
  <c r="K34" i="66" s="1"/>
  <c r="H33" i="66"/>
  <c r="K33" i="66" s="1"/>
  <c r="H32" i="66"/>
  <c r="K32" i="66" s="1"/>
  <c r="H31" i="66"/>
  <c r="K31" i="66" s="1"/>
  <c r="H30" i="66"/>
  <c r="K30" i="66" s="1"/>
  <c r="M30" i="66" s="1"/>
  <c r="H29" i="66"/>
  <c r="K29" i="66" s="1"/>
  <c r="O29" i="66" s="1"/>
  <c r="H28" i="66"/>
  <c r="K28" i="66" s="1"/>
  <c r="H27" i="66"/>
  <c r="K27" i="66" s="1"/>
  <c r="H26" i="66"/>
  <c r="K26" i="66" s="1"/>
  <c r="H25" i="66"/>
  <c r="K25" i="66" s="1"/>
  <c r="H24" i="66"/>
  <c r="K24" i="66" s="1"/>
  <c r="H23" i="66"/>
  <c r="K23" i="66" s="1"/>
  <c r="H22" i="66"/>
  <c r="K22" i="66" s="1"/>
  <c r="M22" i="66" s="1"/>
  <c r="H21" i="66"/>
  <c r="K21" i="66" s="1"/>
  <c r="O21" i="66" s="1"/>
  <c r="H20" i="66"/>
  <c r="K20" i="66" s="1"/>
  <c r="H19" i="66"/>
  <c r="K19" i="66" s="1"/>
  <c r="H18" i="66"/>
  <c r="K18" i="66" s="1"/>
  <c r="H17" i="66"/>
  <c r="K17" i="66" s="1"/>
  <c r="H16" i="66"/>
  <c r="K16" i="66" s="1"/>
  <c r="H15" i="66"/>
  <c r="K15" i="66" s="1"/>
  <c r="H14" i="66"/>
  <c r="K14" i="66" s="1"/>
  <c r="M14" i="66" s="1"/>
  <c r="H13" i="66"/>
  <c r="K13" i="66" s="1"/>
  <c r="N263" i="65"/>
  <c r="G263" i="65"/>
  <c r="F263" i="65"/>
  <c r="E263" i="65"/>
  <c r="D263" i="65"/>
  <c r="C263" i="65"/>
  <c r="H262" i="65"/>
  <c r="K262" i="65" s="1"/>
  <c r="H261" i="65"/>
  <c r="K261" i="65" s="1"/>
  <c r="M261" i="65" s="1"/>
  <c r="H260" i="65"/>
  <c r="K260" i="65" s="1"/>
  <c r="O260" i="65" s="1"/>
  <c r="H259" i="65"/>
  <c r="K259" i="65" s="1"/>
  <c r="H258" i="65"/>
  <c r="K258" i="65" s="1"/>
  <c r="H257" i="65"/>
  <c r="K257" i="65" s="1"/>
  <c r="O257" i="65" s="1"/>
  <c r="H256" i="65"/>
  <c r="K256" i="65" s="1"/>
  <c r="H255" i="65"/>
  <c r="K255" i="65" s="1"/>
  <c r="H254" i="65"/>
  <c r="K254" i="65" s="1"/>
  <c r="H253" i="65"/>
  <c r="K253" i="65" s="1"/>
  <c r="M253" i="65" s="1"/>
  <c r="H252" i="65"/>
  <c r="K252" i="65" s="1"/>
  <c r="O252" i="65" s="1"/>
  <c r="H251" i="65"/>
  <c r="K251" i="65" s="1"/>
  <c r="H250" i="65"/>
  <c r="K250" i="65" s="1"/>
  <c r="H249" i="65"/>
  <c r="K249" i="65" s="1"/>
  <c r="O249" i="65" s="1"/>
  <c r="H248" i="65"/>
  <c r="K248" i="65" s="1"/>
  <c r="H247" i="65"/>
  <c r="K247" i="65" s="1"/>
  <c r="H246" i="65"/>
  <c r="K246" i="65" s="1"/>
  <c r="H245" i="65"/>
  <c r="K245" i="65" s="1"/>
  <c r="H244" i="65"/>
  <c r="K244" i="65" s="1"/>
  <c r="H243" i="65"/>
  <c r="K243" i="65" s="1"/>
  <c r="H242" i="65"/>
  <c r="K242" i="65" s="1"/>
  <c r="H241" i="65"/>
  <c r="K241" i="65" s="1"/>
  <c r="H240" i="65"/>
  <c r="K240" i="65" s="1"/>
  <c r="H239" i="65"/>
  <c r="K239" i="65" s="1"/>
  <c r="H238" i="65"/>
  <c r="K238" i="65" s="1"/>
  <c r="H237" i="65"/>
  <c r="K237" i="65" s="1"/>
  <c r="H236" i="65"/>
  <c r="K236" i="65" s="1"/>
  <c r="H235" i="65"/>
  <c r="K235" i="65" s="1"/>
  <c r="H234" i="65"/>
  <c r="K234" i="65" s="1"/>
  <c r="H233" i="65"/>
  <c r="K233" i="65" s="1"/>
  <c r="H232" i="65"/>
  <c r="K232" i="65" s="1"/>
  <c r="H231" i="65"/>
  <c r="K231" i="65" s="1"/>
  <c r="M231" i="65" s="1"/>
  <c r="H230" i="65"/>
  <c r="K230" i="65" s="1"/>
  <c r="H229" i="65"/>
  <c r="K229" i="65" s="1"/>
  <c r="H228" i="65"/>
  <c r="K228" i="65" s="1"/>
  <c r="O228" i="65" s="1"/>
  <c r="H227" i="65"/>
  <c r="K227" i="65" s="1"/>
  <c r="H226" i="65"/>
  <c r="K226" i="65" s="1"/>
  <c r="H225" i="65"/>
  <c r="K225" i="65" s="1"/>
  <c r="O225" i="65" s="1"/>
  <c r="H224" i="65"/>
  <c r="K224" i="65" s="1"/>
  <c r="H223" i="65"/>
  <c r="K223" i="65" s="1"/>
  <c r="M223" i="65" s="1"/>
  <c r="H222" i="65"/>
  <c r="K222" i="65" s="1"/>
  <c r="H221" i="65"/>
  <c r="K221" i="65" s="1"/>
  <c r="M221" i="65" s="1"/>
  <c r="H220" i="65"/>
  <c r="K220" i="65" s="1"/>
  <c r="O220" i="65" s="1"/>
  <c r="H219" i="65"/>
  <c r="K219" i="65" s="1"/>
  <c r="H218" i="65"/>
  <c r="K218" i="65" s="1"/>
  <c r="H217" i="65"/>
  <c r="K217" i="65" s="1"/>
  <c r="O217" i="65" s="1"/>
  <c r="H216" i="65"/>
  <c r="K216" i="65" s="1"/>
  <c r="H215" i="65"/>
  <c r="K215" i="65" s="1"/>
  <c r="H214" i="65"/>
  <c r="K214" i="65" s="1"/>
  <c r="H213" i="65"/>
  <c r="K213" i="65" s="1"/>
  <c r="H212" i="65"/>
  <c r="K212" i="65" s="1"/>
  <c r="H211" i="65"/>
  <c r="K211" i="65" s="1"/>
  <c r="H210" i="65"/>
  <c r="K210" i="65" s="1"/>
  <c r="O210" i="65" s="1"/>
  <c r="H209" i="65"/>
  <c r="K209" i="65" s="1"/>
  <c r="H208" i="65"/>
  <c r="K208" i="65" s="1"/>
  <c r="H207" i="65"/>
  <c r="K207" i="65" s="1"/>
  <c r="M207" i="65" s="1"/>
  <c r="H206" i="65"/>
  <c r="K206" i="65" s="1"/>
  <c r="H205" i="65"/>
  <c r="K205" i="65" s="1"/>
  <c r="H204" i="65"/>
  <c r="K204" i="65" s="1"/>
  <c r="O204" i="65" s="1"/>
  <c r="H203" i="65"/>
  <c r="K203" i="65" s="1"/>
  <c r="H202" i="65"/>
  <c r="K202" i="65" s="1"/>
  <c r="H201" i="65"/>
  <c r="K201" i="65" s="1"/>
  <c r="O201" i="65" s="1"/>
  <c r="H200" i="65"/>
  <c r="K200" i="65" s="1"/>
  <c r="H199" i="65"/>
  <c r="K199" i="65" s="1"/>
  <c r="H198" i="65"/>
  <c r="K198" i="65" s="1"/>
  <c r="H197" i="65"/>
  <c r="K197" i="65" s="1"/>
  <c r="H196" i="65"/>
  <c r="K196" i="65" s="1"/>
  <c r="H195" i="65"/>
  <c r="K195" i="65" s="1"/>
  <c r="H194" i="65"/>
  <c r="K194" i="65" s="1"/>
  <c r="H193" i="65"/>
  <c r="K193" i="65" s="1"/>
  <c r="H192" i="65"/>
  <c r="K192" i="65" s="1"/>
  <c r="H191" i="65"/>
  <c r="K191" i="65" s="1"/>
  <c r="M191" i="65" s="1"/>
  <c r="H190" i="65"/>
  <c r="K190" i="65" s="1"/>
  <c r="H189" i="65"/>
  <c r="K189" i="65" s="1"/>
  <c r="H188" i="65"/>
  <c r="K188" i="65" s="1"/>
  <c r="H187" i="65"/>
  <c r="K187" i="65" s="1"/>
  <c r="H186" i="65"/>
  <c r="K186" i="65" s="1"/>
  <c r="H185" i="65"/>
  <c r="K185" i="65" s="1"/>
  <c r="H184" i="65"/>
  <c r="K184" i="65" s="1"/>
  <c r="H183" i="65"/>
  <c r="K183" i="65" s="1"/>
  <c r="H182" i="65"/>
  <c r="K182" i="65" s="1"/>
  <c r="H181" i="65"/>
  <c r="K181" i="65" s="1"/>
  <c r="H180" i="65"/>
  <c r="K180" i="65" s="1"/>
  <c r="H179" i="65"/>
  <c r="K179" i="65" s="1"/>
  <c r="H178" i="65"/>
  <c r="K178" i="65" s="1"/>
  <c r="H177" i="65"/>
  <c r="K177" i="65" s="1"/>
  <c r="H176" i="65"/>
  <c r="K176" i="65" s="1"/>
  <c r="H175" i="65"/>
  <c r="K175" i="65" s="1"/>
  <c r="H174" i="65"/>
  <c r="K174" i="65" s="1"/>
  <c r="H173" i="65"/>
  <c r="K173" i="65" s="1"/>
  <c r="H172" i="65"/>
  <c r="K172" i="65" s="1"/>
  <c r="H171" i="65"/>
  <c r="K171" i="65" s="1"/>
  <c r="H170" i="65"/>
  <c r="K170" i="65" s="1"/>
  <c r="H169" i="65"/>
  <c r="K169" i="65" s="1"/>
  <c r="H168" i="65"/>
  <c r="K168" i="65" s="1"/>
  <c r="H167" i="65"/>
  <c r="K167" i="65" s="1"/>
  <c r="H166" i="65"/>
  <c r="K166" i="65" s="1"/>
  <c r="H165" i="65"/>
  <c r="K165" i="65" s="1"/>
  <c r="H164" i="65"/>
  <c r="K164" i="65" s="1"/>
  <c r="O164" i="65" s="1"/>
  <c r="H163" i="65"/>
  <c r="K163" i="65" s="1"/>
  <c r="H162" i="65"/>
  <c r="K162" i="65" s="1"/>
  <c r="H161" i="65"/>
  <c r="K161" i="65" s="1"/>
  <c r="O161" i="65" s="1"/>
  <c r="H160" i="65"/>
  <c r="K160" i="65" s="1"/>
  <c r="H159" i="65"/>
  <c r="K159" i="65" s="1"/>
  <c r="H158" i="65"/>
  <c r="K158" i="65" s="1"/>
  <c r="H157" i="65"/>
  <c r="K157" i="65" s="1"/>
  <c r="H156" i="65"/>
  <c r="K156" i="65" s="1"/>
  <c r="H155" i="65"/>
  <c r="K155" i="65" s="1"/>
  <c r="H154" i="65"/>
  <c r="K154" i="65" s="1"/>
  <c r="H153" i="65"/>
  <c r="K153" i="65" s="1"/>
  <c r="H152" i="65"/>
  <c r="K152" i="65" s="1"/>
  <c r="H151" i="65"/>
  <c r="K151" i="65" s="1"/>
  <c r="H150" i="65"/>
  <c r="K150" i="65" s="1"/>
  <c r="H149" i="65"/>
  <c r="K149" i="65" s="1"/>
  <c r="H148" i="65"/>
  <c r="K148" i="65" s="1"/>
  <c r="H147" i="65"/>
  <c r="K147" i="65" s="1"/>
  <c r="H146" i="65"/>
  <c r="K146" i="65" s="1"/>
  <c r="H145" i="65"/>
  <c r="K145" i="65" s="1"/>
  <c r="O145" i="65" s="1"/>
  <c r="H144" i="65"/>
  <c r="K144" i="65" s="1"/>
  <c r="H143" i="65"/>
  <c r="K143" i="65" s="1"/>
  <c r="M143" i="65" s="1"/>
  <c r="H142" i="65"/>
  <c r="K142" i="65" s="1"/>
  <c r="H141" i="65"/>
  <c r="K141" i="65" s="1"/>
  <c r="H140" i="65"/>
  <c r="K140" i="65" s="1"/>
  <c r="H139" i="65"/>
  <c r="K139" i="65" s="1"/>
  <c r="H138" i="65"/>
  <c r="K138" i="65" s="1"/>
  <c r="H137" i="65"/>
  <c r="K137" i="65" s="1"/>
  <c r="H136" i="65"/>
  <c r="K136" i="65" s="1"/>
  <c r="H135" i="65"/>
  <c r="K135" i="65" s="1"/>
  <c r="H134" i="65"/>
  <c r="K134" i="65" s="1"/>
  <c r="H133" i="65"/>
  <c r="K133" i="65" s="1"/>
  <c r="H132" i="65"/>
  <c r="K132" i="65" s="1"/>
  <c r="H131" i="65"/>
  <c r="K131" i="65" s="1"/>
  <c r="H130" i="65"/>
  <c r="K130" i="65" s="1"/>
  <c r="O130" i="65" s="1"/>
  <c r="H129" i="65"/>
  <c r="K129" i="65" s="1"/>
  <c r="H128" i="65"/>
  <c r="K128" i="65" s="1"/>
  <c r="H127" i="65"/>
  <c r="K127" i="65" s="1"/>
  <c r="M127" i="65" s="1"/>
  <c r="H126" i="65"/>
  <c r="K126" i="65" s="1"/>
  <c r="H125" i="65"/>
  <c r="K125" i="65" s="1"/>
  <c r="H124" i="65"/>
  <c r="K124" i="65" s="1"/>
  <c r="H123" i="65"/>
  <c r="K123" i="65" s="1"/>
  <c r="H122" i="65"/>
  <c r="K122" i="65" s="1"/>
  <c r="H121" i="65"/>
  <c r="K121" i="65" s="1"/>
  <c r="H120" i="65"/>
  <c r="K120" i="65" s="1"/>
  <c r="H119" i="65"/>
  <c r="K119" i="65" s="1"/>
  <c r="H118" i="65"/>
  <c r="K118" i="65" s="1"/>
  <c r="H117" i="65"/>
  <c r="K117" i="65" s="1"/>
  <c r="H116" i="65"/>
  <c r="K116" i="65" s="1"/>
  <c r="H115" i="65"/>
  <c r="K115" i="65" s="1"/>
  <c r="H114" i="65"/>
  <c r="K114" i="65" s="1"/>
  <c r="H113" i="65"/>
  <c r="K113" i="65" s="1"/>
  <c r="H112" i="65"/>
  <c r="K112" i="65" s="1"/>
  <c r="H111" i="65"/>
  <c r="K111" i="65" s="1"/>
  <c r="H110" i="65"/>
  <c r="K110" i="65" s="1"/>
  <c r="H109" i="65"/>
  <c r="K109" i="65" s="1"/>
  <c r="H108" i="65"/>
  <c r="K108" i="65" s="1"/>
  <c r="M108" i="65" s="1"/>
  <c r="H107" i="65"/>
  <c r="K107" i="65" s="1"/>
  <c r="M107" i="65" s="1"/>
  <c r="H106" i="65"/>
  <c r="K106" i="65" s="1"/>
  <c r="H105" i="65"/>
  <c r="K105" i="65" s="1"/>
  <c r="H104" i="65"/>
  <c r="K104" i="65" s="1"/>
  <c r="H103" i="65"/>
  <c r="K103" i="65" s="1"/>
  <c r="H102" i="65"/>
  <c r="K102" i="65" s="1"/>
  <c r="H101" i="65"/>
  <c r="K101" i="65" s="1"/>
  <c r="H100" i="65"/>
  <c r="K100" i="65" s="1"/>
  <c r="H99" i="65"/>
  <c r="K99" i="65" s="1"/>
  <c r="H98" i="65"/>
  <c r="K98" i="65" s="1"/>
  <c r="H97" i="65"/>
  <c r="K97" i="65" s="1"/>
  <c r="H96" i="65"/>
  <c r="K96" i="65" s="1"/>
  <c r="H95" i="65"/>
  <c r="K95" i="65" s="1"/>
  <c r="H94" i="65"/>
  <c r="K94" i="65" s="1"/>
  <c r="H93" i="65"/>
  <c r="K93" i="65" s="1"/>
  <c r="H92" i="65"/>
  <c r="K92" i="65" s="1"/>
  <c r="H91" i="65"/>
  <c r="K91" i="65" s="1"/>
  <c r="M91" i="65" s="1"/>
  <c r="H90" i="65"/>
  <c r="K90" i="65" s="1"/>
  <c r="H89" i="65"/>
  <c r="K89" i="65" s="1"/>
  <c r="M89" i="65" s="1"/>
  <c r="H88" i="65"/>
  <c r="K88" i="65" s="1"/>
  <c r="O88" i="65" s="1"/>
  <c r="H87" i="65"/>
  <c r="K87" i="65" s="1"/>
  <c r="H86" i="65"/>
  <c r="K86" i="65" s="1"/>
  <c r="H85" i="65"/>
  <c r="K85" i="65" s="1"/>
  <c r="H84" i="65"/>
  <c r="K84" i="65" s="1"/>
  <c r="H83" i="65"/>
  <c r="K83" i="65" s="1"/>
  <c r="M83" i="65" s="1"/>
  <c r="H82" i="65"/>
  <c r="K82" i="65" s="1"/>
  <c r="H81" i="65"/>
  <c r="K81" i="65" s="1"/>
  <c r="H80" i="65"/>
  <c r="K80" i="65" s="1"/>
  <c r="O80" i="65" s="1"/>
  <c r="H79" i="65"/>
  <c r="K79" i="65" s="1"/>
  <c r="H78" i="65"/>
  <c r="K78" i="65" s="1"/>
  <c r="H77" i="65"/>
  <c r="K77" i="65" s="1"/>
  <c r="H76" i="65"/>
  <c r="K76" i="65" s="1"/>
  <c r="H75" i="65"/>
  <c r="K75" i="65" s="1"/>
  <c r="M75" i="65" s="1"/>
  <c r="H74" i="65"/>
  <c r="K74" i="65" s="1"/>
  <c r="H73" i="65"/>
  <c r="K73" i="65" s="1"/>
  <c r="H72" i="65"/>
  <c r="K72" i="65" s="1"/>
  <c r="O72" i="65" s="1"/>
  <c r="H71" i="65"/>
  <c r="K71" i="65" s="1"/>
  <c r="H70" i="65"/>
  <c r="K70" i="65" s="1"/>
  <c r="H69" i="65"/>
  <c r="K69" i="65" s="1"/>
  <c r="H68" i="65"/>
  <c r="K68" i="65" s="1"/>
  <c r="H67" i="65"/>
  <c r="K67" i="65" s="1"/>
  <c r="M67" i="65" s="1"/>
  <c r="H66" i="65"/>
  <c r="K66" i="65" s="1"/>
  <c r="H65" i="65"/>
  <c r="K65" i="65" s="1"/>
  <c r="H64" i="65"/>
  <c r="K64" i="65" s="1"/>
  <c r="H63" i="65"/>
  <c r="K63" i="65" s="1"/>
  <c r="H62" i="65"/>
  <c r="K62" i="65" s="1"/>
  <c r="H61" i="65"/>
  <c r="K61" i="65" s="1"/>
  <c r="H60" i="65"/>
  <c r="K60" i="65" s="1"/>
  <c r="H59" i="65"/>
  <c r="K59" i="65" s="1"/>
  <c r="M59" i="65" s="1"/>
  <c r="H58" i="65"/>
  <c r="K58" i="65" s="1"/>
  <c r="H57" i="65"/>
  <c r="K57" i="65" s="1"/>
  <c r="M57" i="65" s="1"/>
  <c r="H56" i="65"/>
  <c r="K56" i="65" s="1"/>
  <c r="H55" i="65"/>
  <c r="K55" i="65" s="1"/>
  <c r="H54" i="65"/>
  <c r="K54" i="65" s="1"/>
  <c r="H53" i="65"/>
  <c r="K53" i="65" s="1"/>
  <c r="H52" i="65"/>
  <c r="K52" i="65" s="1"/>
  <c r="H51" i="65"/>
  <c r="K51" i="65" s="1"/>
  <c r="H50" i="65"/>
  <c r="K50" i="65" s="1"/>
  <c r="H49" i="65"/>
  <c r="K49" i="65" s="1"/>
  <c r="M49" i="65" s="1"/>
  <c r="H48" i="65"/>
  <c r="K48" i="65" s="1"/>
  <c r="H47" i="65"/>
  <c r="K47" i="65" s="1"/>
  <c r="H46" i="65"/>
  <c r="K46" i="65" s="1"/>
  <c r="H45" i="65"/>
  <c r="K45" i="65" s="1"/>
  <c r="H44" i="65"/>
  <c r="K44" i="65" s="1"/>
  <c r="H43" i="65"/>
  <c r="K43" i="65" s="1"/>
  <c r="H42" i="65"/>
  <c r="K42" i="65" s="1"/>
  <c r="H41" i="65"/>
  <c r="K41" i="65" s="1"/>
  <c r="M41" i="65" s="1"/>
  <c r="H40" i="65"/>
  <c r="K40" i="65" s="1"/>
  <c r="O40" i="65" s="1"/>
  <c r="H39" i="65"/>
  <c r="K39" i="65" s="1"/>
  <c r="H38" i="65"/>
  <c r="K38" i="65" s="1"/>
  <c r="H37" i="65"/>
  <c r="K37" i="65" s="1"/>
  <c r="H36" i="65"/>
  <c r="K36" i="65" s="1"/>
  <c r="H35" i="65"/>
  <c r="K35" i="65" s="1"/>
  <c r="M35" i="65" s="1"/>
  <c r="H34" i="65"/>
  <c r="K34" i="65" s="1"/>
  <c r="H33" i="65"/>
  <c r="K33" i="65" s="1"/>
  <c r="M33" i="65" s="1"/>
  <c r="H32" i="65"/>
  <c r="K32" i="65" s="1"/>
  <c r="O32" i="65" s="1"/>
  <c r="H31" i="65"/>
  <c r="K31" i="65" s="1"/>
  <c r="H30" i="65"/>
  <c r="K30" i="65" s="1"/>
  <c r="H29" i="65"/>
  <c r="K29" i="65" s="1"/>
  <c r="H28" i="65"/>
  <c r="K28" i="65" s="1"/>
  <c r="H27" i="65"/>
  <c r="K27" i="65" s="1"/>
  <c r="H26" i="65"/>
  <c r="K26" i="65" s="1"/>
  <c r="H25" i="65"/>
  <c r="K25" i="65" s="1"/>
  <c r="H24" i="65"/>
  <c r="K24" i="65" s="1"/>
  <c r="H23" i="65"/>
  <c r="K23" i="65" s="1"/>
  <c r="H22" i="65"/>
  <c r="K22" i="65" s="1"/>
  <c r="H21" i="65"/>
  <c r="K21" i="65" s="1"/>
  <c r="H20" i="65"/>
  <c r="K20" i="65" s="1"/>
  <c r="H19" i="65"/>
  <c r="K19" i="65" s="1"/>
  <c r="M19" i="65" s="1"/>
  <c r="H18" i="65"/>
  <c r="K18" i="65" s="1"/>
  <c r="H17" i="65"/>
  <c r="K17" i="65" s="1"/>
  <c r="M17" i="65" s="1"/>
  <c r="H16" i="65"/>
  <c r="K16" i="65" s="1"/>
  <c r="M16" i="65" s="1"/>
  <c r="H15" i="65"/>
  <c r="K15" i="65" s="1"/>
  <c r="H14" i="65"/>
  <c r="K14" i="65" s="1"/>
  <c r="H13" i="65"/>
  <c r="K13" i="65" s="1"/>
  <c r="N263" i="64"/>
  <c r="G263" i="64"/>
  <c r="F263" i="64"/>
  <c r="E263" i="64"/>
  <c r="D263" i="64"/>
  <c r="C263" i="64"/>
  <c r="H262" i="64"/>
  <c r="K262" i="64" s="1"/>
  <c r="O262" i="64" s="1"/>
  <c r="H261" i="64"/>
  <c r="K261" i="64" s="1"/>
  <c r="H260" i="64"/>
  <c r="K260" i="64" s="1"/>
  <c r="H259" i="64"/>
  <c r="K259" i="64" s="1"/>
  <c r="H258" i="64"/>
  <c r="K258" i="64" s="1"/>
  <c r="O258" i="64" s="1"/>
  <c r="H257" i="64"/>
  <c r="K257" i="64" s="1"/>
  <c r="H256" i="64"/>
  <c r="K256" i="64" s="1"/>
  <c r="H255" i="64"/>
  <c r="K255" i="64" s="1"/>
  <c r="M255" i="64" s="1"/>
  <c r="H254" i="64"/>
  <c r="K254" i="64" s="1"/>
  <c r="H253" i="64"/>
  <c r="K253" i="64" s="1"/>
  <c r="H252" i="64"/>
  <c r="K252" i="64" s="1"/>
  <c r="H251" i="64"/>
  <c r="K251" i="64" s="1"/>
  <c r="M251" i="64" s="1"/>
  <c r="H250" i="64"/>
  <c r="K250" i="64" s="1"/>
  <c r="H249" i="64"/>
  <c r="K249" i="64" s="1"/>
  <c r="H248" i="64"/>
  <c r="K248" i="64" s="1"/>
  <c r="H247" i="64"/>
  <c r="K247" i="64" s="1"/>
  <c r="H246" i="64"/>
  <c r="K246" i="64" s="1"/>
  <c r="O246" i="64" s="1"/>
  <c r="H245" i="64"/>
  <c r="K245" i="64" s="1"/>
  <c r="H244" i="64"/>
  <c r="K244" i="64" s="1"/>
  <c r="H243" i="64"/>
  <c r="K243" i="64" s="1"/>
  <c r="H242" i="64"/>
  <c r="K242" i="64" s="1"/>
  <c r="O242" i="64" s="1"/>
  <c r="H241" i="64"/>
  <c r="K241" i="64" s="1"/>
  <c r="H240" i="64"/>
  <c r="K240" i="64" s="1"/>
  <c r="H239" i="64"/>
  <c r="K239" i="64" s="1"/>
  <c r="H238" i="64"/>
  <c r="K238" i="64" s="1"/>
  <c r="H237" i="64"/>
  <c r="K237" i="64" s="1"/>
  <c r="H236" i="64"/>
  <c r="K236" i="64" s="1"/>
  <c r="H235" i="64"/>
  <c r="K235" i="64" s="1"/>
  <c r="M235" i="64" s="1"/>
  <c r="H234" i="64"/>
  <c r="K234" i="64" s="1"/>
  <c r="H233" i="64"/>
  <c r="K233" i="64" s="1"/>
  <c r="H232" i="64"/>
  <c r="K232" i="64" s="1"/>
  <c r="H231" i="64"/>
  <c r="K231" i="64" s="1"/>
  <c r="H230" i="64"/>
  <c r="K230" i="64" s="1"/>
  <c r="H229" i="64"/>
  <c r="K229" i="64" s="1"/>
  <c r="H228" i="64"/>
  <c r="K228" i="64" s="1"/>
  <c r="H227" i="64"/>
  <c r="K227" i="64" s="1"/>
  <c r="M227" i="64" s="1"/>
  <c r="H226" i="64"/>
  <c r="K226" i="64" s="1"/>
  <c r="O226" i="64" s="1"/>
  <c r="H225" i="64"/>
  <c r="K225" i="64" s="1"/>
  <c r="H224" i="64"/>
  <c r="K224" i="64" s="1"/>
  <c r="H223" i="64"/>
  <c r="K223" i="64" s="1"/>
  <c r="M223" i="64" s="1"/>
  <c r="H222" i="64"/>
  <c r="K222" i="64" s="1"/>
  <c r="H221" i="64"/>
  <c r="K221" i="64" s="1"/>
  <c r="H220" i="64"/>
  <c r="K220" i="64" s="1"/>
  <c r="H219" i="64"/>
  <c r="K219" i="64" s="1"/>
  <c r="M219" i="64" s="1"/>
  <c r="H218" i="64"/>
  <c r="K218" i="64" s="1"/>
  <c r="H217" i="64"/>
  <c r="K217" i="64" s="1"/>
  <c r="H216" i="64"/>
  <c r="K216" i="64" s="1"/>
  <c r="H215" i="64"/>
  <c r="K215" i="64" s="1"/>
  <c r="H214" i="64"/>
  <c r="K214" i="64" s="1"/>
  <c r="O214" i="64" s="1"/>
  <c r="H213" i="64"/>
  <c r="K213" i="64" s="1"/>
  <c r="H212" i="64"/>
  <c r="K212" i="64" s="1"/>
  <c r="H211" i="64"/>
  <c r="K211" i="64" s="1"/>
  <c r="H210" i="64"/>
  <c r="K210" i="64" s="1"/>
  <c r="O210" i="64" s="1"/>
  <c r="H209" i="64"/>
  <c r="K209" i="64" s="1"/>
  <c r="H208" i="64"/>
  <c r="K208" i="64" s="1"/>
  <c r="H207" i="64"/>
  <c r="K207" i="64" s="1"/>
  <c r="H206" i="64"/>
  <c r="K206" i="64" s="1"/>
  <c r="H205" i="64"/>
  <c r="K205" i="64" s="1"/>
  <c r="H204" i="64"/>
  <c r="K204" i="64" s="1"/>
  <c r="H203" i="64"/>
  <c r="K203" i="64" s="1"/>
  <c r="M203" i="64" s="1"/>
  <c r="H202" i="64"/>
  <c r="K202" i="64" s="1"/>
  <c r="H201" i="64"/>
  <c r="K201" i="64" s="1"/>
  <c r="H200" i="64"/>
  <c r="K200" i="64" s="1"/>
  <c r="H199" i="64"/>
  <c r="K199" i="64" s="1"/>
  <c r="H198" i="64"/>
  <c r="K198" i="64" s="1"/>
  <c r="H197" i="64"/>
  <c r="K197" i="64" s="1"/>
  <c r="H196" i="64"/>
  <c r="K196" i="64" s="1"/>
  <c r="H195" i="64"/>
  <c r="K195" i="64" s="1"/>
  <c r="M195" i="64" s="1"/>
  <c r="H194" i="64"/>
  <c r="K194" i="64" s="1"/>
  <c r="O194" i="64" s="1"/>
  <c r="H193" i="64"/>
  <c r="K193" i="64" s="1"/>
  <c r="H192" i="64"/>
  <c r="K192" i="64" s="1"/>
  <c r="H191" i="64"/>
  <c r="K191" i="64" s="1"/>
  <c r="M191" i="64" s="1"/>
  <c r="H190" i="64"/>
  <c r="K190" i="64" s="1"/>
  <c r="H189" i="64"/>
  <c r="K189" i="64" s="1"/>
  <c r="H188" i="64"/>
  <c r="K188" i="64" s="1"/>
  <c r="H187" i="64"/>
  <c r="K187" i="64" s="1"/>
  <c r="M187" i="64" s="1"/>
  <c r="H186" i="64"/>
  <c r="K186" i="64" s="1"/>
  <c r="O186" i="64" s="1"/>
  <c r="H185" i="64"/>
  <c r="K185" i="64" s="1"/>
  <c r="H184" i="64"/>
  <c r="K184" i="64" s="1"/>
  <c r="H183" i="64"/>
  <c r="K183" i="64" s="1"/>
  <c r="H182" i="64"/>
  <c r="K182" i="64" s="1"/>
  <c r="O182" i="64" s="1"/>
  <c r="H181" i="64"/>
  <c r="K181" i="64" s="1"/>
  <c r="H180" i="64"/>
  <c r="K180" i="64" s="1"/>
  <c r="H179" i="64"/>
  <c r="K179" i="64" s="1"/>
  <c r="H178" i="64"/>
  <c r="K178" i="64" s="1"/>
  <c r="O178" i="64" s="1"/>
  <c r="H177" i="64"/>
  <c r="K177" i="64" s="1"/>
  <c r="H176" i="64"/>
  <c r="K176" i="64" s="1"/>
  <c r="H175" i="64"/>
  <c r="K175" i="64" s="1"/>
  <c r="H174" i="64"/>
  <c r="K174" i="64" s="1"/>
  <c r="H173" i="64"/>
  <c r="K173" i="64" s="1"/>
  <c r="H172" i="64"/>
  <c r="K172" i="64" s="1"/>
  <c r="H171" i="64"/>
  <c r="K171" i="64" s="1"/>
  <c r="M171" i="64" s="1"/>
  <c r="H170" i="64"/>
  <c r="K170" i="64" s="1"/>
  <c r="H169" i="64"/>
  <c r="K169" i="64" s="1"/>
  <c r="H168" i="64"/>
  <c r="K168" i="64" s="1"/>
  <c r="H167" i="64"/>
  <c r="K167" i="64" s="1"/>
  <c r="H166" i="64"/>
  <c r="K166" i="64" s="1"/>
  <c r="H165" i="64"/>
  <c r="K165" i="64" s="1"/>
  <c r="H164" i="64"/>
  <c r="K164" i="64" s="1"/>
  <c r="H163" i="64"/>
  <c r="K163" i="64" s="1"/>
  <c r="H162" i="64"/>
  <c r="K162" i="64" s="1"/>
  <c r="O162" i="64" s="1"/>
  <c r="H161" i="64"/>
  <c r="K161" i="64" s="1"/>
  <c r="H160" i="64"/>
  <c r="K160" i="64" s="1"/>
  <c r="M160" i="64" s="1"/>
  <c r="H159" i="64"/>
  <c r="K159" i="64" s="1"/>
  <c r="M159" i="64" s="1"/>
  <c r="H158" i="64"/>
  <c r="K158" i="64" s="1"/>
  <c r="H157" i="64"/>
  <c r="K157" i="64" s="1"/>
  <c r="H156" i="64"/>
  <c r="K156" i="64" s="1"/>
  <c r="M156" i="64" s="1"/>
  <c r="H155" i="64"/>
  <c r="K155" i="64" s="1"/>
  <c r="M155" i="64" s="1"/>
  <c r="H154" i="64"/>
  <c r="K154" i="64" s="1"/>
  <c r="O154" i="64" s="1"/>
  <c r="H153" i="64"/>
  <c r="K153" i="64" s="1"/>
  <c r="H152" i="64"/>
  <c r="K152" i="64" s="1"/>
  <c r="M152" i="64" s="1"/>
  <c r="H151" i="64"/>
  <c r="K151" i="64" s="1"/>
  <c r="H150" i="64"/>
  <c r="K150" i="64" s="1"/>
  <c r="O150" i="64" s="1"/>
  <c r="H149" i="64"/>
  <c r="K149" i="64" s="1"/>
  <c r="H148" i="64"/>
  <c r="K148" i="64" s="1"/>
  <c r="H147" i="64"/>
  <c r="K147" i="64" s="1"/>
  <c r="H146" i="64"/>
  <c r="K146" i="64" s="1"/>
  <c r="O146" i="64" s="1"/>
  <c r="H145" i="64"/>
  <c r="K145" i="64" s="1"/>
  <c r="H144" i="64"/>
  <c r="K144" i="64" s="1"/>
  <c r="H143" i="64"/>
  <c r="K143" i="64" s="1"/>
  <c r="H142" i="64"/>
  <c r="K142" i="64" s="1"/>
  <c r="H141" i="64"/>
  <c r="K141" i="64" s="1"/>
  <c r="H140" i="64"/>
  <c r="K140" i="64" s="1"/>
  <c r="H139" i="64"/>
  <c r="K139" i="64" s="1"/>
  <c r="M139" i="64" s="1"/>
  <c r="H138" i="64"/>
  <c r="K138" i="64" s="1"/>
  <c r="H137" i="64"/>
  <c r="K137" i="64" s="1"/>
  <c r="H136" i="64"/>
  <c r="K136" i="64" s="1"/>
  <c r="M136" i="64" s="1"/>
  <c r="H135" i="64"/>
  <c r="K135" i="64" s="1"/>
  <c r="H134" i="64"/>
  <c r="K134" i="64" s="1"/>
  <c r="H133" i="64"/>
  <c r="K133" i="64" s="1"/>
  <c r="H132" i="64"/>
  <c r="K132" i="64" s="1"/>
  <c r="H131" i="64"/>
  <c r="K131" i="64" s="1"/>
  <c r="M131" i="64" s="1"/>
  <c r="H130" i="64"/>
  <c r="K130" i="64" s="1"/>
  <c r="O130" i="64" s="1"/>
  <c r="H129" i="64"/>
  <c r="K129" i="64" s="1"/>
  <c r="H128" i="64"/>
  <c r="K128" i="64" s="1"/>
  <c r="M128" i="64" s="1"/>
  <c r="H127" i="64"/>
  <c r="K127" i="64" s="1"/>
  <c r="M127" i="64" s="1"/>
  <c r="H126" i="64"/>
  <c r="K126" i="64" s="1"/>
  <c r="H125" i="64"/>
  <c r="K125" i="64" s="1"/>
  <c r="H124" i="64"/>
  <c r="K124" i="64" s="1"/>
  <c r="M124" i="64" s="1"/>
  <c r="H123" i="64"/>
  <c r="K123" i="64" s="1"/>
  <c r="H122" i="64"/>
  <c r="K122" i="64" s="1"/>
  <c r="O122" i="64" s="1"/>
  <c r="H121" i="64"/>
  <c r="K121" i="64" s="1"/>
  <c r="H120" i="64"/>
  <c r="K120" i="64" s="1"/>
  <c r="H119" i="64"/>
  <c r="K119" i="64" s="1"/>
  <c r="H118" i="64"/>
  <c r="K118" i="64" s="1"/>
  <c r="O118" i="64" s="1"/>
  <c r="H117" i="64"/>
  <c r="K117" i="64" s="1"/>
  <c r="H116" i="64"/>
  <c r="K116" i="64" s="1"/>
  <c r="H115" i="64"/>
  <c r="K115" i="64" s="1"/>
  <c r="H114" i="64"/>
  <c r="K114" i="64" s="1"/>
  <c r="H113" i="64"/>
  <c r="K113" i="64" s="1"/>
  <c r="H112" i="64"/>
  <c r="K112" i="64" s="1"/>
  <c r="H111" i="64"/>
  <c r="K111" i="64" s="1"/>
  <c r="M111" i="64" s="1"/>
  <c r="H110" i="64"/>
  <c r="K110" i="64" s="1"/>
  <c r="H109" i="64"/>
  <c r="K109" i="64" s="1"/>
  <c r="H108" i="64"/>
  <c r="K108" i="64" s="1"/>
  <c r="M108" i="64" s="1"/>
  <c r="H107" i="64"/>
  <c r="K107" i="64" s="1"/>
  <c r="H106" i="64"/>
  <c r="K106" i="64" s="1"/>
  <c r="H105" i="64"/>
  <c r="K105" i="64" s="1"/>
  <c r="H104" i="64"/>
  <c r="K104" i="64" s="1"/>
  <c r="M104" i="64" s="1"/>
  <c r="H103" i="64"/>
  <c r="K103" i="64" s="1"/>
  <c r="H102" i="64"/>
  <c r="K102" i="64" s="1"/>
  <c r="O102" i="64" s="1"/>
  <c r="H101" i="64"/>
  <c r="K101" i="64" s="1"/>
  <c r="H100" i="64"/>
  <c r="K100" i="64" s="1"/>
  <c r="H99" i="64"/>
  <c r="K99" i="64" s="1"/>
  <c r="H98" i="64"/>
  <c r="K98" i="64" s="1"/>
  <c r="O98" i="64" s="1"/>
  <c r="H97" i="64"/>
  <c r="K97" i="64" s="1"/>
  <c r="H96" i="64"/>
  <c r="K96" i="64" s="1"/>
  <c r="M96" i="64" s="1"/>
  <c r="H95" i="64"/>
  <c r="K95" i="64" s="1"/>
  <c r="H94" i="64"/>
  <c r="K94" i="64" s="1"/>
  <c r="O94" i="64" s="1"/>
  <c r="H93" i="64"/>
  <c r="K93" i="64" s="1"/>
  <c r="O93" i="64" s="1"/>
  <c r="H92" i="64"/>
  <c r="K92" i="64" s="1"/>
  <c r="H91" i="64"/>
  <c r="K91" i="64" s="1"/>
  <c r="H90" i="64"/>
  <c r="K90" i="64" s="1"/>
  <c r="H89" i="64"/>
  <c r="K89" i="64" s="1"/>
  <c r="O89" i="64" s="1"/>
  <c r="H88" i="64"/>
  <c r="K88" i="64" s="1"/>
  <c r="H87" i="64"/>
  <c r="K87" i="64" s="1"/>
  <c r="H86" i="64"/>
  <c r="K86" i="64" s="1"/>
  <c r="H85" i="64"/>
  <c r="K85" i="64" s="1"/>
  <c r="O85" i="64" s="1"/>
  <c r="H84" i="64"/>
  <c r="K84" i="64" s="1"/>
  <c r="M84" i="64" s="1"/>
  <c r="H83" i="64"/>
  <c r="K83" i="64" s="1"/>
  <c r="H82" i="64"/>
  <c r="K82" i="64" s="1"/>
  <c r="H81" i="64"/>
  <c r="K81" i="64" s="1"/>
  <c r="O81" i="64" s="1"/>
  <c r="H80" i="64"/>
  <c r="K80" i="64" s="1"/>
  <c r="H79" i="64"/>
  <c r="K79" i="64" s="1"/>
  <c r="H78" i="64"/>
  <c r="K78" i="64" s="1"/>
  <c r="H77" i="64"/>
  <c r="K77" i="64" s="1"/>
  <c r="H76" i="64"/>
  <c r="K76" i="64" s="1"/>
  <c r="H75" i="64"/>
  <c r="K75" i="64" s="1"/>
  <c r="H74" i="64"/>
  <c r="K74" i="64" s="1"/>
  <c r="O74" i="64" s="1"/>
  <c r="H73" i="64"/>
  <c r="K73" i="64" s="1"/>
  <c r="O73" i="64" s="1"/>
  <c r="H72" i="64"/>
  <c r="K72" i="64" s="1"/>
  <c r="H71" i="64"/>
  <c r="K71" i="64" s="1"/>
  <c r="H70" i="64"/>
  <c r="K70" i="64" s="1"/>
  <c r="H69" i="64"/>
  <c r="K69" i="64" s="1"/>
  <c r="O69" i="64" s="1"/>
  <c r="H68" i="64"/>
  <c r="K68" i="64" s="1"/>
  <c r="O68" i="64" s="1"/>
  <c r="H67" i="64"/>
  <c r="K67" i="64" s="1"/>
  <c r="H66" i="64"/>
  <c r="K66" i="64" s="1"/>
  <c r="H65" i="64"/>
  <c r="K65" i="64" s="1"/>
  <c r="O65" i="64" s="1"/>
  <c r="H64" i="64"/>
  <c r="K64" i="64" s="1"/>
  <c r="O64" i="64" s="1"/>
  <c r="H63" i="64"/>
  <c r="K63" i="64" s="1"/>
  <c r="H62" i="64"/>
  <c r="K62" i="64" s="1"/>
  <c r="O62" i="64" s="1"/>
  <c r="H61" i="64"/>
  <c r="K61" i="64" s="1"/>
  <c r="O61" i="64" s="1"/>
  <c r="H60" i="64"/>
  <c r="K60" i="64" s="1"/>
  <c r="H59" i="64"/>
  <c r="K59" i="64" s="1"/>
  <c r="H58" i="64"/>
  <c r="K58" i="64" s="1"/>
  <c r="H57" i="64"/>
  <c r="K57" i="64" s="1"/>
  <c r="O57" i="64" s="1"/>
  <c r="H56" i="64"/>
  <c r="K56" i="64" s="1"/>
  <c r="O56" i="64" s="1"/>
  <c r="H55" i="64"/>
  <c r="K55" i="64" s="1"/>
  <c r="H54" i="64"/>
  <c r="K54" i="64" s="1"/>
  <c r="H53" i="64"/>
  <c r="K53" i="64" s="1"/>
  <c r="O53" i="64" s="1"/>
  <c r="H52" i="64"/>
  <c r="K52" i="64" s="1"/>
  <c r="M52" i="64" s="1"/>
  <c r="H51" i="64"/>
  <c r="K51" i="64" s="1"/>
  <c r="H50" i="64"/>
  <c r="K50" i="64" s="1"/>
  <c r="H49" i="64"/>
  <c r="K49" i="64" s="1"/>
  <c r="O49" i="64" s="1"/>
  <c r="H48" i="64"/>
  <c r="K48" i="64" s="1"/>
  <c r="H47" i="64"/>
  <c r="K47" i="64" s="1"/>
  <c r="H46" i="64"/>
  <c r="K46" i="64" s="1"/>
  <c r="H45" i="64"/>
  <c r="K45" i="64" s="1"/>
  <c r="H44" i="64"/>
  <c r="K44" i="64" s="1"/>
  <c r="H43" i="64"/>
  <c r="K43" i="64" s="1"/>
  <c r="H42" i="64"/>
  <c r="K42" i="64" s="1"/>
  <c r="H41" i="64"/>
  <c r="K41" i="64" s="1"/>
  <c r="H40" i="64"/>
  <c r="K40" i="64" s="1"/>
  <c r="O40" i="64" s="1"/>
  <c r="H39" i="64"/>
  <c r="K39" i="64" s="1"/>
  <c r="H38" i="64"/>
  <c r="K38" i="64" s="1"/>
  <c r="O38" i="64" s="1"/>
  <c r="H37" i="64"/>
  <c r="K37" i="64" s="1"/>
  <c r="H36" i="64"/>
  <c r="K36" i="64" s="1"/>
  <c r="H35" i="64"/>
  <c r="K35" i="64" s="1"/>
  <c r="H34" i="64"/>
  <c r="K34" i="64" s="1"/>
  <c r="H33" i="64"/>
  <c r="K33" i="64" s="1"/>
  <c r="H32" i="64"/>
  <c r="K32" i="64" s="1"/>
  <c r="M32" i="64" s="1"/>
  <c r="H31" i="64"/>
  <c r="K31" i="64" s="1"/>
  <c r="H30" i="64"/>
  <c r="K30" i="64" s="1"/>
  <c r="H29" i="64"/>
  <c r="K29" i="64" s="1"/>
  <c r="H28" i="64"/>
  <c r="K28" i="64" s="1"/>
  <c r="H27" i="64"/>
  <c r="K27" i="64" s="1"/>
  <c r="H26" i="64"/>
  <c r="K26" i="64" s="1"/>
  <c r="H25" i="64"/>
  <c r="K25" i="64" s="1"/>
  <c r="H24" i="64"/>
  <c r="K24" i="64" s="1"/>
  <c r="H23" i="64"/>
  <c r="K23" i="64" s="1"/>
  <c r="H22" i="64"/>
  <c r="K22" i="64" s="1"/>
  <c r="O22" i="64" s="1"/>
  <c r="H21" i="64"/>
  <c r="K21" i="64" s="1"/>
  <c r="H20" i="64"/>
  <c r="K20" i="64" s="1"/>
  <c r="H19" i="64"/>
  <c r="K19" i="64" s="1"/>
  <c r="H18" i="64"/>
  <c r="K18" i="64" s="1"/>
  <c r="H17" i="64"/>
  <c r="K17" i="64" s="1"/>
  <c r="H16" i="64"/>
  <c r="K16" i="64" s="1"/>
  <c r="M16" i="64" s="1"/>
  <c r="H15" i="64"/>
  <c r="K15" i="64" s="1"/>
  <c r="H14" i="64"/>
  <c r="K14" i="64" s="1"/>
  <c r="H13" i="64"/>
  <c r="K13" i="64" s="1"/>
  <c r="F17" i="63" s="1"/>
  <c r="I29" i="63" l="1"/>
  <c r="H29" i="63"/>
  <c r="G29" i="63"/>
  <c r="O127" i="69"/>
  <c r="O135" i="69"/>
  <c r="O167" i="69"/>
  <c r="O199" i="69"/>
  <c r="O24" i="69"/>
  <c r="O56" i="69"/>
  <c r="O80" i="69"/>
  <c r="O88" i="69"/>
  <c r="O104" i="69"/>
  <c r="O120" i="69"/>
  <c r="O128" i="69"/>
  <c r="O33" i="69"/>
  <c r="O65" i="69"/>
  <c r="O73" i="69"/>
  <c r="O81" i="69"/>
  <c r="O138" i="69"/>
  <c r="M13" i="69"/>
  <c r="K17" i="63"/>
  <c r="K29" i="63"/>
  <c r="O124" i="68"/>
  <c r="O164" i="68"/>
  <c r="O106" i="68"/>
  <c r="O194" i="68"/>
  <c r="O15" i="68"/>
  <c r="O23" i="68"/>
  <c r="O79" i="68"/>
  <c r="O87" i="68"/>
  <c r="O108" i="68"/>
  <c r="O156" i="68"/>
  <c r="O188" i="68"/>
  <c r="J29" i="63"/>
  <c r="O155" i="67"/>
  <c r="O163" i="67"/>
  <c r="O171" i="67"/>
  <c r="O187" i="67"/>
  <c r="O109" i="67"/>
  <c r="I17" i="63"/>
  <c r="O106" i="66"/>
  <c r="O146" i="66"/>
  <c r="O45" i="66"/>
  <c r="O77" i="66"/>
  <c r="O13" i="66"/>
  <c r="H17" i="63"/>
  <c r="O146" i="65"/>
  <c r="O194" i="65"/>
  <c r="O21" i="65"/>
  <c r="O13" i="65"/>
  <c r="G17" i="63"/>
  <c r="O88" i="64"/>
  <c r="O77" i="64"/>
  <c r="J16" i="70"/>
  <c r="O18" i="64"/>
  <c r="M18" i="64"/>
  <c r="O20" i="64"/>
  <c r="P20" i="64" s="1"/>
  <c r="M20" i="64"/>
  <c r="M24" i="64"/>
  <c r="O24" i="64"/>
  <c r="O28" i="64"/>
  <c r="M28" i="64"/>
  <c r="O34" i="64"/>
  <c r="M34" i="64"/>
  <c r="O36" i="64"/>
  <c r="M36" i="64"/>
  <c r="O44" i="64"/>
  <c r="M44" i="64"/>
  <c r="O48" i="64"/>
  <c r="M48" i="64"/>
  <c r="O54" i="64"/>
  <c r="M54" i="64"/>
  <c r="O58" i="64"/>
  <c r="M58" i="64"/>
  <c r="O60" i="64"/>
  <c r="M60" i="64"/>
  <c r="O72" i="64"/>
  <c r="M72" i="64"/>
  <c r="O76" i="64"/>
  <c r="M76" i="64"/>
  <c r="O80" i="64"/>
  <c r="M80" i="64"/>
  <c r="O86" i="64"/>
  <c r="M86" i="64"/>
  <c r="O90" i="64"/>
  <c r="M90" i="64"/>
  <c r="O92" i="64"/>
  <c r="M92" i="64"/>
  <c r="O97" i="64"/>
  <c r="M97" i="64"/>
  <c r="M99" i="64"/>
  <c r="O99" i="64"/>
  <c r="M100" i="64"/>
  <c r="O100" i="64"/>
  <c r="O101" i="64"/>
  <c r="M101" i="64"/>
  <c r="M103" i="64"/>
  <c r="O103" i="64"/>
  <c r="O105" i="64"/>
  <c r="M105" i="64"/>
  <c r="M107" i="64"/>
  <c r="O107" i="64"/>
  <c r="O109" i="64"/>
  <c r="M109" i="64"/>
  <c r="O110" i="64"/>
  <c r="M110" i="64"/>
  <c r="O113" i="64"/>
  <c r="M113" i="64"/>
  <c r="M116" i="64"/>
  <c r="O116" i="64"/>
  <c r="O117" i="64"/>
  <c r="M117" i="64"/>
  <c r="M119" i="64"/>
  <c r="O119" i="64"/>
  <c r="O121" i="64"/>
  <c r="M121" i="64"/>
  <c r="O125" i="64"/>
  <c r="M125" i="64"/>
  <c r="O126" i="64"/>
  <c r="M126" i="64"/>
  <c r="O129" i="64"/>
  <c r="M129" i="64"/>
  <c r="M132" i="64"/>
  <c r="O132" i="64"/>
  <c r="P132" i="64" s="1"/>
  <c r="O133" i="64"/>
  <c r="M133" i="64"/>
  <c r="M135" i="64"/>
  <c r="O135" i="64"/>
  <c r="P135" i="64" s="1"/>
  <c r="O137" i="64"/>
  <c r="M137" i="64"/>
  <c r="O141" i="64"/>
  <c r="M141" i="64"/>
  <c r="P141" i="64" s="1"/>
  <c r="O142" i="64"/>
  <c r="M142" i="64"/>
  <c r="O145" i="64"/>
  <c r="M145" i="64"/>
  <c r="M148" i="64"/>
  <c r="O148" i="64"/>
  <c r="O149" i="64"/>
  <c r="M149" i="64"/>
  <c r="M151" i="64"/>
  <c r="O151" i="64"/>
  <c r="O153" i="64"/>
  <c r="M153" i="64"/>
  <c r="O157" i="64"/>
  <c r="M157" i="64"/>
  <c r="O158" i="64"/>
  <c r="M158" i="64"/>
  <c r="O161" i="64"/>
  <c r="M161" i="64"/>
  <c r="M163" i="64"/>
  <c r="O163" i="64"/>
  <c r="M164" i="64"/>
  <c r="O164" i="64"/>
  <c r="O165" i="64"/>
  <c r="M165" i="64"/>
  <c r="P165" i="64" s="1"/>
  <c r="M167" i="64"/>
  <c r="O167" i="64"/>
  <c r="M168" i="64"/>
  <c r="O168" i="64"/>
  <c r="O169" i="64"/>
  <c r="M169" i="64"/>
  <c r="M172" i="64"/>
  <c r="O172" i="64"/>
  <c r="O173" i="64"/>
  <c r="M173" i="64"/>
  <c r="O174" i="64"/>
  <c r="M174" i="64"/>
  <c r="M176" i="64"/>
  <c r="O176" i="64"/>
  <c r="O177" i="64"/>
  <c r="M177" i="64"/>
  <c r="P177" i="64" s="1"/>
  <c r="M180" i="64"/>
  <c r="O180" i="64"/>
  <c r="O181" i="64"/>
  <c r="M181" i="64"/>
  <c r="M183" i="64"/>
  <c r="O183" i="64"/>
  <c r="M184" i="64"/>
  <c r="O184" i="64"/>
  <c r="O185" i="64"/>
  <c r="M185" i="64"/>
  <c r="M188" i="64"/>
  <c r="O188" i="64"/>
  <c r="O189" i="64"/>
  <c r="M189" i="64"/>
  <c r="O190" i="64"/>
  <c r="M190" i="64"/>
  <c r="P190" i="64" s="1"/>
  <c r="M192" i="64"/>
  <c r="O192" i="64"/>
  <c r="O193" i="64"/>
  <c r="M193" i="64"/>
  <c r="M196" i="64"/>
  <c r="O196" i="64"/>
  <c r="O197" i="64"/>
  <c r="M197" i="64"/>
  <c r="M199" i="64"/>
  <c r="O199" i="64"/>
  <c r="M200" i="64"/>
  <c r="O200" i="64"/>
  <c r="O201" i="64"/>
  <c r="M201" i="64"/>
  <c r="M204" i="64"/>
  <c r="O204" i="64"/>
  <c r="O205" i="64"/>
  <c r="M205" i="64"/>
  <c r="O206" i="64"/>
  <c r="M206" i="64"/>
  <c r="M208" i="64"/>
  <c r="O208" i="64"/>
  <c r="O209" i="64"/>
  <c r="M209" i="64"/>
  <c r="P209" i="64" s="1"/>
  <c r="M212" i="64"/>
  <c r="P212" i="64" s="1"/>
  <c r="O212" i="64"/>
  <c r="O213" i="64"/>
  <c r="M213" i="64"/>
  <c r="M215" i="64"/>
  <c r="O215" i="64"/>
  <c r="M216" i="64"/>
  <c r="O216" i="64"/>
  <c r="O217" i="64"/>
  <c r="M217" i="64"/>
  <c r="O218" i="64"/>
  <c r="M218" i="64"/>
  <c r="M220" i="64"/>
  <c r="O220" i="64"/>
  <c r="O221" i="64"/>
  <c r="M221" i="64"/>
  <c r="P221" i="64" s="1"/>
  <c r="O222" i="64"/>
  <c r="M222" i="64"/>
  <c r="M224" i="64"/>
  <c r="O224" i="64"/>
  <c r="O225" i="64"/>
  <c r="M225" i="64"/>
  <c r="M228" i="64"/>
  <c r="O228" i="64"/>
  <c r="P228" i="64" s="1"/>
  <c r="O229" i="64"/>
  <c r="P229" i="64" s="1"/>
  <c r="M229" i="64"/>
  <c r="M231" i="64"/>
  <c r="O231" i="64"/>
  <c r="P231" i="64" s="1"/>
  <c r="M232" i="64"/>
  <c r="O232" i="64"/>
  <c r="O233" i="64"/>
  <c r="M233" i="64"/>
  <c r="P233" i="64" s="1"/>
  <c r="M236" i="64"/>
  <c r="O236" i="64"/>
  <c r="O237" i="64"/>
  <c r="M237" i="64"/>
  <c r="O238" i="64"/>
  <c r="M238" i="64"/>
  <c r="M240" i="64"/>
  <c r="O240" i="64"/>
  <c r="O241" i="64"/>
  <c r="P241" i="64" s="1"/>
  <c r="M241" i="64"/>
  <c r="M244" i="64"/>
  <c r="O244" i="64"/>
  <c r="O245" i="64"/>
  <c r="P245" i="64" s="1"/>
  <c r="M245" i="64"/>
  <c r="M247" i="64"/>
  <c r="O247" i="64"/>
  <c r="M248" i="64"/>
  <c r="O248" i="64"/>
  <c r="O249" i="64"/>
  <c r="M249" i="64"/>
  <c r="O250" i="64"/>
  <c r="M250" i="64"/>
  <c r="M252" i="64"/>
  <c r="O252" i="64"/>
  <c r="O253" i="64"/>
  <c r="M253" i="64"/>
  <c r="O254" i="64"/>
  <c r="M254" i="64"/>
  <c r="M256" i="64"/>
  <c r="O256" i="64"/>
  <c r="O257" i="64"/>
  <c r="M257" i="64"/>
  <c r="P257" i="64" s="1"/>
  <c r="M259" i="64"/>
  <c r="O259" i="64"/>
  <c r="M260" i="64"/>
  <c r="O260" i="64"/>
  <c r="O261" i="64"/>
  <c r="P261" i="64" s="1"/>
  <c r="M261" i="64"/>
  <c r="O14" i="65"/>
  <c r="M14" i="65"/>
  <c r="M20" i="65"/>
  <c r="O20" i="65"/>
  <c r="O22" i="65"/>
  <c r="M22" i="65"/>
  <c r="O24" i="65"/>
  <c r="M24" i="65"/>
  <c r="M25" i="65"/>
  <c r="O25" i="65"/>
  <c r="M27" i="65"/>
  <c r="O27" i="65"/>
  <c r="M28" i="65"/>
  <c r="O28" i="65"/>
  <c r="O29" i="65"/>
  <c r="M29" i="65"/>
  <c r="O30" i="65"/>
  <c r="M30" i="65"/>
  <c r="M36" i="65"/>
  <c r="O36" i="65"/>
  <c r="O38" i="65"/>
  <c r="M38" i="65"/>
  <c r="M43" i="65"/>
  <c r="O43" i="65"/>
  <c r="M44" i="65"/>
  <c r="O44" i="65"/>
  <c r="O46" i="65"/>
  <c r="M46" i="65"/>
  <c r="O48" i="65"/>
  <c r="M48" i="65"/>
  <c r="M51" i="65"/>
  <c r="O51" i="65"/>
  <c r="M52" i="65"/>
  <c r="O52" i="65"/>
  <c r="O54" i="65"/>
  <c r="M54" i="65"/>
  <c r="O56" i="65"/>
  <c r="M56" i="65"/>
  <c r="M60" i="65"/>
  <c r="O60" i="65"/>
  <c r="O62" i="65"/>
  <c r="M62" i="65"/>
  <c r="O64" i="65"/>
  <c r="M64" i="65"/>
  <c r="M65" i="65"/>
  <c r="O65" i="65"/>
  <c r="M68" i="65"/>
  <c r="O68" i="65"/>
  <c r="O70" i="65"/>
  <c r="M70" i="65"/>
  <c r="M73" i="65"/>
  <c r="O73" i="65"/>
  <c r="M76" i="65"/>
  <c r="O76" i="65"/>
  <c r="O78" i="65"/>
  <c r="M78" i="65"/>
  <c r="M81" i="65"/>
  <c r="O81" i="65"/>
  <c r="M84" i="65"/>
  <c r="O84" i="65"/>
  <c r="O86" i="65"/>
  <c r="M86" i="65"/>
  <c r="M92" i="65"/>
  <c r="O92" i="65"/>
  <c r="O94" i="65"/>
  <c r="M94" i="65"/>
  <c r="O95" i="65"/>
  <c r="M95" i="65"/>
  <c r="O98" i="65"/>
  <c r="M98" i="65"/>
  <c r="O100" i="65"/>
  <c r="M100" i="65"/>
  <c r="M101" i="65"/>
  <c r="O101" i="65"/>
  <c r="O103" i="65"/>
  <c r="M103" i="65"/>
  <c r="O106" i="65"/>
  <c r="M106" i="65"/>
  <c r="M109" i="65"/>
  <c r="O109" i="65"/>
  <c r="M111" i="65"/>
  <c r="O111" i="65"/>
  <c r="O113" i="65"/>
  <c r="M113" i="65"/>
  <c r="O114" i="65"/>
  <c r="M114" i="65"/>
  <c r="M116" i="65"/>
  <c r="O116" i="65"/>
  <c r="M117" i="65"/>
  <c r="O117" i="65"/>
  <c r="M119" i="65"/>
  <c r="O119" i="65"/>
  <c r="O121" i="65"/>
  <c r="M121" i="65"/>
  <c r="O122" i="65"/>
  <c r="M122" i="65"/>
  <c r="M125" i="65"/>
  <c r="O125" i="65"/>
  <c r="O129" i="65"/>
  <c r="M129" i="65"/>
  <c r="O132" i="65"/>
  <c r="P132" i="65" s="1"/>
  <c r="M132" i="65"/>
  <c r="M133" i="65"/>
  <c r="O133" i="65"/>
  <c r="O137" i="65"/>
  <c r="M137" i="65"/>
  <c r="O140" i="65"/>
  <c r="P140" i="65" s="1"/>
  <c r="M140" i="65"/>
  <c r="M141" i="65"/>
  <c r="O141" i="65"/>
  <c r="O148" i="65"/>
  <c r="M148" i="65"/>
  <c r="M149" i="65"/>
  <c r="O149" i="65"/>
  <c r="O156" i="65"/>
  <c r="P156" i="65" s="1"/>
  <c r="M156" i="65"/>
  <c r="M157" i="65"/>
  <c r="O157" i="65"/>
  <c r="M159" i="65"/>
  <c r="O159" i="65"/>
  <c r="O162" i="65"/>
  <c r="M162" i="65"/>
  <c r="M165" i="65"/>
  <c r="O165" i="65"/>
  <c r="M167" i="65"/>
  <c r="O167" i="65"/>
  <c r="O170" i="65"/>
  <c r="M170" i="65"/>
  <c r="M172" i="65"/>
  <c r="O172" i="65"/>
  <c r="M173" i="65"/>
  <c r="O173" i="65"/>
  <c r="M175" i="65"/>
  <c r="O175" i="65"/>
  <c r="O177" i="65"/>
  <c r="M177" i="65"/>
  <c r="O178" i="65"/>
  <c r="M178" i="65"/>
  <c r="M180" i="65"/>
  <c r="O180" i="65"/>
  <c r="M181" i="65"/>
  <c r="O181" i="65"/>
  <c r="M183" i="65"/>
  <c r="O183" i="65"/>
  <c r="O185" i="65"/>
  <c r="M185" i="65"/>
  <c r="O186" i="65"/>
  <c r="M186" i="65"/>
  <c r="M189" i="65"/>
  <c r="P189" i="65" s="1"/>
  <c r="O189" i="65"/>
  <c r="O193" i="65"/>
  <c r="M193" i="65"/>
  <c r="O196" i="65"/>
  <c r="M196" i="65"/>
  <c r="M199" i="65"/>
  <c r="O199" i="65"/>
  <c r="O202" i="65"/>
  <c r="M202" i="65"/>
  <c r="M205" i="65"/>
  <c r="O205" i="65"/>
  <c r="O209" i="65"/>
  <c r="M209" i="65"/>
  <c r="O212" i="65"/>
  <c r="P212" i="65" s="1"/>
  <c r="M212" i="65"/>
  <c r="M215" i="65"/>
  <c r="O215" i="65"/>
  <c r="O218" i="65"/>
  <c r="M218" i="65"/>
  <c r="O226" i="65"/>
  <c r="M226" i="65"/>
  <c r="M229" i="65"/>
  <c r="O229" i="65"/>
  <c r="O233" i="65"/>
  <c r="M233" i="65"/>
  <c r="P233" i="65" s="1"/>
  <c r="O234" i="65"/>
  <c r="M234" i="65"/>
  <c r="O236" i="65"/>
  <c r="M236" i="65"/>
  <c r="M237" i="65"/>
  <c r="O237" i="65"/>
  <c r="P237" i="65" s="1"/>
  <c r="M239" i="65"/>
  <c r="O239" i="65"/>
  <c r="P239" i="65" s="1"/>
  <c r="O241" i="65"/>
  <c r="M241" i="65"/>
  <c r="O242" i="65"/>
  <c r="M242" i="65"/>
  <c r="O244" i="65"/>
  <c r="P244" i="65" s="1"/>
  <c r="M244" i="65"/>
  <c r="M247" i="65"/>
  <c r="O247" i="65"/>
  <c r="O250" i="65"/>
  <c r="M250" i="65"/>
  <c r="M255" i="65"/>
  <c r="O255" i="65"/>
  <c r="O258" i="65"/>
  <c r="M258" i="65"/>
  <c r="M20" i="66"/>
  <c r="O20" i="66"/>
  <c r="M28" i="66"/>
  <c r="O28" i="66"/>
  <c r="M36" i="66"/>
  <c r="O36" i="66"/>
  <c r="M44" i="66"/>
  <c r="O44" i="66"/>
  <c r="M52" i="66"/>
  <c r="O52" i="66"/>
  <c r="M60" i="66"/>
  <c r="O60" i="66"/>
  <c r="M68" i="66"/>
  <c r="O68" i="66"/>
  <c r="M76" i="66"/>
  <c r="O76" i="66"/>
  <c r="M84" i="66"/>
  <c r="O84" i="66"/>
  <c r="M92" i="66"/>
  <c r="O92" i="66"/>
  <c r="O94" i="66"/>
  <c r="M94" i="66"/>
  <c r="P94" i="66" s="1"/>
  <c r="M99" i="66"/>
  <c r="O99" i="66"/>
  <c r="M101" i="66"/>
  <c r="O101" i="66"/>
  <c r="M107" i="66"/>
  <c r="O107" i="66"/>
  <c r="O111" i="66"/>
  <c r="M111" i="66"/>
  <c r="P111" i="66" s="1"/>
  <c r="M115" i="66"/>
  <c r="O115" i="66"/>
  <c r="O119" i="66"/>
  <c r="M119" i="66"/>
  <c r="P119" i="66" s="1"/>
  <c r="O122" i="66"/>
  <c r="M122" i="66"/>
  <c r="M123" i="66"/>
  <c r="O123" i="66"/>
  <c r="O130" i="66"/>
  <c r="M130" i="66"/>
  <c r="M131" i="66"/>
  <c r="O131" i="66"/>
  <c r="O138" i="66"/>
  <c r="M138" i="66"/>
  <c r="M139" i="66"/>
  <c r="O139" i="66"/>
  <c r="M147" i="66"/>
  <c r="O147" i="66"/>
  <c r="M149" i="66"/>
  <c r="O149" i="66"/>
  <c r="P149" i="66" s="1"/>
  <c r="O152" i="66"/>
  <c r="M152" i="66"/>
  <c r="M155" i="66"/>
  <c r="O155" i="66"/>
  <c r="M157" i="66"/>
  <c r="O157" i="66"/>
  <c r="O159" i="66"/>
  <c r="M159" i="66"/>
  <c r="P159" i="66" s="1"/>
  <c r="M163" i="66"/>
  <c r="O163" i="66"/>
  <c r="M165" i="66"/>
  <c r="O165" i="66"/>
  <c r="P165" i="66" s="1"/>
  <c r="O167" i="66"/>
  <c r="M167" i="66"/>
  <c r="O170" i="66"/>
  <c r="M170" i="66"/>
  <c r="P170" i="66" s="1"/>
  <c r="M171" i="66"/>
  <c r="O171" i="66"/>
  <c r="M173" i="66"/>
  <c r="O173" i="66"/>
  <c r="O175" i="66"/>
  <c r="M175" i="66"/>
  <c r="O178" i="66"/>
  <c r="M178" i="66"/>
  <c r="M179" i="66"/>
  <c r="O179" i="66"/>
  <c r="M181" i="66"/>
  <c r="O181" i="66"/>
  <c r="O186" i="66"/>
  <c r="M186" i="66"/>
  <c r="M187" i="66"/>
  <c r="O187" i="66"/>
  <c r="M189" i="66"/>
  <c r="O189" i="66"/>
  <c r="O191" i="66"/>
  <c r="M191" i="66"/>
  <c r="P191" i="66" s="1"/>
  <c r="M195" i="66"/>
  <c r="O195" i="66"/>
  <c r="M197" i="66"/>
  <c r="O197" i="66"/>
  <c r="O199" i="66"/>
  <c r="M199" i="66"/>
  <c r="M203" i="66"/>
  <c r="O203" i="66"/>
  <c r="M205" i="66"/>
  <c r="O205" i="66"/>
  <c r="M210" i="66"/>
  <c r="O210" i="66"/>
  <c r="M211" i="66"/>
  <c r="O211" i="66"/>
  <c r="M213" i="66"/>
  <c r="O213" i="66"/>
  <c r="P213" i="66" s="1"/>
  <c r="M219" i="66"/>
  <c r="O219" i="66"/>
  <c r="M221" i="66"/>
  <c r="O221" i="66"/>
  <c r="P221" i="66" s="1"/>
  <c r="O223" i="66"/>
  <c r="M223" i="66"/>
  <c r="P223" i="66" s="1"/>
  <c r="O229" i="66"/>
  <c r="M229" i="66"/>
  <c r="O231" i="66"/>
  <c r="M231" i="66"/>
  <c r="O234" i="66"/>
  <c r="M234" i="66"/>
  <c r="P234" i="66" s="1"/>
  <c r="M237" i="66"/>
  <c r="O237" i="66"/>
  <c r="P237" i="66" s="1"/>
  <c r="O242" i="66"/>
  <c r="M242" i="66"/>
  <c r="P242" i="66" s="1"/>
  <c r="O245" i="66"/>
  <c r="M245" i="66"/>
  <c r="O250" i="66"/>
  <c r="M250" i="66"/>
  <c r="M253" i="66"/>
  <c r="O253" i="66"/>
  <c r="O255" i="66"/>
  <c r="M255" i="66"/>
  <c r="P255" i="66" s="1"/>
  <c r="O258" i="66"/>
  <c r="M258" i="66"/>
  <c r="M16" i="67"/>
  <c r="O16" i="67"/>
  <c r="O17" i="67"/>
  <c r="M17" i="67"/>
  <c r="M24" i="67"/>
  <c r="O24" i="67"/>
  <c r="O25" i="67"/>
  <c r="M25" i="67"/>
  <c r="M32" i="67"/>
  <c r="O32" i="67"/>
  <c r="O33" i="67"/>
  <c r="M33" i="67"/>
  <c r="M40" i="67"/>
  <c r="O40" i="67"/>
  <c r="O41" i="67"/>
  <c r="M41" i="67"/>
  <c r="M48" i="67"/>
  <c r="O48" i="67"/>
  <c r="O49" i="67"/>
  <c r="P49" i="67" s="1"/>
  <c r="M49" i="67"/>
  <c r="M56" i="67"/>
  <c r="O56" i="67"/>
  <c r="O57" i="67"/>
  <c r="M57" i="67"/>
  <c r="M64" i="67"/>
  <c r="O64" i="67"/>
  <c r="O65" i="67"/>
  <c r="M65" i="67"/>
  <c r="M72" i="67"/>
  <c r="O72" i="67"/>
  <c r="O73" i="67"/>
  <c r="M73" i="67"/>
  <c r="M80" i="67"/>
  <c r="O80" i="67"/>
  <c r="O81" i="67"/>
  <c r="M81" i="67"/>
  <c r="M88" i="67"/>
  <c r="O88" i="67"/>
  <c r="O89" i="67"/>
  <c r="M89" i="67"/>
  <c r="O94" i="67"/>
  <c r="M94" i="67"/>
  <c r="M96" i="67"/>
  <c r="O96" i="67"/>
  <c r="O100" i="67"/>
  <c r="M100" i="67"/>
  <c r="O101" i="67"/>
  <c r="P101" i="67" s="1"/>
  <c r="M101" i="67"/>
  <c r="O102" i="67"/>
  <c r="M102" i="67"/>
  <c r="M104" i="67"/>
  <c r="O104" i="67"/>
  <c r="O108" i="67"/>
  <c r="M108" i="67"/>
  <c r="M112" i="67"/>
  <c r="O112" i="67"/>
  <c r="O114" i="67"/>
  <c r="M114" i="67"/>
  <c r="O116" i="67"/>
  <c r="M116" i="67"/>
  <c r="M117" i="67"/>
  <c r="O117" i="67"/>
  <c r="P117" i="67" s="1"/>
  <c r="O122" i="67"/>
  <c r="M122" i="67"/>
  <c r="O124" i="67"/>
  <c r="M124" i="67"/>
  <c r="O125" i="67"/>
  <c r="M125" i="67"/>
  <c r="M127" i="67"/>
  <c r="O127" i="67"/>
  <c r="P127" i="67" s="1"/>
  <c r="O130" i="67"/>
  <c r="M130" i="67"/>
  <c r="O133" i="67"/>
  <c r="M133" i="67"/>
  <c r="O138" i="67"/>
  <c r="M138" i="67"/>
  <c r="O140" i="67"/>
  <c r="M140" i="67"/>
  <c r="O141" i="67"/>
  <c r="M141" i="67"/>
  <c r="M143" i="67"/>
  <c r="O143" i="67"/>
  <c r="O146" i="67"/>
  <c r="M146" i="67"/>
  <c r="M149" i="67"/>
  <c r="O149" i="67"/>
  <c r="P149" i="67" s="1"/>
  <c r="M151" i="67"/>
  <c r="P151" i="67" s="1"/>
  <c r="O151" i="67"/>
  <c r="O154" i="67"/>
  <c r="M154" i="67"/>
  <c r="O156" i="67"/>
  <c r="M156" i="67"/>
  <c r="M159" i="67"/>
  <c r="O159" i="67"/>
  <c r="P159" i="67" s="1"/>
  <c r="O162" i="67"/>
  <c r="M162" i="67"/>
  <c r="O164" i="67"/>
  <c r="M164" i="67"/>
  <c r="M167" i="67"/>
  <c r="O167" i="67"/>
  <c r="P167" i="67" s="1"/>
  <c r="O170" i="67"/>
  <c r="M170" i="67"/>
  <c r="O172" i="67"/>
  <c r="M172" i="67"/>
  <c r="M175" i="67"/>
  <c r="O175" i="67"/>
  <c r="O178" i="67"/>
  <c r="M178" i="67"/>
  <c r="O180" i="67"/>
  <c r="M180" i="67"/>
  <c r="M183" i="67"/>
  <c r="P183" i="67" s="1"/>
  <c r="O183" i="67"/>
  <c r="O186" i="67"/>
  <c r="M186" i="67"/>
  <c r="O188" i="67"/>
  <c r="M188" i="67"/>
  <c r="O189" i="67"/>
  <c r="M189" i="67"/>
  <c r="M191" i="67"/>
  <c r="P191" i="67" s="1"/>
  <c r="O191" i="67"/>
  <c r="O194" i="67"/>
  <c r="M194" i="67"/>
  <c r="O197" i="67"/>
  <c r="M197" i="67"/>
  <c r="M199" i="67"/>
  <c r="O199" i="67"/>
  <c r="O202" i="67"/>
  <c r="M202" i="67"/>
  <c r="M207" i="67"/>
  <c r="O207" i="67"/>
  <c r="O210" i="67"/>
  <c r="M210" i="67"/>
  <c r="M215" i="67"/>
  <c r="O215" i="67"/>
  <c r="O218" i="67"/>
  <c r="M218" i="67"/>
  <c r="M223" i="67"/>
  <c r="O223" i="67"/>
  <c r="O226" i="67"/>
  <c r="M226" i="67"/>
  <c r="M231" i="67"/>
  <c r="O231" i="67"/>
  <c r="O234" i="67"/>
  <c r="M234" i="67"/>
  <c r="M239" i="67"/>
  <c r="O239" i="67"/>
  <c r="O242" i="67"/>
  <c r="M242" i="67"/>
  <c r="M247" i="67"/>
  <c r="O247" i="67"/>
  <c r="O250" i="67"/>
  <c r="M250" i="67"/>
  <c r="O252" i="67"/>
  <c r="M252" i="67"/>
  <c r="P252" i="67" s="1"/>
  <c r="M255" i="67"/>
  <c r="O255" i="67"/>
  <c r="O258" i="67"/>
  <c r="M258" i="67"/>
  <c r="O260" i="67"/>
  <c r="M260" i="67"/>
  <c r="O14" i="68"/>
  <c r="M14" i="68"/>
  <c r="O17" i="68"/>
  <c r="M17" i="68"/>
  <c r="O22" i="68"/>
  <c r="M22" i="68"/>
  <c r="O25" i="68"/>
  <c r="M25" i="68"/>
  <c r="O30" i="68"/>
  <c r="M30" i="68"/>
  <c r="O33" i="68"/>
  <c r="M33" i="68"/>
  <c r="O38" i="68"/>
  <c r="M38" i="68"/>
  <c r="O41" i="68"/>
  <c r="M41" i="68"/>
  <c r="O46" i="68"/>
  <c r="M46" i="68"/>
  <c r="P46" i="68" s="1"/>
  <c r="O54" i="68"/>
  <c r="M54" i="68"/>
  <c r="O62" i="68"/>
  <c r="M62" i="68"/>
  <c r="O70" i="68"/>
  <c r="M70" i="68"/>
  <c r="O78" i="68"/>
  <c r="M78" i="68"/>
  <c r="P78" i="68" s="1"/>
  <c r="O86" i="68"/>
  <c r="M86" i="68"/>
  <c r="O94" i="68"/>
  <c r="M94" i="68"/>
  <c r="O98" i="68"/>
  <c r="M98" i="68"/>
  <c r="O100" i="68"/>
  <c r="M100" i="68"/>
  <c r="P100" i="68" s="1"/>
  <c r="M101" i="68"/>
  <c r="O101" i="68"/>
  <c r="P101" i="68" s="1"/>
  <c r="M109" i="68"/>
  <c r="O109" i="68"/>
  <c r="O114" i="68"/>
  <c r="M114" i="68"/>
  <c r="O116" i="68"/>
  <c r="M116" i="68"/>
  <c r="M117" i="68"/>
  <c r="O117" i="68"/>
  <c r="P117" i="68" s="1"/>
  <c r="M125" i="68"/>
  <c r="O125" i="68"/>
  <c r="P125" i="68" s="1"/>
  <c r="M127" i="68"/>
  <c r="O127" i="68"/>
  <c r="M133" i="68"/>
  <c r="O133" i="68"/>
  <c r="O140" i="68"/>
  <c r="M140" i="68"/>
  <c r="P140" i="68" s="1"/>
  <c r="M141" i="68"/>
  <c r="O141" i="68"/>
  <c r="O146" i="68"/>
  <c r="M146" i="68"/>
  <c r="O148" i="68"/>
  <c r="M148" i="68"/>
  <c r="P148" i="68" s="1"/>
  <c r="M149" i="68"/>
  <c r="O149" i="68"/>
  <c r="M151" i="68"/>
  <c r="O151" i="68"/>
  <c r="P151" i="68" s="1"/>
  <c r="M157" i="68"/>
  <c r="O157" i="68"/>
  <c r="M159" i="68"/>
  <c r="O159" i="68"/>
  <c r="M165" i="68"/>
  <c r="O165" i="68"/>
  <c r="O170" i="68"/>
  <c r="M170" i="68"/>
  <c r="M173" i="68"/>
  <c r="O173" i="68"/>
  <c r="O178" i="68"/>
  <c r="M178" i="68"/>
  <c r="P178" i="68" s="1"/>
  <c r="O180" i="68"/>
  <c r="M180" i="68"/>
  <c r="P180" i="68" s="1"/>
  <c r="M181" i="68"/>
  <c r="O181" i="68"/>
  <c r="P181" i="68" s="1"/>
  <c r="M189" i="68"/>
  <c r="O189" i="68"/>
  <c r="M191" i="68"/>
  <c r="O191" i="68"/>
  <c r="M197" i="68"/>
  <c r="O197" i="68"/>
  <c r="O204" i="68"/>
  <c r="M204" i="68"/>
  <c r="M205" i="68"/>
  <c r="O205" i="68"/>
  <c r="O210" i="68"/>
  <c r="M210" i="68"/>
  <c r="P210" i="68" s="1"/>
  <c r="O212" i="68"/>
  <c r="M212" i="68"/>
  <c r="P212" i="68" s="1"/>
  <c r="M213" i="68"/>
  <c r="O213" i="68"/>
  <c r="M215" i="68"/>
  <c r="P215" i="68" s="1"/>
  <c r="O215" i="68"/>
  <c r="M221" i="68"/>
  <c r="O221" i="68"/>
  <c r="M223" i="68"/>
  <c r="O223" i="68"/>
  <c r="P223" i="68" s="1"/>
  <c r="M229" i="68"/>
  <c r="O229" i="68"/>
  <c r="O234" i="68"/>
  <c r="M234" i="68"/>
  <c r="M237" i="68"/>
  <c r="O237" i="68"/>
  <c r="M239" i="68"/>
  <c r="O239" i="68"/>
  <c r="P239" i="68" s="1"/>
  <c r="O242" i="68"/>
  <c r="M242" i="68"/>
  <c r="O244" i="68"/>
  <c r="M244" i="68"/>
  <c r="M245" i="68"/>
  <c r="O245" i="68"/>
  <c r="M253" i="68"/>
  <c r="O253" i="68"/>
  <c r="P253" i="68" s="1"/>
  <c r="M255" i="68"/>
  <c r="O255" i="68"/>
  <c r="P255" i="68" s="1"/>
  <c r="O258" i="68"/>
  <c r="M258" i="68"/>
  <c r="M261" i="68"/>
  <c r="O261" i="68"/>
  <c r="M15" i="69"/>
  <c r="O15" i="69"/>
  <c r="M23" i="69"/>
  <c r="O23" i="69"/>
  <c r="M31" i="69"/>
  <c r="O31" i="69"/>
  <c r="M39" i="69"/>
  <c r="O39" i="69"/>
  <c r="M47" i="69"/>
  <c r="O47" i="69"/>
  <c r="M55" i="69"/>
  <c r="O55" i="69"/>
  <c r="M63" i="69"/>
  <c r="O63" i="69"/>
  <c r="M71" i="69"/>
  <c r="O71" i="69"/>
  <c r="M79" i="69"/>
  <c r="O79" i="69"/>
  <c r="M87" i="69"/>
  <c r="O87" i="69"/>
  <c r="O98" i="69"/>
  <c r="M98" i="69"/>
  <c r="O99" i="69"/>
  <c r="M99" i="69"/>
  <c r="M101" i="69"/>
  <c r="O101" i="69"/>
  <c r="O103" i="69"/>
  <c r="M103" i="69"/>
  <c r="O106" i="69"/>
  <c r="M106" i="69"/>
  <c r="O111" i="69"/>
  <c r="M111" i="69"/>
  <c r="O114" i="69"/>
  <c r="M114" i="69"/>
  <c r="O119" i="69"/>
  <c r="M119" i="69"/>
  <c r="O121" i="69"/>
  <c r="M121" i="69"/>
  <c r="O122" i="69"/>
  <c r="M122" i="69"/>
  <c r="O129" i="69"/>
  <c r="M129" i="69"/>
  <c r="M130" i="69"/>
  <c r="O130" i="69"/>
  <c r="O137" i="69"/>
  <c r="M137" i="69"/>
  <c r="O146" i="69"/>
  <c r="M146" i="69"/>
  <c r="O153" i="69"/>
  <c r="M153" i="69"/>
  <c r="O154" i="69"/>
  <c r="M154" i="69"/>
  <c r="O159" i="69"/>
  <c r="M159" i="69"/>
  <c r="O162" i="69"/>
  <c r="M162" i="69"/>
  <c r="M165" i="69"/>
  <c r="O165" i="69"/>
  <c r="O169" i="69"/>
  <c r="M169" i="69"/>
  <c r="O170" i="69"/>
  <c r="M170" i="69"/>
  <c r="M173" i="69"/>
  <c r="O173" i="69"/>
  <c r="O175" i="69"/>
  <c r="M175" i="69"/>
  <c r="O177" i="69"/>
  <c r="M177" i="69"/>
  <c r="O178" i="69"/>
  <c r="M178" i="69"/>
  <c r="O183" i="69"/>
  <c r="M183" i="69"/>
  <c r="O185" i="69"/>
  <c r="M185" i="69"/>
  <c r="O186" i="69"/>
  <c r="M186" i="69"/>
  <c r="O191" i="69"/>
  <c r="M191" i="69"/>
  <c r="O194" i="69"/>
  <c r="M194" i="69"/>
  <c r="O202" i="69"/>
  <c r="M202" i="69"/>
  <c r="O210" i="69"/>
  <c r="M210" i="69"/>
  <c r="P210" i="69" s="1"/>
  <c r="O218" i="69"/>
  <c r="P218" i="69" s="1"/>
  <c r="M218" i="69"/>
  <c r="M221" i="69"/>
  <c r="O221" i="69"/>
  <c r="O226" i="69"/>
  <c r="M226" i="69"/>
  <c r="M229" i="69"/>
  <c r="O229" i="69"/>
  <c r="P229" i="69" s="1"/>
  <c r="O233" i="69"/>
  <c r="M233" i="69"/>
  <c r="O234" i="69"/>
  <c r="M234" i="69"/>
  <c r="P234" i="69" s="1"/>
  <c r="M237" i="69"/>
  <c r="O237" i="69"/>
  <c r="P237" i="69" s="1"/>
  <c r="O239" i="69"/>
  <c r="M239" i="69"/>
  <c r="P239" i="69" s="1"/>
  <c r="O241" i="69"/>
  <c r="M241" i="69"/>
  <c r="O242" i="69"/>
  <c r="M242" i="69"/>
  <c r="P242" i="69" s="1"/>
  <c r="O247" i="69"/>
  <c r="M247" i="69"/>
  <c r="O249" i="69"/>
  <c r="M249" i="69"/>
  <c r="P249" i="69" s="1"/>
  <c r="O250" i="69"/>
  <c r="M250" i="69"/>
  <c r="O255" i="69"/>
  <c r="M255" i="69"/>
  <c r="P255" i="69" s="1"/>
  <c r="O258" i="69"/>
  <c r="M258" i="69"/>
  <c r="M261" i="69"/>
  <c r="O261" i="69"/>
  <c r="M20" i="69"/>
  <c r="O20" i="69"/>
  <c r="M36" i="69"/>
  <c r="O36" i="69"/>
  <c r="M52" i="69"/>
  <c r="O52" i="69"/>
  <c r="M68" i="69"/>
  <c r="O68" i="69"/>
  <c r="M84" i="69"/>
  <c r="O84" i="69"/>
  <c r="M108" i="69"/>
  <c r="O108" i="69"/>
  <c r="M196" i="69"/>
  <c r="O196" i="69"/>
  <c r="O51" i="69"/>
  <c r="M51" i="69"/>
  <c r="O21" i="69"/>
  <c r="M21" i="69"/>
  <c r="O37" i="69"/>
  <c r="M37" i="69"/>
  <c r="O53" i="69"/>
  <c r="M53" i="69"/>
  <c r="O69" i="69"/>
  <c r="M69" i="69"/>
  <c r="O85" i="69"/>
  <c r="M85" i="69"/>
  <c r="O19" i="69"/>
  <c r="M19" i="69"/>
  <c r="O67" i="69"/>
  <c r="M67" i="69"/>
  <c r="O22" i="69"/>
  <c r="M22" i="69"/>
  <c r="O26" i="69"/>
  <c r="M26" i="69"/>
  <c r="O38" i="69"/>
  <c r="M38" i="69"/>
  <c r="O42" i="69"/>
  <c r="M42" i="69"/>
  <c r="O54" i="69"/>
  <c r="M54" i="69"/>
  <c r="O58" i="69"/>
  <c r="M58" i="69"/>
  <c r="O70" i="69"/>
  <c r="M70" i="69"/>
  <c r="O74" i="69"/>
  <c r="M74" i="69"/>
  <c r="O86" i="69"/>
  <c r="M86" i="69"/>
  <c r="O90" i="69"/>
  <c r="M90" i="69"/>
  <c r="M100" i="69"/>
  <c r="O100" i="69"/>
  <c r="M132" i="69"/>
  <c r="O132" i="69"/>
  <c r="M188" i="69"/>
  <c r="O188" i="69"/>
  <c r="O27" i="69"/>
  <c r="M27" i="69"/>
  <c r="O43" i="69"/>
  <c r="M43" i="69"/>
  <c r="O59" i="69"/>
  <c r="M59" i="69"/>
  <c r="O75" i="69"/>
  <c r="M75" i="69"/>
  <c r="O91" i="69"/>
  <c r="M91" i="69"/>
  <c r="M172" i="69"/>
  <c r="O172" i="69"/>
  <c r="M180" i="69"/>
  <c r="O180" i="69"/>
  <c r="O28" i="69"/>
  <c r="M28" i="69"/>
  <c r="M44" i="69"/>
  <c r="O44" i="69"/>
  <c r="M60" i="69"/>
  <c r="O60" i="69"/>
  <c r="M76" i="69"/>
  <c r="O76" i="69"/>
  <c r="M92" i="69"/>
  <c r="O92" i="69"/>
  <c r="M156" i="69"/>
  <c r="O156" i="69"/>
  <c r="O260" i="69"/>
  <c r="M260" i="69"/>
  <c r="P260" i="69" s="1"/>
  <c r="O35" i="69"/>
  <c r="M35" i="69"/>
  <c r="M236" i="69"/>
  <c r="O236" i="69"/>
  <c r="O13" i="69"/>
  <c r="O29" i="69"/>
  <c r="M29" i="69"/>
  <c r="O45" i="69"/>
  <c r="M45" i="69"/>
  <c r="O61" i="69"/>
  <c r="M61" i="69"/>
  <c r="O77" i="69"/>
  <c r="M77" i="69"/>
  <c r="O93" i="69"/>
  <c r="M93" i="69"/>
  <c r="M124" i="69"/>
  <c r="O124" i="69"/>
  <c r="M148" i="69"/>
  <c r="O148" i="69"/>
  <c r="M204" i="69"/>
  <c r="O204" i="69"/>
  <c r="O83" i="69"/>
  <c r="M83" i="69"/>
  <c r="M244" i="69"/>
  <c r="O244" i="69"/>
  <c r="O14" i="69"/>
  <c r="M14" i="69"/>
  <c r="O18" i="69"/>
  <c r="M18" i="69"/>
  <c r="O30" i="69"/>
  <c r="M30" i="69"/>
  <c r="O34" i="69"/>
  <c r="M34" i="69"/>
  <c r="O46" i="69"/>
  <c r="M46" i="69"/>
  <c r="O50" i="69"/>
  <c r="M50" i="69"/>
  <c r="O62" i="69"/>
  <c r="M62" i="69"/>
  <c r="O66" i="69"/>
  <c r="M66" i="69"/>
  <c r="O78" i="69"/>
  <c r="M78" i="69"/>
  <c r="O82" i="69"/>
  <c r="M82" i="69"/>
  <c r="M116" i="69"/>
  <c r="O116" i="69"/>
  <c r="M252" i="69"/>
  <c r="O252" i="69"/>
  <c r="M25" i="69"/>
  <c r="P25" i="69" s="1"/>
  <c r="M41" i="69"/>
  <c r="P41" i="69" s="1"/>
  <c r="M65" i="69"/>
  <c r="P65" i="69" s="1"/>
  <c r="M73" i="69"/>
  <c r="P73" i="69" s="1"/>
  <c r="M81" i="69"/>
  <c r="M89" i="69"/>
  <c r="P89" i="69" s="1"/>
  <c r="M113" i="69"/>
  <c r="P113" i="69" s="1"/>
  <c r="O141" i="69"/>
  <c r="P141" i="69" s="1"/>
  <c r="M161" i="69"/>
  <c r="P161" i="69" s="1"/>
  <c r="O164" i="69"/>
  <c r="P164" i="69" s="1"/>
  <c r="M167" i="69"/>
  <c r="P167" i="69" s="1"/>
  <c r="O213" i="69"/>
  <c r="P213" i="69" s="1"/>
  <c r="O216" i="69"/>
  <c r="M216" i="69"/>
  <c r="O219" i="69"/>
  <c r="M219" i="69"/>
  <c r="O222" i="69"/>
  <c r="M222" i="69"/>
  <c r="M225" i="69"/>
  <c r="P225" i="69" s="1"/>
  <c r="O228" i="69"/>
  <c r="P228" i="69" s="1"/>
  <c r="M231" i="69"/>
  <c r="P231" i="69" s="1"/>
  <c r="O243" i="69"/>
  <c r="M243" i="69"/>
  <c r="M33" i="69"/>
  <c r="P33" i="69" s="1"/>
  <c r="O17" i="69"/>
  <c r="P17" i="69" s="1"/>
  <c r="O49" i="69"/>
  <c r="P49" i="69" s="1"/>
  <c r="O57" i="69"/>
  <c r="P57" i="69" s="1"/>
  <c r="M94" i="69"/>
  <c r="P94" i="69" s="1"/>
  <c r="O96" i="69"/>
  <c r="M96" i="69"/>
  <c r="O117" i="69"/>
  <c r="P117" i="69" s="1"/>
  <c r="O123" i="69"/>
  <c r="M123" i="69"/>
  <c r="O126" i="69"/>
  <c r="M126" i="69"/>
  <c r="M135" i="69"/>
  <c r="P135" i="69" s="1"/>
  <c r="M138" i="69"/>
  <c r="O147" i="69"/>
  <c r="M147" i="69"/>
  <c r="O150" i="69"/>
  <c r="M150" i="69"/>
  <c r="O189" i="69"/>
  <c r="P189" i="69" s="1"/>
  <c r="O192" i="69"/>
  <c r="M192" i="69"/>
  <c r="O195" i="69"/>
  <c r="M195" i="69"/>
  <c r="O198" i="69"/>
  <c r="M198" i="69"/>
  <c r="M201" i="69"/>
  <c r="P201" i="69" s="1"/>
  <c r="M207" i="69"/>
  <c r="P207" i="69" s="1"/>
  <c r="O253" i="69"/>
  <c r="P253" i="69" s="1"/>
  <c r="O256" i="69"/>
  <c r="M256" i="69"/>
  <c r="O259" i="69"/>
  <c r="M259" i="69"/>
  <c r="O158" i="69"/>
  <c r="M158" i="69"/>
  <c r="O240" i="69"/>
  <c r="M240" i="69"/>
  <c r="O102" i="69"/>
  <c r="M102" i="69"/>
  <c r="O168" i="69"/>
  <c r="M168" i="69"/>
  <c r="O171" i="69"/>
  <c r="M171" i="69"/>
  <c r="O174" i="69"/>
  <c r="M174" i="69"/>
  <c r="O232" i="69"/>
  <c r="M232" i="69"/>
  <c r="O235" i="69"/>
  <c r="M235" i="69"/>
  <c r="O238" i="69"/>
  <c r="M238" i="69"/>
  <c r="O110" i="69"/>
  <c r="M110" i="69"/>
  <c r="O179" i="69"/>
  <c r="M179" i="69"/>
  <c r="M16" i="69"/>
  <c r="P16" i="69" s="1"/>
  <c r="M24" i="69"/>
  <c r="P24" i="69" s="1"/>
  <c r="M32" i="69"/>
  <c r="P32" i="69" s="1"/>
  <c r="M40" i="69"/>
  <c r="P40" i="69" s="1"/>
  <c r="M48" i="69"/>
  <c r="P48" i="69" s="1"/>
  <c r="M56" i="69"/>
  <c r="P56" i="69" s="1"/>
  <c r="M64" i="69"/>
  <c r="P64" i="69" s="1"/>
  <c r="M72" i="69"/>
  <c r="P72" i="69" s="1"/>
  <c r="M80" i="69"/>
  <c r="M88" i="69"/>
  <c r="M105" i="69"/>
  <c r="P105" i="69" s="1"/>
  <c r="O133" i="69"/>
  <c r="P133" i="69" s="1"/>
  <c r="O139" i="69"/>
  <c r="M139" i="69"/>
  <c r="O142" i="69"/>
  <c r="M142" i="69"/>
  <c r="O205" i="69"/>
  <c r="P205" i="69" s="1"/>
  <c r="O208" i="69"/>
  <c r="M208" i="69"/>
  <c r="O211" i="69"/>
  <c r="M211" i="69"/>
  <c r="O214" i="69"/>
  <c r="M214" i="69"/>
  <c r="M217" i="69"/>
  <c r="P217" i="69" s="1"/>
  <c r="O220" i="69"/>
  <c r="P220" i="69" s="1"/>
  <c r="M223" i="69"/>
  <c r="P223" i="69" s="1"/>
  <c r="M97" i="69"/>
  <c r="P97" i="69" s="1"/>
  <c r="O109" i="69"/>
  <c r="P109" i="69" s="1"/>
  <c r="O115" i="69"/>
  <c r="M115" i="69"/>
  <c r="O118" i="69"/>
  <c r="M118" i="69"/>
  <c r="M127" i="69"/>
  <c r="P127" i="69" s="1"/>
  <c r="M145" i="69"/>
  <c r="P145" i="69" s="1"/>
  <c r="M151" i="69"/>
  <c r="P151" i="69" s="1"/>
  <c r="O157" i="69"/>
  <c r="P157" i="69" s="1"/>
  <c r="O181" i="69"/>
  <c r="P181" i="69" s="1"/>
  <c r="O184" i="69"/>
  <c r="M184" i="69"/>
  <c r="O187" i="69"/>
  <c r="M187" i="69"/>
  <c r="O190" i="69"/>
  <c r="M190" i="69"/>
  <c r="M193" i="69"/>
  <c r="P193" i="69" s="1"/>
  <c r="M199" i="69"/>
  <c r="P199" i="69" s="1"/>
  <c r="O245" i="69"/>
  <c r="P245" i="69" s="1"/>
  <c r="O248" i="69"/>
  <c r="M248" i="69"/>
  <c r="O251" i="69"/>
  <c r="M251" i="69"/>
  <c r="O254" i="69"/>
  <c r="M254" i="69"/>
  <c r="M257" i="69"/>
  <c r="P257" i="69" s="1"/>
  <c r="O176" i="69"/>
  <c r="M176" i="69"/>
  <c r="O163" i="69"/>
  <c r="M163" i="69"/>
  <c r="O166" i="69"/>
  <c r="M166" i="69"/>
  <c r="O224" i="69"/>
  <c r="M224" i="69"/>
  <c r="O227" i="69"/>
  <c r="M227" i="69"/>
  <c r="O230" i="69"/>
  <c r="M230" i="69"/>
  <c r="O107" i="69"/>
  <c r="M107" i="69"/>
  <c r="O155" i="69"/>
  <c r="M155" i="69"/>
  <c r="O182" i="69"/>
  <c r="M182" i="69"/>
  <c r="O246" i="69"/>
  <c r="M246" i="69"/>
  <c r="M95" i="69"/>
  <c r="P95" i="69" s="1"/>
  <c r="O125" i="69"/>
  <c r="P125" i="69" s="1"/>
  <c r="O131" i="69"/>
  <c r="M131" i="69"/>
  <c r="O134" i="69"/>
  <c r="M134" i="69"/>
  <c r="O140" i="69"/>
  <c r="P140" i="69" s="1"/>
  <c r="M143" i="69"/>
  <c r="P143" i="69" s="1"/>
  <c r="O149" i="69"/>
  <c r="P149" i="69" s="1"/>
  <c r="O197" i="69"/>
  <c r="P197" i="69" s="1"/>
  <c r="O200" i="69"/>
  <c r="M200" i="69"/>
  <c r="O203" i="69"/>
  <c r="M203" i="69"/>
  <c r="O206" i="69"/>
  <c r="M206" i="69"/>
  <c r="M209" i="69"/>
  <c r="P209" i="69" s="1"/>
  <c r="O212" i="69"/>
  <c r="P212" i="69" s="1"/>
  <c r="M215" i="69"/>
  <c r="P215" i="69" s="1"/>
  <c r="M262" i="69"/>
  <c r="P262" i="69" s="1"/>
  <c r="M104" i="69"/>
  <c r="P104" i="69" s="1"/>
  <c r="M112" i="69"/>
  <c r="P112" i="69" s="1"/>
  <c r="M120" i="69"/>
  <c r="P120" i="69" s="1"/>
  <c r="M128" i="69"/>
  <c r="P128" i="69" s="1"/>
  <c r="M136" i="69"/>
  <c r="P136" i="69" s="1"/>
  <c r="M144" i="69"/>
  <c r="P144" i="69" s="1"/>
  <c r="M152" i="69"/>
  <c r="P152" i="69" s="1"/>
  <c r="M160" i="69"/>
  <c r="P160" i="69" s="1"/>
  <c r="O82" i="68"/>
  <c r="M82" i="68"/>
  <c r="O16" i="68"/>
  <c r="M16" i="68"/>
  <c r="O20" i="68"/>
  <c r="M20" i="68"/>
  <c r="O29" i="68"/>
  <c r="M29" i="68"/>
  <c r="O56" i="68"/>
  <c r="M56" i="68"/>
  <c r="O72" i="68"/>
  <c r="M72" i="68"/>
  <c r="O88" i="68"/>
  <c r="M88" i="68"/>
  <c r="O102" i="68"/>
  <c r="M102" i="68"/>
  <c r="O21" i="68"/>
  <c r="M21" i="68"/>
  <c r="O52" i="68"/>
  <c r="M52" i="68"/>
  <c r="M57" i="68"/>
  <c r="O57" i="68"/>
  <c r="O68" i="68"/>
  <c r="M68" i="68"/>
  <c r="M73" i="68"/>
  <c r="O73" i="68"/>
  <c r="O84" i="68"/>
  <c r="M84" i="68"/>
  <c r="M89" i="68"/>
  <c r="O89" i="68"/>
  <c r="O13" i="68"/>
  <c r="M13" i="68"/>
  <c r="O42" i="68"/>
  <c r="M42" i="68"/>
  <c r="P42" i="68" s="1"/>
  <c r="O53" i="68"/>
  <c r="M53" i="68"/>
  <c r="O58" i="68"/>
  <c r="M58" i="68"/>
  <c r="O69" i="68"/>
  <c r="M69" i="68"/>
  <c r="O74" i="68"/>
  <c r="M74" i="68"/>
  <c r="P74" i="68" s="1"/>
  <c r="O85" i="68"/>
  <c r="M85" i="68"/>
  <c r="O90" i="68"/>
  <c r="M90" i="68"/>
  <c r="O66" i="68"/>
  <c r="M66" i="68"/>
  <c r="O34" i="68"/>
  <c r="M34" i="68"/>
  <c r="O26" i="68"/>
  <c r="M26" i="68"/>
  <c r="O48" i="68"/>
  <c r="M48" i="68"/>
  <c r="O64" i="68"/>
  <c r="M64" i="68"/>
  <c r="O80" i="68"/>
  <c r="M80" i="68"/>
  <c r="O18" i="68"/>
  <c r="M18" i="68"/>
  <c r="O40" i="68"/>
  <c r="M40" i="68"/>
  <c r="O44" i="68"/>
  <c r="M44" i="68"/>
  <c r="M49" i="68"/>
  <c r="O49" i="68"/>
  <c r="O60" i="68"/>
  <c r="M60" i="68"/>
  <c r="M65" i="68"/>
  <c r="O65" i="68"/>
  <c r="O76" i="68"/>
  <c r="M76" i="68"/>
  <c r="M81" i="68"/>
  <c r="O81" i="68"/>
  <c r="O92" i="68"/>
  <c r="M92" i="68"/>
  <c r="O32" i="68"/>
  <c r="M32" i="68"/>
  <c r="O36" i="68"/>
  <c r="M36" i="68"/>
  <c r="O45" i="68"/>
  <c r="M45" i="68"/>
  <c r="O50" i="68"/>
  <c r="M50" i="68"/>
  <c r="O61" i="68"/>
  <c r="M61" i="68"/>
  <c r="O93" i="68"/>
  <c r="M93" i="68"/>
  <c r="O77" i="68"/>
  <c r="M77" i="68"/>
  <c r="O24" i="68"/>
  <c r="M24" i="68"/>
  <c r="O28" i="68"/>
  <c r="M28" i="68"/>
  <c r="O37" i="68"/>
  <c r="M37" i="68"/>
  <c r="O257" i="68"/>
  <c r="M257" i="68"/>
  <c r="M19" i="68"/>
  <c r="P19" i="68" s="1"/>
  <c r="M27" i="68"/>
  <c r="P27" i="68" s="1"/>
  <c r="M35" i="68"/>
  <c r="P35" i="68" s="1"/>
  <c r="M43" i="68"/>
  <c r="P43" i="68" s="1"/>
  <c r="M51" i="68"/>
  <c r="P51" i="68" s="1"/>
  <c r="M59" i="68"/>
  <c r="P59" i="68" s="1"/>
  <c r="M67" i="68"/>
  <c r="P67" i="68" s="1"/>
  <c r="M75" i="68"/>
  <c r="P75" i="68" s="1"/>
  <c r="M83" i="68"/>
  <c r="P83" i="68" s="1"/>
  <c r="M91" i="68"/>
  <c r="P91" i="68" s="1"/>
  <c r="M96" i="68"/>
  <c r="P96" i="68" s="1"/>
  <c r="M108" i="68"/>
  <c r="P108" i="68" s="1"/>
  <c r="M122" i="68"/>
  <c r="P122" i="68" s="1"/>
  <c r="O126" i="68"/>
  <c r="M126" i="68"/>
  <c r="O137" i="68"/>
  <c r="M137" i="68"/>
  <c r="M156" i="68"/>
  <c r="P156" i="68" s="1"/>
  <c r="O160" i="68"/>
  <c r="M160" i="68"/>
  <c r="O167" i="68"/>
  <c r="P167" i="68" s="1"/>
  <c r="O171" i="68"/>
  <c r="M171" i="68"/>
  <c r="M186" i="68"/>
  <c r="P186" i="68" s="1"/>
  <c r="O190" i="68"/>
  <c r="M190" i="68"/>
  <c r="O201" i="68"/>
  <c r="M201" i="68"/>
  <c r="M220" i="68"/>
  <c r="P220" i="68" s="1"/>
  <c r="O224" i="68"/>
  <c r="M224" i="68"/>
  <c r="O231" i="68"/>
  <c r="P231" i="68" s="1"/>
  <c r="O235" i="68"/>
  <c r="M235" i="68"/>
  <c r="M250" i="68"/>
  <c r="P250" i="68" s="1"/>
  <c r="O254" i="68"/>
  <c r="M254" i="68"/>
  <c r="O262" i="68"/>
  <c r="M262" i="68"/>
  <c r="O99" i="68"/>
  <c r="P99" i="68" s="1"/>
  <c r="O111" i="68"/>
  <c r="P111" i="68" s="1"/>
  <c r="O115" i="68"/>
  <c r="M115" i="68"/>
  <c r="M130" i="68"/>
  <c r="P130" i="68" s="1"/>
  <c r="O134" i="68"/>
  <c r="M134" i="68"/>
  <c r="O145" i="68"/>
  <c r="M145" i="68"/>
  <c r="M164" i="68"/>
  <c r="P164" i="68" s="1"/>
  <c r="O168" i="68"/>
  <c r="M168" i="68"/>
  <c r="O175" i="68"/>
  <c r="P175" i="68" s="1"/>
  <c r="O179" i="68"/>
  <c r="M179" i="68"/>
  <c r="M194" i="68"/>
  <c r="P194" i="68" s="1"/>
  <c r="O198" i="68"/>
  <c r="M198" i="68"/>
  <c r="O209" i="68"/>
  <c r="M209" i="68"/>
  <c r="M228" i="68"/>
  <c r="P228" i="68" s="1"/>
  <c r="O232" i="68"/>
  <c r="M232" i="68"/>
  <c r="O243" i="68"/>
  <c r="M243" i="68"/>
  <c r="O246" i="68"/>
  <c r="M246" i="68"/>
  <c r="M105" i="68"/>
  <c r="P105" i="68" s="1"/>
  <c r="O112" i="68"/>
  <c r="M112" i="68"/>
  <c r="O119" i="68"/>
  <c r="P119" i="68" s="1"/>
  <c r="O123" i="68"/>
  <c r="M123" i="68"/>
  <c r="M138" i="68"/>
  <c r="P138" i="68" s="1"/>
  <c r="O142" i="68"/>
  <c r="M142" i="68"/>
  <c r="O153" i="68"/>
  <c r="M153" i="68"/>
  <c r="M172" i="68"/>
  <c r="P172" i="68" s="1"/>
  <c r="O176" i="68"/>
  <c r="M176" i="68"/>
  <c r="O183" i="68"/>
  <c r="P183" i="68" s="1"/>
  <c r="O187" i="68"/>
  <c r="M187" i="68"/>
  <c r="M202" i="68"/>
  <c r="P202" i="68" s="1"/>
  <c r="O206" i="68"/>
  <c r="M206" i="68"/>
  <c r="O217" i="68"/>
  <c r="M217" i="68"/>
  <c r="P221" i="68"/>
  <c r="M236" i="68"/>
  <c r="P236" i="68" s="1"/>
  <c r="O240" i="68"/>
  <c r="M240" i="68"/>
  <c r="O247" i="68"/>
  <c r="P247" i="68" s="1"/>
  <c r="O251" i="68"/>
  <c r="M251" i="68"/>
  <c r="O118" i="68"/>
  <c r="M118" i="68"/>
  <c r="O182" i="68"/>
  <c r="M182" i="68"/>
  <c r="O193" i="68"/>
  <c r="M193" i="68"/>
  <c r="O216" i="68"/>
  <c r="M216" i="68"/>
  <c r="O120" i="68"/>
  <c r="M120" i="68"/>
  <c r="O131" i="68"/>
  <c r="M131" i="68"/>
  <c r="O150" i="68"/>
  <c r="M150" i="68"/>
  <c r="O161" i="68"/>
  <c r="M161" i="68"/>
  <c r="O184" i="68"/>
  <c r="M184" i="68"/>
  <c r="O195" i="68"/>
  <c r="M195" i="68"/>
  <c r="O214" i="68"/>
  <c r="M214" i="68"/>
  <c r="O225" i="68"/>
  <c r="M225" i="68"/>
  <c r="O248" i="68"/>
  <c r="M248" i="68"/>
  <c r="O259" i="68"/>
  <c r="M259" i="68"/>
  <c r="O129" i="68"/>
  <c r="M129" i="68"/>
  <c r="M15" i="68"/>
  <c r="P15" i="68" s="1"/>
  <c r="M23" i="68"/>
  <c r="M31" i="68"/>
  <c r="P31" i="68" s="1"/>
  <c r="M39" i="68"/>
  <c r="P39" i="68" s="1"/>
  <c r="M47" i="68"/>
  <c r="P47" i="68" s="1"/>
  <c r="M55" i="68"/>
  <c r="P55" i="68" s="1"/>
  <c r="M63" i="68"/>
  <c r="P63" i="68" s="1"/>
  <c r="M71" i="68"/>
  <c r="P71" i="68" s="1"/>
  <c r="M79" i="68"/>
  <c r="P79" i="68" s="1"/>
  <c r="M87" i="68"/>
  <c r="M95" i="68"/>
  <c r="P95" i="68" s="1"/>
  <c r="M97" i="68"/>
  <c r="P97" i="68" s="1"/>
  <c r="O103" i="68"/>
  <c r="P103" i="68" s="1"/>
  <c r="M106" i="68"/>
  <c r="P106" i="68" s="1"/>
  <c r="M124" i="68"/>
  <c r="P124" i="68" s="1"/>
  <c r="O128" i="68"/>
  <c r="M128" i="68"/>
  <c r="O135" i="68"/>
  <c r="P135" i="68" s="1"/>
  <c r="O139" i="68"/>
  <c r="M139" i="68"/>
  <c r="M154" i="68"/>
  <c r="P154" i="68" s="1"/>
  <c r="O158" i="68"/>
  <c r="M158" i="68"/>
  <c r="O169" i="68"/>
  <c r="M169" i="68"/>
  <c r="M188" i="68"/>
  <c r="P188" i="68" s="1"/>
  <c r="O192" i="68"/>
  <c r="M192" i="68"/>
  <c r="O199" i="68"/>
  <c r="P199" i="68" s="1"/>
  <c r="O203" i="68"/>
  <c r="M203" i="68"/>
  <c r="M218" i="68"/>
  <c r="P218" i="68" s="1"/>
  <c r="O222" i="68"/>
  <c r="M222" i="68"/>
  <c r="O233" i="68"/>
  <c r="M233" i="68"/>
  <c r="M252" i="68"/>
  <c r="P252" i="68" s="1"/>
  <c r="O256" i="68"/>
  <c r="M256" i="68"/>
  <c r="O152" i="68"/>
  <c r="M152" i="68"/>
  <c r="O113" i="68"/>
  <c r="M113" i="68"/>
  <c r="M132" i="68"/>
  <c r="P132" i="68" s="1"/>
  <c r="O136" i="68"/>
  <c r="M136" i="68"/>
  <c r="O143" i="68"/>
  <c r="P143" i="68" s="1"/>
  <c r="O147" i="68"/>
  <c r="M147" i="68"/>
  <c r="P147" i="68" s="1"/>
  <c r="M162" i="68"/>
  <c r="P162" i="68" s="1"/>
  <c r="O166" i="68"/>
  <c r="M166" i="68"/>
  <c r="O177" i="68"/>
  <c r="M177" i="68"/>
  <c r="M196" i="68"/>
  <c r="P196" i="68" s="1"/>
  <c r="O200" i="68"/>
  <c r="M200" i="68"/>
  <c r="O207" i="68"/>
  <c r="P207" i="68" s="1"/>
  <c r="O211" i="68"/>
  <c r="M211" i="68"/>
  <c r="M226" i="68"/>
  <c r="P226" i="68" s="1"/>
  <c r="O230" i="68"/>
  <c r="M230" i="68"/>
  <c r="O241" i="68"/>
  <c r="M241" i="68"/>
  <c r="P245" i="68"/>
  <c r="M260" i="68"/>
  <c r="P260" i="68" s="1"/>
  <c r="O163" i="68"/>
  <c r="M163" i="68"/>
  <c r="O227" i="68"/>
  <c r="M227" i="68"/>
  <c r="O104" i="68"/>
  <c r="M104" i="68"/>
  <c r="O107" i="68"/>
  <c r="M107" i="68"/>
  <c r="O110" i="68"/>
  <c r="M110" i="68"/>
  <c r="O121" i="68"/>
  <c r="M121" i="68"/>
  <c r="O144" i="68"/>
  <c r="M144" i="68"/>
  <c r="O155" i="68"/>
  <c r="M155" i="68"/>
  <c r="O174" i="68"/>
  <c r="M174" i="68"/>
  <c r="O185" i="68"/>
  <c r="M185" i="68"/>
  <c r="O208" i="68"/>
  <c r="M208" i="68"/>
  <c r="O219" i="68"/>
  <c r="M219" i="68"/>
  <c r="O238" i="68"/>
  <c r="M238" i="68"/>
  <c r="O249" i="68"/>
  <c r="M249" i="68"/>
  <c r="P261" i="68"/>
  <c r="O63" i="67"/>
  <c r="M63" i="67"/>
  <c r="O35" i="67"/>
  <c r="M35" i="67"/>
  <c r="M45" i="67"/>
  <c r="O45" i="67"/>
  <c r="M77" i="67"/>
  <c r="O77" i="67"/>
  <c r="P17" i="67"/>
  <c r="O23" i="67"/>
  <c r="M23" i="67"/>
  <c r="O36" i="67"/>
  <c r="M36" i="67"/>
  <c r="O55" i="67"/>
  <c r="M55" i="67"/>
  <c r="O68" i="67"/>
  <c r="M68" i="67"/>
  <c r="P81" i="67"/>
  <c r="O87" i="67"/>
  <c r="M87" i="67"/>
  <c r="M13" i="67"/>
  <c r="O13" i="67"/>
  <c r="O67" i="67"/>
  <c r="M67" i="67"/>
  <c r="O27" i="67"/>
  <c r="M27" i="67"/>
  <c r="M37" i="67"/>
  <c r="O37" i="67"/>
  <c r="O59" i="67"/>
  <c r="M59" i="67"/>
  <c r="M69" i="67"/>
  <c r="O69" i="67"/>
  <c r="O91" i="67"/>
  <c r="M91" i="67"/>
  <c r="O15" i="67"/>
  <c r="M15" i="67"/>
  <c r="O28" i="67"/>
  <c r="M28" i="67"/>
  <c r="O47" i="67"/>
  <c r="M47" i="67"/>
  <c r="O60" i="67"/>
  <c r="M60" i="67"/>
  <c r="O79" i="67"/>
  <c r="M79" i="67"/>
  <c r="O92" i="67"/>
  <c r="M92" i="67"/>
  <c r="O19" i="67"/>
  <c r="M19" i="67"/>
  <c r="M29" i="67"/>
  <c r="O29" i="67"/>
  <c r="O51" i="67"/>
  <c r="M51" i="67"/>
  <c r="M61" i="67"/>
  <c r="O61" i="67"/>
  <c r="O83" i="67"/>
  <c r="M83" i="67"/>
  <c r="M93" i="67"/>
  <c r="O93" i="67"/>
  <c r="O31" i="67"/>
  <c r="M31" i="67"/>
  <c r="O44" i="67"/>
  <c r="M44" i="67"/>
  <c r="O76" i="67"/>
  <c r="M76" i="67"/>
  <c r="O20" i="67"/>
  <c r="M20" i="67"/>
  <c r="P33" i="67"/>
  <c r="O39" i="67"/>
  <c r="M39" i="67"/>
  <c r="O52" i="67"/>
  <c r="M52" i="67"/>
  <c r="P52" i="67" s="1"/>
  <c r="P65" i="67"/>
  <c r="O71" i="67"/>
  <c r="M71" i="67"/>
  <c r="O84" i="67"/>
  <c r="M84" i="67"/>
  <c r="M21" i="67"/>
  <c r="O21" i="67"/>
  <c r="O43" i="67"/>
  <c r="M43" i="67"/>
  <c r="M53" i="67"/>
  <c r="O53" i="67"/>
  <c r="O75" i="67"/>
  <c r="M75" i="67"/>
  <c r="M85" i="67"/>
  <c r="O85" i="67"/>
  <c r="M26" i="67"/>
  <c r="P26" i="67" s="1"/>
  <c r="M82" i="67"/>
  <c r="P82" i="67" s="1"/>
  <c r="O103" i="67"/>
  <c r="P103" i="67" s="1"/>
  <c r="O152" i="67"/>
  <c r="M152" i="67"/>
  <c r="O190" i="67"/>
  <c r="M190" i="67"/>
  <c r="M261" i="67"/>
  <c r="O261" i="67"/>
  <c r="O18" i="67"/>
  <c r="P18" i="67" s="1"/>
  <c r="O34" i="67"/>
  <c r="P34" i="67" s="1"/>
  <c r="O42" i="67"/>
  <c r="P42" i="67" s="1"/>
  <c r="O50" i="67"/>
  <c r="P50" i="67" s="1"/>
  <c r="O58" i="67"/>
  <c r="P58" i="67" s="1"/>
  <c r="O66" i="67"/>
  <c r="P66" i="67" s="1"/>
  <c r="O74" i="67"/>
  <c r="P74" i="67" s="1"/>
  <c r="O90" i="67"/>
  <c r="P90" i="67" s="1"/>
  <c r="M98" i="67"/>
  <c r="P98" i="67" s="1"/>
  <c r="M106" i="67"/>
  <c r="P106" i="67" s="1"/>
  <c r="M109" i="67"/>
  <c r="P109" i="67" s="1"/>
  <c r="O119" i="67"/>
  <c r="P119" i="67" s="1"/>
  <c r="O129" i="67"/>
  <c r="M129" i="67"/>
  <c r="M132" i="67"/>
  <c r="P132" i="67" s="1"/>
  <c r="O135" i="67"/>
  <c r="P135" i="67" s="1"/>
  <c r="O145" i="67"/>
  <c r="M145" i="67"/>
  <c r="M148" i="67"/>
  <c r="P148" i="67" s="1"/>
  <c r="O160" i="67"/>
  <c r="M160" i="67"/>
  <c r="O168" i="67"/>
  <c r="M168" i="67"/>
  <c r="O176" i="67"/>
  <c r="M176" i="67"/>
  <c r="O184" i="67"/>
  <c r="M184" i="67"/>
  <c r="O201" i="67"/>
  <c r="M201" i="67"/>
  <c r="M204" i="67"/>
  <c r="P204" i="67" s="1"/>
  <c r="O209" i="67"/>
  <c r="M209" i="67"/>
  <c r="P209" i="67" s="1"/>
  <c r="M212" i="67"/>
  <c r="P212" i="67" s="1"/>
  <c r="O217" i="67"/>
  <c r="M217" i="67"/>
  <c r="M220" i="67"/>
  <c r="P220" i="67" s="1"/>
  <c r="O225" i="67"/>
  <c r="M225" i="67"/>
  <c r="M228" i="67"/>
  <c r="P228" i="67" s="1"/>
  <c r="O233" i="67"/>
  <c r="M233" i="67"/>
  <c r="M236" i="67"/>
  <c r="P236" i="67" s="1"/>
  <c r="O241" i="67"/>
  <c r="M241" i="67"/>
  <c r="M244" i="67"/>
  <c r="P244" i="67" s="1"/>
  <c r="O249" i="67"/>
  <c r="M249" i="67"/>
  <c r="M253" i="67"/>
  <c r="O253" i="67"/>
  <c r="O262" i="67"/>
  <c r="M262" i="67"/>
  <c r="O95" i="67"/>
  <c r="P95" i="67" s="1"/>
  <c r="O257" i="67"/>
  <c r="M257" i="67"/>
  <c r="O120" i="67"/>
  <c r="M120" i="67"/>
  <c r="O126" i="67"/>
  <c r="M126" i="67"/>
  <c r="O136" i="67"/>
  <c r="M136" i="67"/>
  <c r="O142" i="67"/>
  <c r="M142" i="67"/>
  <c r="M205" i="67"/>
  <c r="O205" i="67"/>
  <c r="M213" i="67"/>
  <c r="O213" i="67"/>
  <c r="M221" i="67"/>
  <c r="O221" i="67"/>
  <c r="M229" i="67"/>
  <c r="O229" i="67"/>
  <c r="M237" i="67"/>
  <c r="O237" i="67"/>
  <c r="M245" i="67"/>
  <c r="O245" i="67"/>
  <c r="O254" i="67"/>
  <c r="M254" i="67"/>
  <c r="O110" i="67"/>
  <c r="M110" i="67"/>
  <c r="O113" i="67"/>
  <c r="M113" i="67"/>
  <c r="O153" i="67"/>
  <c r="M153" i="67"/>
  <c r="O161" i="67"/>
  <c r="M161" i="67"/>
  <c r="O169" i="67"/>
  <c r="M169" i="67"/>
  <c r="O177" i="67"/>
  <c r="M177" i="67"/>
  <c r="O185" i="67"/>
  <c r="M185" i="67"/>
  <c r="O198" i="67"/>
  <c r="M198" i="67"/>
  <c r="O206" i="67"/>
  <c r="M206" i="67"/>
  <c r="O214" i="67"/>
  <c r="M214" i="67"/>
  <c r="O222" i="67"/>
  <c r="M222" i="67"/>
  <c r="O230" i="67"/>
  <c r="M230" i="67"/>
  <c r="O238" i="67"/>
  <c r="M238" i="67"/>
  <c r="O246" i="67"/>
  <c r="M246" i="67"/>
  <c r="M14" i="67"/>
  <c r="P14" i="67" s="1"/>
  <c r="M22" i="67"/>
  <c r="P22" i="67" s="1"/>
  <c r="M30" i="67"/>
  <c r="P30" i="67" s="1"/>
  <c r="M38" i="67"/>
  <c r="P38" i="67" s="1"/>
  <c r="M46" i="67"/>
  <c r="P46" i="67" s="1"/>
  <c r="M54" i="67"/>
  <c r="P54" i="67" s="1"/>
  <c r="M62" i="67"/>
  <c r="P62" i="67" s="1"/>
  <c r="M70" i="67"/>
  <c r="P70" i="67" s="1"/>
  <c r="M78" i="67"/>
  <c r="P78" i="67" s="1"/>
  <c r="M86" i="67"/>
  <c r="P86" i="67" s="1"/>
  <c r="O99" i="67"/>
  <c r="M99" i="67"/>
  <c r="O150" i="67"/>
  <c r="M150" i="67"/>
  <c r="M157" i="67"/>
  <c r="O157" i="67"/>
  <c r="M165" i="67"/>
  <c r="O165" i="67"/>
  <c r="M173" i="67"/>
  <c r="O173" i="67"/>
  <c r="M181" i="67"/>
  <c r="O181" i="67"/>
  <c r="O192" i="67"/>
  <c r="M192" i="67"/>
  <c r="O121" i="67"/>
  <c r="M121" i="67"/>
  <c r="O137" i="67"/>
  <c r="M137" i="67"/>
  <c r="O158" i="67"/>
  <c r="M158" i="67"/>
  <c r="O166" i="67"/>
  <c r="M166" i="67"/>
  <c r="O174" i="67"/>
  <c r="M174" i="67"/>
  <c r="O182" i="67"/>
  <c r="M182" i="67"/>
  <c r="O259" i="67"/>
  <c r="M259" i="67"/>
  <c r="O97" i="67"/>
  <c r="P97" i="67" s="1"/>
  <c r="O105" i="67"/>
  <c r="P105" i="67" s="1"/>
  <c r="O111" i="67"/>
  <c r="P111" i="67" s="1"/>
  <c r="O118" i="67"/>
  <c r="M118" i="67"/>
  <c r="O128" i="67"/>
  <c r="M128" i="67"/>
  <c r="O134" i="67"/>
  <c r="M134" i="67"/>
  <c r="O144" i="67"/>
  <c r="M144" i="67"/>
  <c r="O193" i="67"/>
  <c r="M193" i="67"/>
  <c r="M196" i="67"/>
  <c r="P196" i="67" s="1"/>
  <c r="O251" i="67"/>
  <c r="M251" i="67"/>
  <c r="O256" i="67"/>
  <c r="M256" i="67"/>
  <c r="O200" i="67"/>
  <c r="M200" i="67"/>
  <c r="O208" i="67"/>
  <c r="M208" i="67"/>
  <c r="P208" i="67" s="1"/>
  <c r="O216" i="67"/>
  <c r="M216" i="67"/>
  <c r="O224" i="67"/>
  <c r="M224" i="67"/>
  <c r="O232" i="67"/>
  <c r="M232" i="67"/>
  <c r="O240" i="67"/>
  <c r="M240" i="67"/>
  <c r="P240" i="67" s="1"/>
  <c r="O248" i="67"/>
  <c r="M248" i="67"/>
  <c r="M107" i="67"/>
  <c r="P107" i="67" s="1"/>
  <c r="M115" i="67"/>
  <c r="P115" i="67" s="1"/>
  <c r="M123" i="67"/>
  <c r="P123" i="67" s="1"/>
  <c r="M131" i="67"/>
  <c r="P131" i="67" s="1"/>
  <c r="M139" i="67"/>
  <c r="P139" i="67" s="1"/>
  <c r="M147" i="67"/>
  <c r="P147" i="67" s="1"/>
  <c r="M155" i="67"/>
  <c r="P155" i="67" s="1"/>
  <c r="M163" i="67"/>
  <c r="P163" i="67" s="1"/>
  <c r="M171" i="67"/>
  <c r="P171" i="67" s="1"/>
  <c r="M179" i="67"/>
  <c r="P179" i="67" s="1"/>
  <c r="M187" i="67"/>
  <c r="P187" i="67" s="1"/>
  <c r="M195" i="67"/>
  <c r="P195" i="67" s="1"/>
  <c r="M203" i="67"/>
  <c r="P203" i="67" s="1"/>
  <c r="M211" i="67"/>
  <c r="P211" i="67" s="1"/>
  <c r="M219" i="67"/>
  <c r="P219" i="67" s="1"/>
  <c r="M227" i="67"/>
  <c r="P227" i="67" s="1"/>
  <c r="M235" i="67"/>
  <c r="P235" i="67" s="1"/>
  <c r="M243" i="67"/>
  <c r="P243" i="67" s="1"/>
  <c r="O49" i="66"/>
  <c r="M49" i="66"/>
  <c r="O65" i="66"/>
  <c r="M65" i="66"/>
  <c r="M81" i="66"/>
  <c r="O81" i="66"/>
  <c r="O124" i="66"/>
  <c r="M124" i="66"/>
  <c r="O228" i="66"/>
  <c r="M228" i="66"/>
  <c r="O18" i="66"/>
  <c r="M18" i="66"/>
  <c r="O34" i="66"/>
  <c r="M34" i="66"/>
  <c r="O50" i="66"/>
  <c r="M50" i="66"/>
  <c r="O66" i="66"/>
  <c r="M66" i="66"/>
  <c r="O82" i="66"/>
  <c r="M82" i="66"/>
  <c r="O116" i="66"/>
  <c r="M116" i="66"/>
  <c r="O180" i="66"/>
  <c r="M180" i="66"/>
  <c r="O252" i="66"/>
  <c r="M252" i="66"/>
  <c r="O19" i="66"/>
  <c r="M19" i="66"/>
  <c r="O23" i="66"/>
  <c r="M23" i="66"/>
  <c r="O35" i="66"/>
  <c r="M35" i="66"/>
  <c r="O39" i="66"/>
  <c r="M39" i="66"/>
  <c r="O51" i="66"/>
  <c r="M51" i="66"/>
  <c r="O55" i="66"/>
  <c r="M55" i="66"/>
  <c r="O67" i="66"/>
  <c r="M67" i="66"/>
  <c r="O71" i="66"/>
  <c r="M71" i="66"/>
  <c r="O83" i="66"/>
  <c r="M83" i="66"/>
  <c r="O87" i="66"/>
  <c r="M87" i="66"/>
  <c r="P87" i="66" s="1"/>
  <c r="O40" i="66"/>
  <c r="M40" i="66"/>
  <c r="O24" i="66"/>
  <c r="M24" i="66"/>
  <c r="P24" i="66" s="1"/>
  <c r="O88" i="66"/>
  <c r="M88" i="66"/>
  <c r="M25" i="66"/>
  <c r="O25" i="66"/>
  <c r="O41" i="66"/>
  <c r="M41" i="66"/>
  <c r="O57" i="66"/>
  <c r="M57" i="66"/>
  <c r="O89" i="66"/>
  <c r="M89" i="66"/>
  <c r="O108" i="66"/>
  <c r="M108" i="66"/>
  <c r="M17" i="66"/>
  <c r="O17" i="66"/>
  <c r="O26" i="66"/>
  <c r="M26" i="66"/>
  <c r="O42" i="66"/>
  <c r="M42" i="66"/>
  <c r="P42" i="66" s="1"/>
  <c r="O58" i="66"/>
  <c r="M58" i="66"/>
  <c r="O74" i="66"/>
  <c r="M74" i="66"/>
  <c r="O90" i="66"/>
  <c r="M90" i="66"/>
  <c r="O212" i="66"/>
  <c r="M212" i="66"/>
  <c r="O33" i="66"/>
  <c r="M33" i="66"/>
  <c r="O56" i="66"/>
  <c r="M56" i="66"/>
  <c r="M73" i="66"/>
  <c r="O73" i="66"/>
  <c r="O15" i="66"/>
  <c r="M15" i="66"/>
  <c r="O27" i="66"/>
  <c r="M27" i="66"/>
  <c r="O31" i="66"/>
  <c r="M31" i="66"/>
  <c r="O43" i="66"/>
  <c r="M43" i="66"/>
  <c r="O47" i="66"/>
  <c r="M47" i="66"/>
  <c r="P47" i="66" s="1"/>
  <c r="O59" i="66"/>
  <c r="M59" i="66"/>
  <c r="O63" i="66"/>
  <c r="M63" i="66"/>
  <c r="O75" i="66"/>
  <c r="M75" i="66"/>
  <c r="O79" i="66"/>
  <c r="M79" i="66"/>
  <c r="P79" i="66" s="1"/>
  <c r="O91" i="66"/>
  <c r="M91" i="66"/>
  <c r="O132" i="66"/>
  <c r="M132" i="66"/>
  <c r="O72" i="66"/>
  <c r="M72" i="66"/>
  <c r="O16" i="66"/>
  <c r="M16" i="66"/>
  <c r="P16" i="66" s="1"/>
  <c r="O32" i="66"/>
  <c r="M32" i="66"/>
  <c r="O48" i="66"/>
  <c r="M48" i="66"/>
  <c r="O64" i="66"/>
  <c r="M64" i="66"/>
  <c r="O80" i="66"/>
  <c r="M80" i="66"/>
  <c r="P80" i="66" s="1"/>
  <c r="O100" i="66"/>
  <c r="M100" i="66"/>
  <c r="O204" i="66"/>
  <c r="M204" i="66"/>
  <c r="O260" i="66"/>
  <c r="M260" i="66"/>
  <c r="O129" i="66"/>
  <c r="M129" i="66"/>
  <c r="P129" i="66" s="1"/>
  <c r="O141" i="66"/>
  <c r="P141" i="66" s="1"/>
  <c r="O190" i="66"/>
  <c r="M190" i="66"/>
  <c r="O14" i="66"/>
  <c r="P14" i="66" s="1"/>
  <c r="O22" i="66"/>
  <c r="P22" i="66" s="1"/>
  <c r="O30" i="66"/>
  <c r="P30" i="66" s="1"/>
  <c r="O38" i="66"/>
  <c r="P38" i="66" s="1"/>
  <c r="O46" i="66"/>
  <c r="P46" i="66" s="1"/>
  <c r="O54" i="66"/>
  <c r="P54" i="66" s="1"/>
  <c r="O62" i="66"/>
  <c r="P62" i="66" s="1"/>
  <c r="O70" i="66"/>
  <c r="P70" i="66" s="1"/>
  <c r="O78" i="66"/>
  <c r="P78" i="66" s="1"/>
  <c r="O86" i="66"/>
  <c r="P86" i="66" s="1"/>
  <c r="O97" i="66"/>
  <c r="P97" i="66" s="1"/>
  <c r="O105" i="66"/>
  <c r="P105" i="66" s="1"/>
  <c r="O114" i="66"/>
  <c r="P114" i="66" s="1"/>
  <c r="O117" i="66"/>
  <c r="P117" i="66" s="1"/>
  <c r="M120" i="66"/>
  <c r="P120" i="66" s="1"/>
  <c r="M135" i="66"/>
  <c r="P135" i="66" s="1"/>
  <c r="M154" i="66"/>
  <c r="P154" i="66" s="1"/>
  <c r="O184" i="66"/>
  <c r="M184" i="66"/>
  <c r="O194" i="66"/>
  <c r="P194" i="66" s="1"/>
  <c r="O201" i="66"/>
  <c r="M201" i="66"/>
  <c r="M207" i="66"/>
  <c r="P207" i="66" s="1"/>
  <c r="O214" i="66"/>
  <c r="M214" i="66"/>
  <c r="M218" i="66"/>
  <c r="P218" i="66" s="1"/>
  <c r="O238" i="66"/>
  <c r="M238" i="66"/>
  <c r="O248" i="66"/>
  <c r="M248" i="66"/>
  <c r="O153" i="66"/>
  <c r="M153" i="66"/>
  <c r="O241" i="66"/>
  <c r="M241" i="66"/>
  <c r="O160" i="66"/>
  <c r="M160" i="66"/>
  <c r="O142" i="66"/>
  <c r="M142" i="66"/>
  <c r="O145" i="66"/>
  <c r="M145" i="66"/>
  <c r="O148" i="66"/>
  <c r="M148" i="66"/>
  <c r="O161" i="66"/>
  <c r="M161" i="66"/>
  <c r="O164" i="66"/>
  <c r="M164" i="66"/>
  <c r="O174" i="66"/>
  <c r="M174" i="66"/>
  <c r="P178" i="66"/>
  <c r="O208" i="66"/>
  <c r="M208" i="66"/>
  <c r="O225" i="66"/>
  <c r="M225" i="66"/>
  <c r="O259" i="66"/>
  <c r="M259" i="66"/>
  <c r="O150" i="66"/>
  <c r="M150" i="66"/>
  <c r="M247" i="66"/>
  <c r="P247" i="66" s="1"/>
  <c r="M13" i="66"/>
  <c r="P13" i="66" s="1"/>
  <c r="M21" i="66"/>
  <c r="P21" i="66" s="1"/>
  <c r="M29" i="66"/>
  <c r="P29" i="66" s="1"/>
  <c r="M37" i="66"/>
  <c r="P37" i="66" s="1"/>
  <c r="M45" i="66"/>
  <c r="M53" i="66"/>
  <c r="P53" i="66" s="1"/>
  <c r="M61" i="66"/>
  <c r="P61" i="66" s="1"/>
  <c r="M69" i="66"/>
  <c r="P69" i="66" s="1"/>
  <c r="M77" i="66"/>
  <c r="M85" i="66"/>
  <c r="P85" i="66" s="1"/>
  <c r="M93" i="66"/>
  <c r="P93" i="66" s="1"/>
  <c r="M98" i="66"/>
  <c r="P98" i="66" s="1"/>
  <c r="M106" i="66"/>
  <c r="P106" i="66" s="1"/>
  <c r="O118" i="66"/>
  <c r="M118" i="66"/>
  <c r="O121" i="66"/>
  <c r="M121" i="66"/>
  <c r="O133" i="66"/>
  <c r="P133" i="66" s="1"/>
  <c r="M136" i="66"/>
  <c r="P136" i="66" s="1"/>
  <c r="M151" i="66"/>
  <c r="P151" i="66" s="1"/>
  <c r="O168" i="66"/>
  <c r="M168" i="66"/>
  <c r="O185" i="66"/>
  <c r="M185" i="66"/>
  <c r="O188" i="66"/>
  <c r="M188" i="66"/>
  <c r="O198" i="66"/>
  <c r="M198" i="66"/>
  <c r="M202" i="66"/>
  <c r="P202" i="66" s="1"/>
  <c r="O232" i="66"/>
  <c r="M232" i="66"/>
  <c r="O249" i="66"/>
  <c r="M249" i="66"/>
  <c r="O256" i="66"/>
  <c r="M256" i="66"/>
  <c r="O244" i="66"/>
  <c r="M244" i="66"/>
  <c r="M95" i="66"/>
  <c r="P95" i="66" s="1"/>
  <c r="M103" i="66"/>
  <c r="P103" i="66" s="1"/>
  <c r="O109" i="66"/>
  <c r="P109" i="66" s="1"/>
  <c r="M112" i="66"/>
  <c r="P112" i="66" s="1"/>
  <c r="M127" i="66"/>
  <c r="P127" i="66" s="1"/>
  <c r="M146" i="66"/>
  <c r="P146" i="66" s="1"/>
  <c r="O158" i="66"/>
  <c r="M158" i="66"/>
  <c r="M162" i="66"/>
  <c r="P162" i="66" s="1"/>
  <c r="O192" i="66"/>
  <c r="M192" i="66"/>
  <c r="O209" i="66"/>
  <c r="M209" i="66"/>
  <c r="P209" i="66" s="1"/>
  <c r="M215" i="66"/>
  <c r="P215" i="66" s="1"/>
  <c r="O222" i="66"/>
  <c r="M222" i="66"/>
  <c r="M226" i="66"/>
  <c r="P226" i="66" s="1"/>
  <c r="M239" i="66"/>
  <c r="P239" i="66" s="1"/>
  <c r="O200" i="66"/>
  <c r="M200" i="66"/>
  <c r="O220" i="66"/>
  <c r="M220" i="66"/>
  <c r="O230" i="66"/>
  <c r="M230" i="66"/>
  <c r="O254" i="66"/>
  <c r="M254" i="66"/>
  <c r="M102" i="66"/>
  <c r="P102" i="66" s="1"/>
  <c r="O126" i="66"/>
  <c r="M126" i="66"/>
  <c r="M144" i="66"/>
  <c r="P144" i="66" s="1"/>
  <c r="M183" i="66"/>
  <c r="P183" i="66" s="1"/>
  <c r="O134" i="66"/>
  <c r="M134" i="66"/>
  <c r="O137" i="66"/>
  <c r="M137" i="66"/>
  <c r="O140" i="66"/>
  <c r="M140" i="66"/>
  <c r="O169" i="66"/>
  <c r="M169" i="66"/>
  <c r="O172" i="66"/>
  <c r="M172" i="66"/>
  <c r="O182" i="66"/>
  <c r="M182" i="66"/>
  <c r="O216" i="66"/>
  <c r="M216" i="66"/>
  <c r="O233" i="66"/>
  <c r="M233" i="66"/>
  <c r="O236" i="66"/>
  <c r="M236" i="66"/>
  <c r="O240" i="66"/>
  <c r="M240" i="66"/>
  <c r="O246" i="66"/>
  <c r="M246" i="66"/>
  <c r="O257" i="66"/>
  <c r="M257" i="66"/>
  <c r="O156" i="66"/>
  <c r="M156" i="66"/>
  <c r="O166" i="66"/>
  <c r="M166" i="66"/>
  <c r="O217" i="66"/>
  <c r="M217" i="66"/>
  <c r="O177" i="66"/>
  <c r="M177" i="66"/>
  <c r="O224" i="66"/>
  <c r="M224" i="66"/>
  <c r="O262" i="66"/>
  <c r="M262" i="66"/>
  <c r="M96" i="66"/>
  <c r="P96" i="66" s="1"/>
  <c r="M104" i="66"/>
  <c r="P104" i="66" s="1"/>
  <c r="P107" i="66"/>
  <c r="O110" i="66"/>
  <c r="M110" i="66"/>
  <c r="O113" i="66"/>
  <c r="M113" i="66"/>
  <c r="O125" i="66"/>
  <c r="P125" i="66" s="1"/>
  <c r="M128" i="66"/>
  <c r="P128" i="66" s="1"/>
  <c r="M143" i="66"/>
  <c r="P143" i="66" s="1"/>
  <c r="O176" i="66"/>
  <c r="M176" i="66"/>
  <c r="O193" i="66"/>
  <c r="M193" i="66"/>
  <c r="P193" i="66" s="1"/>
  <c r="O196" i="66"/>
  <c r="M196" i="66"/>
  <c r="O206" i="66"/>
  <c r="M206" i="66"/>
  <c r="P250" i="66"/>
  <c r="O261" i="66"/>
  <c r="P261" i="66" s="1"/>
  <c r="M227" i="66"/>
  <c r="P227" i="66" s="1"/>
  <c r="M235" i="66"/>
  <c r="P235" i="66" s="1"/>
  <c r="M243" i="66"/>
  <c r="P243" i="66" s="1"/>
  <c r="M251" i="66"/>
  <c r="P251" i="66" s="1"/>
  <c r="O26" i="65"/>
  <c r="M26" i="65"/>
  <c r="O34" i="65"/>
  <c r="M34" i="65"/>
  <c r="O15" i="65"/>
  <c r="M15" i="65"/>
  <c r="M32" i="65"/>
  <c r="P32" i="65" s="1"/>
  <c r="O35" i="65"/>
  <c r="P35" i="65" s="1"/>
  <c r="O41" i="65"/>
  <c r="P41" i="65" s="1"/>
  <c r="O61" i="65"/>
  <c r="M61" i="65"/>
  <c r="P65" i="65"/>
  <c r="O71" i="65"/>
  <c r="M71" i="65"/>
  <c r="O75" i="65"/>
  <c r="O82" i="65"/>
  <c r="M82" i="65"/>
  <c r="M88" i="65"/>
  <c r="P88" i="65" s="1"/>
  <c r="O104" i="65"/>
  <c r="M104" i="65"/>
  <c r="O108" i="65"/>
  <c r="P108" i="65" s="1"/>
  <c r="O153" i="65"/>
  <c r="M153" i="65"/>
  <c r="O169" i="65"/>
  <c r="M169" i="65"/>
  <c r="O188" i="65"/>
  <c r="M188" i="65"/>
  <c r="O230" i="65"/>
  <c r="M230" i="65"/>
  <c r="P230" i="65" s="1"/>
  <c r="O262" i="65"/>
  <c r="M262" i="65"/>
  <c r="O144" i="65"/>
  <c r="M144" i="65"/>
  <c r="O248" i="65"/>
  <c r="M248" i="65"/>
  <c r="O154" i="65"/>
  <c r="M154" i="65"/>
  <c r="O19" i="65"/>
  <c r="P19" i="65" s="1"/>
  <c r="O66" i="65"/>
  <c r="M66" i="65"/>
  <c r="O89" i="65"/>
  <c r="P89" i="65" s="1"/>
  <c r="M99" i="65"/>
  <c r="O99" i="65"/>
  <c r="O254" i="65"/>
  <c r="M254" i="65"/>
  <c r="P254" i="65" s="1"/>
  <c r="M13" i="65"/>
  <c r="P13" i="65" s="1"/>
  <c r="O16" i="65"/>
  <c r="P16" i="65" s="1"/>
  <c r="O33" i="65"/>
  <c r="P33" i="65" s="1"/>
  <c r="O49" i="65"/>
  <c r="P49" i="65" s="1"/>
  <c r="M69" i="65"/>
  <c r="O69" i="65"/>
  <c r="O79" i="65"/>
  <c r="M79" i="65"/>
  <c r="O83" i="65"/>
  <c r="P83" i="65" s="1"/>
  <c r="O90" i="65"/>
  <c r="M90" i="65"/>
  <c r="O102" i="65"/>
  <c r="M102" i="65"/>
  <c r="O147" i="65"/>
  <c r="M147" i="65"/>
  <c r="O150" i="65"/>
  <c r="M150" i="65"/>
  <c r="O163" i="65"/>
  <c r="M163" i="65"/>
  <c r="O47" i="65"/>
  <c r="M47" i="65"/>
  <c r="O55" i="65"/>
  <c r="M55" i="65"/>
  <c r="M124" i="65"/>
  <c r="O124" i="65"/>
  <c r="O222" i="65"/>
  <c r="M222" i="65"/>
  <c r="P222" i="65" s="1"/>
  <c r="O39" i="65"/>
  <c r="M39" i="65"/>
  <c r="O50" i="65"/>
  <c r="M50" i="65"/>
  <c r="M93" i="65"/>
  <c r="O93" i="65"/>
  <c r="O96" i="65"/>
  <c r="M96" i="65"/>
  <c r="O110" i="65"/>
  <c r="M110" i="65"/>
  <c r="O118" i="65"/>
  <c r="M118" i="65"/>
  <c r="O134" i="65"/>
  <c r="M134" i="65"/>
  <c r="O138" i="65"/>
  <c r="M138" i="65"/>
  <c r="P138" i="65" s="1"/>
  <c r="O142" i="65"/>
  <c r="M142" i="65"/>
  <c r="O190" i="65"/>
  <c r="M190" i="65"/>
  <c r="O227" i="65"/>
  <c r="M227" i="65"/>
  <c r="O23" i="65"/>
  <c r="M23" i="65"/>
  <c r="P23" i="65" s="1"/>
  <c r="O37" i="65"/>
  <c r="M37" i="65"/>
  <c r="O58" i="65"/>
  <c r="M58" i="65"/>
  <c r="P58" i="65" s="1"/>
  <c r="P75" i="65"/>
  <c r="O216" i="65"/>
  <c r="M216" i="65"/>
  <c r="M245" i="65"/>
  <c r="O245" i="65"/>
  <c r="M21" i="65"/>
  <c r="P21" i="65" s="1"/>
  <c r="O59" i="65"/>
  <c r="P59" i="65" s="1"/>
  <c r="O182" i="65"/>
  <c r="M182" i="65"/>
  <c r="O203" i="65"/>
  <c r="M203" i="65"/>
  <c r="O17" i="65"/>
  <c r="P17" i="65" s="1"/>
  <c r="O53" i="65"/>
  <c r="M53" i="65"/>
  <c r="O63" i="65"/>
  <c r="M63" i="65"/>
  <c r="P63" i="65" s="1"/>
  <c r="O67" i="65"/>
  <c r="P67" i="65" s="1"/>
  <c r="O74" i="65"/>
  <c r="M74" i="65"/>
  <c r="M80" i="65"/>
  <c r="P80" i="65" s="1"/>
  <c r="M151" i="65"/>
  <c r="O151" i="65"/>
  <c r="O200" i="65"/>
  <c r="M200" i="65"/>
  <c r="P200" i="65" s="1"/>
  <c r="O259" i="65"/>
  <c r="M259" i="65"/>
  <c r="O18" i="65"/>
  <c r="M18" i="65"/>
  <c r="M197" i="65"/>
  <c r="O197" i="65"/>
  <c r="O42" i="65"/>
  <c r="M42" i="65"/>
  <c r="M85" i="65"/>
  <c r="O85" i="65"/>
  <c r="O166" i="65"/>
  <c r="M166" i="65"/>
  <c r="M213" i="65"/>
  <c r="O213" i="65"/>
  <c r="M45" i="65"/>
  <c r="O45" i="65"/>
  <c r="M72" i="65"/>
  <c r="P72" i="65" s="1"/>
  <c r="O105" i="65"/>
  <c r="M105" i="65"/>
  <c r="O31" i="65"/>
  <c r="M31" i="65"/>
  <c r="M40" i="65"/>
  <c r="P40" i="65" s="1"/>
  <c r="O57" i="65"/>
  <c r="P57" i="65" s="1"/>
  <c r="M77" i="65"/>
  <c r="O77" i="65"/>
  <c r="O87" i="65"/>
  <c r="M87" i="65"/>
  <c r="O91" i="65"/>
  <c r="P91" i="65" s="1"/>
  <c r="O97" i="65"/>
  <c r="M97" i="65"/>
  <c r="O126" i="65"/>
  <c r="M126" i="65"/>
  <c r="M135" i="65"/>
  <c r="O135" i="65"/>
  <c r="O160" i="65"/>
  <c r="M160" i="65"/>
  <c r="O206" i="65"/>
  <c r="M206" i="65"/>
  <c r="O224" i="65"/>
  <c r="M224" i="65"/>
  <c r="O235" i="65"/>
  <c r="M235" i="65"/>
  <c r="P235" i="65" s="1"/>
  <c r="O256" i="65"/>
  <c r="M256" i="65"/>
  <c r="O120" i="65"/>
  <c r="M120" i="65"/>
  <c r="O123" i="65"/>
  <c r="M123" i="65"/>
  <c r="O184" i="65"/>
  <c r="M184" i="65"/>
  <c r="O187" i="65"/>
  <c r="M187" i="65"/>
  <c r="O221" i="65"/>
  <c r="P221" i="65" s="1"/>
  <c r="O253" i="65"/>
  <c r="P253" i="65" s="1"/>
  <c r="O107" i="65"/>
  <c r="P107" i="65" s="1"/>
  <c r="O112" i="65"/>
  <c r="M112" i="65"/>
  <c r="O115" i="65"/>
  <c r="M115" i="65"/>
  <c r="O127" i="65"/>
  <c r="P127" i="65" s="1"/>
  <c r="M130" i="65"/>
  <c r="P130" i="65" s="1"/>
  <c r="M145" i="65"/>
  <c r="P145" i="65" s="1"/>
  <c r="M164" i="65"/>
  <c r="P164" i="65" s="1"/>
  <c r="O176" i="65"/>
  <c r="M176" i="65"/>
  <c r="O179" i="65"/>
  <c r="M179" i="65"/>
  <c r="O191" i="65"/>
  <c r="P191" i="65" s="1"/>
  <c r="M194" i="65"/>
  <c r="P194" i="65" s="1"/>
  <c r="M204" i="65"/>
  <c r="P204" i="65" s="1"/>
  <c r="O207" i="65"/>
  <c r="P207" i="65" s="1"/>
  <c r="M210" i="65"/>
  <c r="P210" i="65" s="1"/>
  <c r="O219" i="65"/>
  <c r="M219" i="65"/>
  <c r="M225" i="65"/>
  <c r="P225" i="65" s="1"/>
  <c r="M228" i="65"/>
  <c r="P228" i="65" s="1"/>
  <c r="O231" i="65"/>
  <c r="P231" i="65" s="1"/>
  <c r="O240" i="65"/>
  <c r="M240" i="65"/>
  <c r="O251" i="65"/>
  <c r="M251" i="65"/>
  <c r="M257" i="65"/>
  <c r="P257" i="65" s="1"/>
  <c r="M260" i="65"/>
  <c r="P260" i="65" s="1"/>
  <c r="O152" i="65"/>
  <c r="M152" i="65"/>
  <c r="O155" i="65"/>
  <c r="M155" i="65"/>
  <c r="O158" i="65"/>
  <c r="M158" i="65"/>
  <c r="O198" i="65"/>
  <c r="M198" i="65"/>
  <c r="O214" i="65"/>
  <c r="M214" i="65"/>
  <c r="O246" i="65"/>
  <c r="M246" i="65"/>
  <c r="O136" i="65"/>
  <c r="M136" i="65"/>
  <c r="O128" i="65"/>
  <c r="M128" i="65"/>
  <c r="O131" i="65"/>
  <c r="M131" i="65"/>
  <c r="O143" i="65"/>
  <c r="P143" i="65" s="1"/>
  <c r="M146" i="65"/>
  <c r="P146" i="65" s="1"/>
  <c r="M161" i="65"/>
  <c r="P161" i="65" s="1"/>
  <c r="O192" i="65"/>
  <c r="M192" i="65"/>
  <c r="O195" i="65"/>
  <c r="M195" i="65"/>
  <c r="M201" i="65"/>
  <c r="P201" i="65" s="1"/>
  <c r="P205" i="65"/>
  <c r="O208" i="65"/>
  <c r="M208" i="65"/>
  <c r="O211" i="65"/>
  <c r="M211" i="65"/>
  <c r="M217" i="65"/>
  <c r="P217" i="65" s="1"/>
  <c r="M220" i="65"/>
  <c r="P220" i="65" s="1"/>
  <c r="O223" i="65"/>
  <c r="P223" i="65" s="1"/>
  <c r="O232" i="65"/>
  <c r="M232" i="65"/>
  <c r="O243" i="65"/>
  <c r="M243" i="65"/>
  <c r="M249" i="65"/>
  <c r="P249" i="65" s="1"/>
  <c r="M252" i="65"/>
  <c r="P252" i="65" s="1"/>
  <c r="O139" i="65"/>
  <c r="M139" i="65"/>
  <c r="O168" i="65"/>
  <c r="M168" i="65"/>
  <c r="O171" i="65"/>
  <c r="M171" i="65"/>
  <c r="O174" i="65"/>
  <c r="M174" i="65"/>
  <c r="O238" i="65"/>
  <c r="M238" i="65"/>
  <c r="O261" i="65"/>
  <c r="P261" i="65" s="1"/>
  <c r="M27" i="64"/>
  <c r="O27" i="64"/>
  <c r="O70" i="64"/>
  <c r="M70" i="64"/>
  <c r="O14" i="64"/>
  <c r="M14" i="64"/>
  <c r="O50" i="64"/>
  <c r="M50" i="64"/>
  <c r="M19" i="64"/>
  <c r="O19" i="64"/>
  <c r="O66" i="64"/>
  <c r="M66" i="64"/>
  <c r="M43" i="64"/>
  <c r="O43" i="64"/>
  <c r="O46" i="64"/>
  <c r="M46" i="64"/>
  <c r="O42" i="64"/>
  <c r="M42" i="64"/>
  <c r="O30" i="64"/>
  <c r="M30" i="64"/>
  <c r="O82" i="64"/>
  <c r="M82" i="64"/>
  <c r="O26" i="64"/>
  <c r="M26" i="64"/>
  <c r="M35" i="64"/>
  <c r="O35" i="64"/>
  <c r="O78" i="64"/>
  <c r="M78" i="64"/>
  <c r="M55" i="64"/>
  <c r="O55" i="64"/>
  <c r="M59" i="64"/>
  <c r="O59" i="64"/>
  <c r="M94" i="64"/>
  <c r="P94" i="64" s="1"/>
  <c r="O111" i="64"/>
  <c r="P111" i="64" s="1"/>
  <c r="M122" i="64"/>
  <c r="P122" i="64" s="1"/>
  <c r="O195" i="64"/>
  <c r="P195" i="64" s="1"/>
  <c r="O202" i="64"/>
  <c r="M202" i="64"/>
  <c r="O230" i="64"/>
  <c r="M230" i="64"/>
  <c r="O13" i="64"/>
  <c r="M13" i="64"/>
  <c r="O16" i="64"/>
  <c r="P16" i="64" s="1"/>
  <c r="O29" i="64"/>
  <c r="M29" i="64"/>
  <c r="O32" i="64"/>
  <c r="P32" i="64" s="1"/>
  <c r="O45" i="64"/>
  <c r="M45" i="64"/>
  <c r="O52" i="64"/>
  <c r="P52" i="64" s="1"/>
  <c r="M56" i="64"/>
  <c r="P56" i="64" s="1"/>
  <c r="M63" i="64"/>
  <c r="O63" i="64"/>
  <c r="O84" i="64"/>
  <c r="P84" i="64" s="1"/>
  <c r="M88" i="64"/>
  <c r="P88" i="64" s="1"/>
  <c r="M95" i="64"/>
  <c r="O95" i="64"/>
  <c r="M112" i="64"/>
  <c r="O112" i="64"/>
  <c r="M123" i="64"/>
  <c r="O123" i="64"/>
  <c r="P224" i="64"/>
  <c r="O227" i="64"/>
  <c r="P227" i="64" s="1"/>
  <c r="O234" i="64"/>
  <c r="M234" i="64"/>
  <c r="M62" i="64"/>
  <c r="P62" i="64" s="1"/>
  <c r="O108" i="64"/>
  <c r="P108" i="64" s="1"/>
  <c r="M23" i="64"/>
  <c r="O23" i="64"/>
  <c r="M120" i="64"/>
  <c r="O120" i="64"/>
  <c r="O134" i="64"/>
  <c r="M134" i="64"/>
  <c r="M179" i="64"/>
  <c r="O179" i="64"/>
  <c r="M71" i="64"/>
  <c r="O71" i="64"/>
  <c r="M74" i="64"/>
  <c r="P74" i="64" s="1"/>
  <c r="O96" i="64"/>
  <c r="P96" i="64" s="1"/>
  <c r="M102" i="64"/>
  <c r="P102" i="64" s="1"/>
  <c r="O106" i="64"/>
  <c r="M106" i="64"/>
  <c r="O131" i="64"/>
  <c r="P131" i="64" s="1"/>
  <c r="M147" i="64"/>
  <c r="O147" i="64"/>
  <c r="M207" i="64"/>
  <c r="O207" i="64"/>
  <c r="M211" i="64"/>
  <c r="O211" i="64"/>
  <c r="O138" i="64"/>
  <c r="M138" i="64"/>
  <c r="M175" i="64"/>
  <c r="O175" i="64"/>
  <c r="O17" i="64"/>
  <c r="M17" i="64"/>
  <c r="O33" i="64"/>
  <c r="M33" i="64"/>
  <c r="M64" i="64"/>
  <c r="P64" i="64" s="1"/>
  <c r="M40" i="64"/>
  <c r="P40" i="64" s="1"/>
  <c r="M68" i="64"/>
  <c r="P68" i="64" s="1"/>
  <c r="M75" i="64"/>
  <c r="O75" i="64"/>
  <c r="O128" i="64"/>
  <c r="P128" i="64" s="1"/>
  <c r="M143" i="64"/>
  <c r="O143" i="64"/>
  <c r="M154" i="64"/>
  <c r="P154" i="64" s="1"/>
  <c r="M186" i="64"/>
  <c r="P186" i="64" s="1"/>
  <c r="M239" i="64"/>
  <c r="O239" i="64"/>
  <c r="M243" i="64"/>
  <c r="O243" i="64"/>
  <c r="M22" i="64"/>
  <c r="P22" i="64" s="1"/>
  <c r="M91" i="64"/>
  <c r="O91" i="64"/>
  <c r="O160" i="64"/>
  <c r="P160" i="64" s="1"/>
  <c r="M39" i="64"/>
  <c r="O39" i="64"/>
  <c r="P92" i="64"/>
  <c r="O21" i="64"/>
  <c r="M21" i="64"/>
  <c r="O37" i="64"/>
  <c r="M37" i="64"/>
  <c r="M47" i="64"/>
  <c r="O47" i="64"/>
  <c r="M79" i="64"/>
  <c r="O79" i="64"/>
  <c r="M140" i="64"/>
  <c r="O140" i="64"/>
  <c r="M144" i="64"/>
  <c r="O144" i="64"/>
  <c r="O41" i="64"/>
  <c r="M41" i="64"/>
  <c r="M38" i="64"/>
  <c r="P38" i="64" s="1"/>
  <c r="M67" i="64"/>
  <c r="O67" i="64"/>
  <c r="M15" i="64"/>
  <c r="O15" i="64"/>
  <c r="M31" i="64"/>
  <c r="O31" i="64"/>
  <c r="M51" i="64"/>
  <c r="O51" i="64"/>
  <c r="P76" i="64"/>
  <c r="M83" i="64"/>
  <c r="O83" i="64"/>
  <c r="O114" i="64"/>
  <c r="M114" i="64"/>
  <c r="P163" i="64"/>
  <c r="O166" i="64"/>
  <c r="M166" i="64"/>
  <c r="O25" i="64"/>
  <c r="M25" i="64"/>
  <c r="M87" i="64"/>
  <c r="O87" i="64"/>
  <c r="M115" i="64"/>
  <c r="O115" i="64"/>
  <c r="O170" i="64"/>
  <c r="M170" i="64"/>
  <c r="O198" i="64"/>
  <c r="M198" i="64"/>
  <c r="M262" i="64"/>
  <c r="P262" i="64" s="1"/>
  <c r="P117" i="64"/>
  <c r="M146" i="64"/>
  <c r="P146" i="64" s="1"/>
  <c r="O152" i="64"/>
  <c r="P152" i="64" s="1"/>
  <c r="O155" i="64"/>
  <c r="P155" i="64" s="1"/>
  <c r="M178" i="64"/>
  <c r="P178" i="64" s="1"/>
  <c r="P181" i="64"/>
  <c r="O187" i="64"/>
  <c r="P187" i="64" s="1"/>
  <c r="M210" i="64"/>
  <c r="P210" i="64" s="1"/>
  <c r="P213" i="64"/>
  <c r="O219" i="64"/>
  <c r="P219" i="64" s="1"/>
  <c r="M242" i="64"/>
  <c r="P242" i="64" s="1"/>
  <c r="O251" i="64"/>
  <c r="P251" i="64" s="1"/>
  <c r="P260" i="64"/>
  <c r="M49" i="64"/>
  <c r="P49" i="64" s="1"/>
  <c r="M53" i="64"/>
  <c r="P53" i="64" s="1"/>
  <c r="M57" i="64"/>
  <c r="P57" i="64" s="1"/>
  <c r="M61" i="64"/>
  <c r="P61" i="64" s="1"/>
  <c r="M65" i="64"/>
  <c r="P65" i="64" s="1"/>
  <c r="M69" i="64"/>
  <c r="P69" i="64" s="1"/>
  <c r="M73" i="64"/>
  <c r="P73" i="64" s="1"/>
  <c r="M77" i="64"/>
  <c r="P77" i="64" s="1"/>
  <c r="M81" i="64"/>
  <c r="P81" i="64" s="1"/>
  <c r="M85" i="64"/>
  <c r="P85" i="64" s="1"/>
  <c r="M89" i="64"/>
  <c r="P89" i="64" s="1"/>
  <c r="M93" i="64"/>
  <c r="P93" i="64" s="1"/>
  <c r="M118" i="64"/>
  <c r="P118" i="64" s="1"/>
  <c r="O124" i="64"/>
  <c r="P124" i="64" s="1"/>
  <c r="O127" i="64"/>
  <c r="P127" i="64" s="1"/>
  <c r="M150" i="64"/>
  <c r="P150" i="64" s="1"/>
  <c r="O156" i="64"/>
  <c r="P156" i="64" s="1"/>
  <c r="O159" i="64"/>
  <c r="P159" i="64" s="1"/>
  <c r="M182" i="64"/>
  <c r="P182" i="64" s="1"/>
  <c r="O191" i="64"/>
  <c r="P191" i="64" s="1"/>
  <c r="M214" i="64"/>
  <c r="P214" i="64" s="1"/>
  <c r="O223" i="64"/>
  <c r="P223" i="64" s="1"/>
  <c r="M246" i="64"/>
  <c r="P246" i="64" s="1"/>
  <c r="O255" i="64"/>
  <c r="P255" i="64" s="1"/>
  <c r="M98" i="64"/>
  <c r="P98" i="64" s="1"/>
  <c r="P101" i="64"/>
  <c r="O104" i="64"/>
  <c r="P104" i="64" s="1"/>
  <c r="M130" i="64"/>
  <c r="P130" i="64" s="1"/>
  <c r="O136" i="64"/>
  <c r="P136" i="64" s="1"/>
  <c r="O139" i="64"/>
  <c r="P139" i="64" s="1"/>
  <c r="M162" i="64"/>
  <c r="P162" i="64" s="1"/>
  <c r="O171" i="64"/>
  <c r="P171" i="64" s="1"/>
  <c r="M194" i="64"/>
  <c r="P194" i="64" s="1"/>
  <c r="O203" i="64"/>
  <c r="P203" i="64" s="1"/>
  <c r="M226" i="64"/>
  <c r="P226" i="64" s="1"/>
  <c r="O235" i="64"/>
  <c r="P235" i="64" s="1"/>
  <c r="P244" i="64"/>
  <c r="M258" i="64"/>
  <c r="P258" i="64" s="1"/>
  <c r="P196" i="64" l="1"/>
  <c r="P183" i="64"/>
  <c r="P164" i="64"/>
  <c r="P148" i="64"/>
  <c r="P119" i="64"/>
  <c r="P103" i="64"/>
  <c r="P88" i="69"/>
  <c r="P80" i="69"/>
  <c r="P138" i="69"/>
  <c r="P81" i="69"/>
  <c r="P258" i="69"/>
  <c r="P247" i="69"/>
  <c r="P226" i="69"/>
  <c r="P202" i="69"/>
  <c r="P187" i="69"/>
  <c r="P62" i="69"/>
  <c r="P30" i="69"/>
  <c r="P83" i="69"/>
  <c r="P93" i="69"/>
  <c r="P43" i="69"/>
  <c r="P70" i="69"/>
  <c r="P38" i="69"/>
  <c r="P37" i="69"/>
  <c r="P194" i="69"/>
  <c r="P183" i="69"/>
  <c r="P173" i="69"/>
  <c r="P162" i="69"/>
  <c r="P146" i="69"/>
  <c r="P122" i="69"/>
  <c r="P111" i="69"/>
  <c r="P99" i="69"/>
  <c r="P106" i="69"/>
  <c r="P28" i="69"/>
  <c r="P75" i="69"/>
  <c r="P86" i="69"/>
  <c r="P54" i="69"/>
  <c r="P22" i="69"/>
  <c r="P69" i="69"/>
  <c r="P51" i="69"/>
  <c r="P186" i="69"/>
  <c r="P177" i="69"/>
  <c r="P169" i="69"/>
  <c r="P154" i="69"/>
  <c r="P119" i="69"/>
  <c r="P103" i="69"/>
  <c r="P59" i="69"/>
  <c r="P74" i="69"/>
  <c r="P42" i="69"/>
  <c r="P53" i="69"/>
  <c r="P185" i="69"/>
  <c r="P175" i="69"/>
  <c r="P165" i="69"/>
  <c r="P153" i="69"/>
  <c r="P129" i="69"/>
  <c r="P114" i="69"/>
  <c r="P87" i="68"/>
  <c r="P23" i="68"/>
  <c r="P224" i="68"/>
  <c r="P242" i="68"/>
  <c r="P204" i="68"/>
  <c r="P170" i="68"/>
  <c r="P191" i="68"/>
  <c r="P159" i="68"/>
  <c r="P189" i="68"/>
  <c r="P157" i="68"/>
  <c r="P127" i="68"/>
  <c r="P90" i="68"/>
  <c r="P58" i="68"/>
  <c r="P102" i="68"/>
  <c r="P29" i="68"/>
  <c r="P85" i="68"/>
  <c r="P53" i="68"/>
  <c r="P88" i="68"/>
  <c r="P20" i="68"/>
  <c r="P143" i="67"/>
  <c r="P175" i="67"/>
  <c r="P259" i="67"/>
  <c r="P158" i="67"/>
  <c r="P150" i="67"/>
  <c r="P241" i="67"/>
  <c r="P35" i="67"/>
  <c r="P133" i="67"/>
  <c r="P136" i="67"/>
  <c r="P152" i="67"/>
  <c r="P186" i="67"/>
  <c r="P164" i="67"/>
  <c r="P154" i="67"/>
  <c r="P124" i="67"/>
  <c r="P114" i="67"/>
  <c r="P102" i="67"/>
  <c r="P94" i="67"/>
  <c r="P77" i="66"/>
  <c r="P45" i="66"/>
  <c r="P55" i="66"/>
  <c r="P23" i="66"/>
  <c r="P116" i="66"/>
  <c r="P34" i="66"/>
  <c r="P199" i="66"/>
  <c r="P140" i="66"/>
  <c r="P126" i="66"/>
  <c r="P188" i="66"/>
  <c r="P161" i="66"/>
  <c r="P160" i="66"/>
  <c r="P65" i="66"/>
  <c r="P101" i="66"/>
  <c r="P186" i="66"/>
  <c r="P99" i="66"/>
  <c r="P229" i="65"/>
  <c r="P173" i="65"/>
  <c r="P165" i="65"/>
  <c r="P242" i="65"/>
  <c r="P236" i="65"/>
  <c r="P226" i="65"/>
  <c r="P209" i="65"/>
  <c r="P51" i="65"/>
  <c r="P43" i="65"/>
  <c r="P202" i="65"/>
  <c r="P181" i="65"/>
  <c r="P106" i="65"/>
  <c r="P86" i="65"/>
  <c r="P73" i="65"/>
  <c r="P184" i="65"/>
  <c r="P154" i="65"/>
  <c r="P175" i="65"/>
  <c r="P121" i="65"/>
  <c r="P114" i="65"/>
  <c r="P56" i="65"/>
  <c r="P22" i="65"/>
  <c r="P196" i="65"/>
  <c r="P185" i="65"/>
  <c r="P178" i="65"/>
  <c r="P162" i="65"/>
  <c r="P137" i="65"/>
  <c r="P125" i="65"/>
  <c r="P117" i="65"/>
  <c r="P111" i="65"/>
  <c r="P94" i="65"/>
  <c r="P81" i="65"/>
  <c r="P70" i="65"/>
  <c r="P30" i="65"/>
  <c r="P25" i="65"/>
  <c r="P14" i="65"/>
  <c r="P121" i="64"/>
  <c r="P113" i="64"/>
  <c r="P105" i="64"/>
  <c r="P86" i="64"/>
  <c r="P197" i="64"/>
  <c r="P180" i="64"/>
  <c r="P149" i="64"/>
  <c r="P133" i="64"/>
  <c r="P125" i="64"/>
  <c r="P100" i="64"/>
  <c r="P72" i="64"/>
  <c r="P36" i="64"/>
  <c r="P28" i="64"/>
  <c r="P60" i="64"/>
  <c r="P116" i="64"/>
  <c r="P190" i="69"/>
  <c r="P208" i="69"/>
  <c r="P171" i="69"/>
  <c r="P158" i="69"/>
  <c r="P78" i="69"/>
  <c r="P46" i="69"/>
  <c r="P14" i="69"/>
  <c r="P61" i="69"/>
  <c r="P251" i="69"/>
  <c r="P66" i="69"/>
  <c r="P34" i="69"/>
  <c r="P248" i="69"/>
  <c r="P176" i="69"/>
  <c r="P184" i="69"/>
  <c r="P214" i="69"/>
  <c r="P131" i="68"/>
  <c r="P86" i="68"/>
  <c r="P54" i="68"/>
  <c r="P33" i="68"/>
  <c r="P17" i="68"/>
  <c r="P222" i="68"/>
  <c r="P161" i="68"/>
  <c r="P116" i="68"/>
  <c r="P30" i="68"/>
  <c r="P14" i="68"/>
  <c r="P94" i="68"/>
  <c r="P62" i="68"/>
  <c r="P38" i="68"/>
  <c r="P22" i="68"/>
  <c r="P123" i="68"/>
  <c r="P198" i="68"/>
  <c r="P110" i="68"/>
  <c r="P136" i="68"/>
  <c r="P256" i="68"/>
  <c r="P139" i="68"/>
  <c r="P248" i="68"/>
  <c r="P184" i="68"/>
  <c r="P21" i="68"/>
  <c r="P56" i="68"/>
  <c r="P82" i="68"/>
  <c r="P118" i="67"/>
  <c r="P201" i="67"/>
  <c r="P160" i="67"/>
  <c r="P75" i="67"/>
  <c r="P31" i="67"/>
  <c r="P51" i="67"/>
  <c r="P79" i="67"/>
  <c r="P87" i="67"/>
  <c r="P36" i="67"/>
  <c r="P189" i="67"/>
  <c r="P180" i="67"/>
  <c r="P170" i="67"/>
  <c r="P140" i="67"/>
  <c r="P108" i="67"/>
  <c r="P100" i="67"/>
  <c r="P248" i="67"/>
  <c r="P216" i="67"/>
  <c r="P144" i="67"/>
  <c r="P197" i="67"/>
  <c r="P188" i="67"/>
  <c r="P178" i="67"/>
  <c r="P156" i="67"/>
  <c r="P138" i="67"/>
  <c r="P125" i="67"/>
  <c r="P116" i="67"/>
  <c r="P256" i="67"/>
  <c r="P63" i="67"/>
  <c r="P232" i="67"/>
  <c r="P200" i="67"/>
  <c r="P128" i="67"/>
  <c r="P169" i="66"/>
  <c r="P198" i="66"/>
  <c r="P164" i="66"/>
  <c r="P142" i="66"/>
  <c r="P100" i="66"/>
  <c r="P32" i="66"/>
  <c r="P33" i="66"/>
  <c r="P152" i="66"/>
  <c r="P138" i="66"/>
  <c r="P122" i="66"/>
  <c r="P90" i="66"/>
  <c r="P71" i="66"/>
  <c r="P39" i="66"/>
  <c r="P252" i="66"/>
  <c r="P196" i="66"/>
  <c r="P182" i="66"/>
  <c r="P137" i="66"/>
  <c r="P192" i="66"/>
  <c r="P185" i="66"/>
  <c r="P148" i="66"/>
  <c r="P184" i="66"/>
  <c r="P260" i="66"/>
  <c r="P66" i="66"/>
  <c r="P228" i="66"/>
  <c r="P198" i="65"/>
  <c r="P250" i="65"/>
  <c r="P241" i="65"/>
  <c r="P234" i="65"/>
  <c r="P218" i="65"/>
  <c r="P193" i="65"/>
  <c r="P177" i="65"/>
  <c r="P170" i="65"/>
  <c r="P48" i="65"/>
  <c r="P142" i="65"/>
  <c r="P110" i="65"/>
  <c r="P39" i="65"/>
  <c r="P47" i="65"/>
  <c r="P102" i="65"/>
  <c r="P148" i="65"/>
  <c r="P122" i="65"/>
  <c r="P100" i="65"/>
  <c r="P78" i="65"/>
  <c r="P29" i="65"/>
  <c r="P24" i="65"/>
  <c r="P38" i="65"/>
  <c r="P176" i="65"/>
  <c r="P203" i="65"/>
  <c r="P256" i="65"/>
  <c r="P61" i="65"/>
  <c r="P246" i="65"/>
  <c r="P155" i="65"/>
  <c r="P262" i="65"/>
  <c r="P153" i="65"/>
  <c r="P202" i="64"/>
  <c r="P158" i="64"/>
  <c r="P254" i="64"/>
  <c r="P249" i="64"/>
  <c r="P237" i="64"/>
  <c r="P218" i="64"/>
  <c r="P206" i="64"/>
  <c r="P193" i="64"/>
  <c r="P174" i="64"/>
  <c r="P153" i="64"/>
  <c r="P145" i="64"/>
  <c r="P54" i="64"/>
  <c r="P34" i="64"/>
  <c r="P18" i="64"/>
  <c r="P238" i="64"/>
  <c r="P126" i="64"/>
  <c r="P250" i="64"/>
  <c r="P225" i="64"/>
  <c r="P201" i="64"/>
  <c r="P189" i="64"/>
  <c r="P169" i="64"/>
  <c r="P157" i="64"/>
  <c r="P137" i="64"/>
  <c r="P129" i="64"/>
  <c r="P110" i="64"/>
  <c r="P106" i="64"/>
  <c r="P97" i="64"/>
  <c r="P80" i="64"/>
  <c r="P109" i="64"/>
  <c r="P21" i="64"/>
  <c r="P82" i="64"/>
  <c r="P114" i="64"/>
  <c r="P58" i="64"/>
  <c r="P50" i="64"/>
  <c r="P44" i="64"/>
  <c r="P101" i="69"/>
  <c r="P41" i="64"/>
  <c r="P79" i="65"/>
  <c r="P144" i="68"/>
  <c r="P68" i="68"/>
  <c r="P232" i="65"/>
  <c r="P208" i="65"/>
  <c r="P120" i="65"/>
  <c r="P87" i="65"/>
  <c r="P31" i="65"/>
  <c r="P53" i="65"/>
  <c r="P138" i="64"/>
  <c r="P29" i="64"/>
  <c r="P174" i="65"/>
  <c r="P139" i="65"/>
  <c r="P166" i="65"/>
  <c r="P48" i="66"/>
  <c r="P132" i="66"/>
  <c r="P63" i="66"/>
  <c r="P31" i="66"/>
  <c r="P56" i="66"/>
  <c r="P211" i="68"/>
  <c r="P78" i="64"/>
  <c r="P30" i="64"/>
  <c r="P66" i="64"/>
  <c r="P126" i="65"/>
  <c r="P105" i="65"/>
  <c r="P18" i="65"/>
  <c r="P188" i="65"/>
  <c r="P104" i="65"/>
  <c r="P34" i="65"/>
  <c r="P206" i="69"/>
  <c r="P163" i="69"/>
  <c r="P198" i="64"/>
  <c r="P13" i="64"/>
  <c r="P195" i="65"/>
  <c r="P131" i="65"/>
  <c r="P240" i="65"/>
  <c r="P112" i="65"/>
  <c r="P216" i="65"/>
  <c r="P144" i="65"/>
  <c r="P169" i="65"/>
  <c r="P26" i="65"/>
  <c r="P206" i="66"/>
  <c r="P220" i="66"/>
  <c r="P256" i="66"/>
  <c r="P225" i="66"/>
  <c r="P248" i="66"/>
  <c r="P201" i="66"/>
  <c r="P168" i="65"/>
  <c r="P214" i="65"/>
  <c r="P152" i="65"/>
  <c r="P97" i="65"/>
  <c r="P182" i="65"/>
  <c r="P134" i="65"/>
  <c r="P150" i="65"/>
  <c r="P66" i="65"/>
  <c r="P82" i="65"/>
  <c r="P217" i="66"/>
  <c r="P246" i="66"/>
  <c r="P216" i="66"/>
  <c r="P222" i="67"/>
  <c r="P185" i="67"/>
  <c r="P153" i="67"/>
  <c r="P160" i="68"/>
  <c r="P28" i="68"/>
  <c r="P61" i="68"/>
  <c r="P32" i="68"/>
  <c r="P40" i="68"/>
  <c r="P48" i="68"/>
  <c r="P71" i="67"/>
  <c r="P91" i="67"/>
  <c r="P27" i="67"/>
  <c r="P241" i="68"/>
  <c r="P182" i="68"/>
  <c r="P240" i="68"/>
  <c r="P145" i="68"/>
  <c r="P24" i="68"/>
  <c r="P50" i="68"/>
  <c r="P92" i="68"/>
  <c r="P60" i="68"/>
  <c r="P18" i="68"/>
  <c r="P26" i="68"/>
  <c r="P168" i="69"/>
  <c r="P259" i="69"/>
  <c r="P198" i="69"/>
  <c r="P174" i="67"/>
  <c r="P121" i="67"/>
  <c r="P238" i="67"/>
  <c r="P206" i="67"/>
  <c r="P169" i="67"/>
  <c r="P110" i="67"/>
  <c r="P120" i="67"/>
  <c r="P233" i="67"/>
  <c r="P176" i="67"/>
  <c r="P43" i="67"/>
  <c r="P76" i="67"/>
  <c r="P83" i="67"/>
  <c r="P19" i="67"/>
  <c r="P118" i="68"/>
  <c r="P187" i="68"/>
  <c r="P112" i="68"/>
  <c r="P179" i="68"/>
  <c r="P134" i="68"/>
  <c r="P257" i="68"/>
  <c r="P77" i="68"/>
  <c r="P45" i="68"/>
  <c r="P80" i="68"/>
  <c r="P200" i="69"/>
  <c r="P102" i="69"/>
  <c r="P256" i="69"/>
  <c r="P195" i="69"/>
  <c r="P96" i="69"/>
  <c r="P110" i="66"/>
  <c r="P224" i="66"/>
  <c r="P156" i="66"/>
  <c r="P232" i="66"/>
  <c r="P241" i="66"/>
  <c r="P59" i="67"/>
  <c r="P208" i="68"/>
  <c r="P155" i="68"/>
  <c r="P163" i="68"/>
  <c r="P152" i="68"/>
  <c r="P128" i="68"/>
  <c r="P216" i="68"/>
  <c r="P217" i="68"/>
  <c r="P37" i="68"/>
  <c r="P93" i="68"/>
  <c r="P36" i="68"/>
  <c r="P76" i="68"/>
  <c r="P44" i="68"/>
  <c r="P64" i="68"/>
  <c r="P166" i="69"/>
  <c r="P174" i="69"/>
  <c r="P240" i="69"/>
  <c r="P192" i="69"/>
  <c r="P74" i="66"/>
  <c r="P41" i="66"/>
  <c r="P40" i="66"/>
  <c r="P67" i="66"/>
  <c r="P35" i="66"/>
  <c r="P180" i="66"/>
  <c r="P50" i="66"/>
  <c r="P124" i="66"/>
  <c r="P150" i="68"/>
  <c r="P168" i="68"/>
  <c r="P115" i="68"/>
  <c r="P69" i="68"/>
  <c r="P13" i="68"/>
  <c r="P72" i="68"/>
  <c r="P16" i="68"/>
  <c r="P254" i="69"/>
  <c r="P211" i="69"/>
  <c r="P82" i="69"/>
  <c r="P50" i="69"/>
  <c r="P18" i="69"/>
  <c r="P77" i="69"/>
  <c r="P13" i="69"/>
  <c r="P91" i="69"/>
  <c r="P27" i="69"/>
  <c r="P90" i="69"/>
  <c r="P58" i="69"/>
  <c r="P26" i="69"/>
  <c r="P21" i="69"/>
  <c r="P250" i="69"/>
  <c r="P241" i="69"/>
  <c r="P233" i="69"/>
  <c r="P191" i="69"/>
  <c r="P178" i="69"/>
  <c r="P170" i="69"/>
  <c r="P159" i="69"/>
  <c r="P137" i="69"/>
  <c r="P121" i="69"/>
  <c r="P98" i="69"/>
  <c r="P258" i="68"/>
  <c r="P244" i="68"/>
  <c r="P234" i="68"/>
  <c r="P146" i="68"/>
  <c r="P114" i="68"/>
  <c r="P98" i="68"/>
  <c r="P70" i="68"/>
  <c r="P41" i="68"/>
  <c r="P25" i="68"/>
  <c r="P260" i="67"/>
  <c r="P172" i="67"/>
  <c r="P162" i="67"/>
  <c r="P141" i="67"/>
  <c r="P122" i="67"/>
  <c r="P89" i="67"/>
  <c r="P73" i="67"/>
  <c r="P57" i="67"/>
  <c r="P41" i="67"/>
  <c r="P25" i="67"/>
  <c r="P258" i="66"/>
  <c r="P231" i="66"/>
  <c r="P175" i="66"/>
  <c r="P167" i="66"/>
  <c r="P157" i="66"/>
  <c r="P130" i="66"/>
  <c r="P258" i="65"/>
  <c r="P186" i="65"/>
  <c r="P129" i="65"/>
  <c r="P113" i="65"/>
  <c r="P64" i="65"/>
  <c r="P46" i="65"/>
  <c r="P27" i="65"/>
  <c r="P253" i="64"/>
  <c r="P222" i="64"/>
  <c r="P217" i="64"/>
  <c r="P205" i="64"/>
  <c r="P199" i="64"/>
  <c r="P185" i="64"/>
  <c r="P173" i="64"/>
  <c r="P167" i="64"/>
  <c r="P161" i="64"/>
  <c r="P142" i="64"/>
  <c r="P90" i="64"/>
  <c r="P48" i="64"/>
  <c r="P83" i="64"/>
  <c r="P15" i="64"/>
  <c r="P144" i="64"/>
  <c r="P79" i="64"/>
  <c r="P47" i="64"/>
  <c r="P147" i="64"/>
  <c r="P179" i="64"/>
  <c r="P120" i="64"/>
  <c r="P23" i="64"/>
  <c r="P95" i="64"/>
  <c r="P59" i="64"/>
  <c r="P35" i="64"/>
  <c r="P77" i="65"/>
  <c r="P151" i="65"/>
  <c r="P245" i="65"/>
  <c r="P124" i="65"/>
  <c r="P99" i="65"/>
  <c r="R263" i="65"/>
  <c r="G21" i="63" s="1"/>
  <c r="P73" i="66"/>
  <c r="P25" i="66"/>
  <c r="P173" i="67"/>
  <c r="P157" i="67"/>
  <c r="P237" i="67"/>
  <c r="P221" i="67"/>
  <c r="P205" i="67"/>
  <c r="P85" i="67"/>
  <c r="P53" i="67"/>
  <c r="P21" i="67"/>
  <c r="P93" i="67"/>
  <c r="P61" i="67"/>
  <c r="P29" i="67"/>
  <c r="P69" i="67"/>
  <c r="P37" i="67"/>
  <c r="P77" i="67"/>
  <c r="P89" i="68"/>
  <c r="P57" i="68"/>
  <c r="P252" i="69"/>
  <c r="P180" i="69"/>
  <c r="P172" i="69"/>
  <c r="P84" i="69"/>
  <c r="P261" i="69"/>
  <c r="P221" i="69"/>
  <c r="P130" i="69"/>
  <c r="P87" i="69"/>
  <c r="P79" i="69"/>
  <c r="P71" i="69"/>
  <c r="P63" i="69"/>
  <c r="P55" i="69"/>
  <c r="P47" i="69"/>
  <c r="P39" i="69"/>
  <c r="P31" i="69"/>
  <c r="P23" i="69"/>
  <c r="P15" i="69"/>
  <c r="P237" i="68"/>
  <c r="P229" i="68"/>
  <c r="P213" i="68"/>
  <c r="P205" i="68"/>
  <c r="P197" i="68"/>
  <c r="P173" i="68"/>
  <c r="P165" i="68"/>
  <c r="P149" i="68"/>
  <c r="P141" i="68"/>
  <c r="P133" i="68"/>
  <c r="P109" i="68"/>
  <c r="P258" i="67"/>
  <c r="P255" i="67"/>
  <c r="P250" i="67"/>
  <c r="P247" i="67"/>
  <c r="P242" i="67"/>
  <c r="P239" i="67"/>
  <c r="P234" i="67"/>
  <c r="P231" i="67"/>
  <c r="P226" i="67"/>
  <c r="P223" i="67"/>
  <c r="P218" i="67"/>
  <c r="P215" i="67"/>
  <c r="P210" i="67"/>
  <c r="P207" i="67"/>
  <c r="P202" i="67"/>
  <c r="P199" i="67"/>
  <c r="P194" i="67"/>
  <c r="P146" i="67"/>
  <c r="P130" i="67"/>
  <c r="P112" i="67"/>
  <c r="P104" i="67"/>
  <c r="P96" i="67"/>
  <c r="P88" i="67"/>
  <c r="P80" i="67"/>
  <c r="P72" i="67"/>
  <c r="P64" i="67"/>
  <c r="P56" i="67"/>
  <c r="P48" i="67"/>
  <c r="P40" i="67"/>
  <c r="P32" i="67"/>
  <c r="P24" i="67"/>
  <c r="P16" i="67"/>
  <c r="P253" i="66"/>
  <c r="P245" i="66"/>
  <c r="P229" i="66"/>
  <c r="P219" i="66"/>
  <c r="P211" i="66"/>
  <c r="P210" i="66"/>
  <c r="P205" i="66"/>
  <c r="P203" i="66"/>
  <c r="P197" i="66"/>
  <c r="P195" i="66"/>
  <c r="P189" i="66"/>
  <c r="P187" i="66"/>
  <c r="P181" i="66"/>
  <c r="P179" i="66"/>
  <c r="P173" i="66"/>
  <c r="P171" i="66"/>
  <c r="P163" i="66"/>
  <c r="P155" i="66"/>
  <c r="P147" i="66"/>
  <c r="P139" i="66"/>
  <c r="P131" i="66"/>
  <c r="P123" i="66"/>
  <c r="P115" i="66"/>
  <c r="P92" i="66"/>
  <c r="P84" i="66"/>
  <c r="P76" i="66"/>
  <c r="P68" i="66"/>
  <c r="P60" i="66"/>
  <c r="P52" i="66"/>
  <c r="P44" i="66"/>
  <c r="P36" i="66"/>
  <c r="P28" i="66"/>
  <c r="P20" i="66"/>
  <c r="P255" i="65"/>
  <c r="P247" i="65"/>
  <c r="P215" i="65"/>
  <c r="P199" i="65"/>
  <c r="P183" i="65"/>
  <c r="P180" i="65"/>
  <c r="P172" i="65"/>
  <c r="P167" i="65"/>
  <c r="P159" i="65"/>
  <c r="P157" i="65"/>
  <c r="P149" i="65"/>
  <c r="P141" i="65"/>
  <c r="P133" i="65"/>
  <c r="P119" i="65"/>
  <c r="P116" i="65"/>
  <c r="P109" i="65"/>
  <c r="P103" i="65"/>
  <c r="P101" i="65"/>
  <c r="P98" i="65"/>
  <c r="P95" i="65"/>
  <c r="P92" i="65"/>
  <c r="P84" i="65"/>
  <c r="P76" i="65"/>
  <c r="P68" i="65"/>
  <c r="P62" i="65"/>
  <c r="P60" i="65"/>
  <c r="P54" i="65"/>
  <c r="P52" i="65"/>
  <c r="P44" i="65"/>
  <c r="P36" i="65"/>
  <c r="P28" i="65"/>
  <c r="P20" i="65"/>
  <c r="P259" i="64"/>
  <c r="P256" i="64"/>
  <c r="P252" i="64"/>
  <c r="P248" i="64"/>
  <c r="P247" i="64"/>
  <c r="P240" i="64"/>
  <c r="P236" i="64"/>
  <c r="P232" i="64"/>
  <c r="P220" i="64"/>
  <c r="P216" i="64"/>
  <c r="P215" i="64"/>
  <c r="P208" i="64"/>
  <c r="P204" i="64"/>
  <c r="P200" i="64"/>
  <c r="P192" i="64"/>
  <c r="P188" i="64"/>
  <c r="P184" i="64"/>
  <c r="P176" i="64"/>
  <c r="P172" i="64"/>
  <c r="P168" i="64"/>
  <c r="P151" i="64"/>
  <c r="P107" i="64"/>
  <c r="P99" i="64"/>
  <c r="P24" i="64"/>
  <c r="P246" i="69"/>
  <c r="P230" i="69"/>
  <c r="P115" i="69"/>
  <c r="P139" i="69"/>
  <c r="P110" i="69"/>
  <c r="P216" i="69"/>
  <c r="P244" i="69"/>
  <c r="P124" i="69"/>
  <c r="P45" i="69"/>
  <c r="P236" i="69"/>
  <c r="P156" i="69"/>
  <c r="P44" i="69"/>
  <c r="P100" i="69"/>
  <c r="P19" i="69"/>
  <c r="P68" i="69"/>
  <c r="P196" i="69"/>
  <c r="P203" i="69"/>
  <c r="P134" i="69"/>
  <c r="P182" i="69"/>
  <c r="P227" i="69"/>
  <c r="P238" i="69"/>
  <c r="P126" i="69"/>
  <c r="P116" i="69"/>
  <c r="P29" i="69"/>
  <c r="P35" i="69"/>
  <c r="P92" i="69"/>
  <c r="P85" i="69"/>
  <c r="P52" i="69"/>
  <c r="P131" i="69"/>
  <c r="P155" i="69"/>
  <c r="P224" i="69"/>
  <c r="P235" i="69"/>
  <c r="P150" i="69"/>
  <c r="P123" i="69"/>
  <c r="P222" i="69"/>
  <c r="P204" i="69"/>
  <c r="P76" i="69"/>
  <c r="P188" i="69"/>
  <c r="P108" i="69"/>
  <c r="P36" i="69"/>
  <c r="P107" i="69"/>
  <c r="P118" i="69"/>
  <c r="P142" i="69"/>
  <c r="P179" i="69"/>
  <c r="P232" i="69"/>
  <c r="P147" i="69"/>
  <c r="P243" i="69"/>
  <c r="P219" i="69"/>
  <c r="P148" i="69"/>
  <c r="R263" i="69"/>
  <c r="K21" i="63" s="1"/>
  <c r="P60" i="69"/>
  <c r="P132" i="69"/>
  <c r="P67" i="69"/>
  <c r="P20" i="69"/>
  <c r="P249" i="68"/>
  <c r="P107" i="68"/>
  <c r="P177" i="68"/>
  <c r="P169" i="68"/>
  <c r="P225" i="68"/>
  <c r="P120" i="68"/>
  <c r="P153" i="68"/>
  <c r="P243" i="68"/>
  <c r="P201" i="68"/>
  <c r="P81" i="68"/>
  <c r="P49" i="68"/>
  <c r="P34" i="68"/>
  <c r="P84" i="68"/>
  <c r="P238" i="68"/>
  <c r="P185" i="68"/>
  <c r="P104" i="68"/>
  <c r="P166" i="68"/>
  <c r="P203" i="68"/>
  <c r="P158" i="68"/>
  <c r="P129" i="68"/>
  <c r="P214" i="68"/>
  <c r="P142" i="68"/>
  <c r="P232" i="68"/>
  <c r="P235" i="68"/>
  <c r="P190" i="68"/>
  <c r="P66" i="68"/>
  <c r="P52" i="68"/>
  <c r="P174" i="68"/>
  <c r="P121" i="68"/>
  <c r="P200" i="68"/>
  <c r="P233" i="68"/>
  <c r="P259" i="68"/>
  <c r="P251" i="68"/>
  <c r="P176" i="68"/>
  <c r="P246" i="68"/>
  <c r="P262" i="68"/>
  <c r="P137" i="68"/>
  <c r="P65" i="68"/>
  <c r="R263" i="68"/>
  <c r="J21" i="63" s="1"/>
  <c r="P73" i="68"/>
  <c r="P219" i="68"/>
  <c r="P227" i="68"/>
  <c r="P230" i="68"/>
  <c r="P113" i="68"/>
  <c r="P192" i="68"/>
  <c r="P195" i="68"/>
  <c r="P193" i="68"/>
  <c r="P206" i="68"/>
  <c r="P209" i="68"/>
  <c r="P254" i="68"/>
  <c r="P171" i="68"/>
  <c r="P126" i="68"/>
  <c r="P165" i="67"/>
  <c r="P193" i="67"/>
  <c r="P182" i="67"/>
  <c r="P137" i="67"/>
  <c r="P192" i="67"/>
  <c r="P99" i="67"/>
  <c r="P230" i="67"/>
  <c r="P198" i="67"/>
  <c r="P161" i="67"/>
  <c r="P254" i="67"/>
  <c r="P142" i="67"/>
  <c r="P249" i="67"/>
  <c r="P168" i="67"/>
  <c r="P261" i="67"/>
  <c r="P20" i="67"/>
  <c r="P13" i="67"/>
  <c r="P55" i="67"/>
  <c r="P257" i="67"/>
  <c r="P225" i="67"/>
  <c r="P129" i="67"/>
  <c r="P190" i="67"/>
  <c r="P60" i="67"/>
  <c r="P15" i="67"/>
  <c r="P213" i="67"/>
  <c r="P166" i="67"/>
  <c r="P246" i="67"/>
  <c r="P214" i="67"/>
  <c r="P177" i="67"/>
  <c r="P113" i="67"/>
  <c r="P126" i="67"/>
  <c r="P262" i="67"/>
  <c r="P217" i="67"/>
  <c r="P184" i="67"/>
  <c r="P84" i="67"/>
  <c r="P44" i="67"/>
  <c r="P47" i="67"/>
  <c r="P181" i="67"/>
  <c r="P245" i="67"/>
  <c r="P45" i="67"/>
  <c r="P224" i="67"/>
  <c r="P251" i="67"/>
  <c r="P134" i="67"/>
  <c r="P145" i="67"/>
  <c r="P39" i="67"/>
  <c r="P92" i="67"/>
  <c r="P67" i="67"/>
  <c r="P68" i="67"/>
  <c r="P23" i="67"/>
  <c r="P28" i="67"/>
  <c r="P229" i="67"/>
  <c r="P253" i="67"/>
  <c r="R263" i="67"/>
  <c r="I21" i="63" s="1"/>
  <c r="P113" i="66"/>
  <c r="P262" i="66"/>
  <c r="P166" i="66"/>
  <c r="P240" i="66"/>
  <c r="P200" i="66"/>
  <c r="P249" i="66"/>
  <c r="P121" i="66"/>
  <c r="P208" i="66"/>
  <c r="P238" i="66"/>
  <c r="P91" i="66"/>
  <c r="P59" i="66"/>
  <c r="P27" i="66"/>
  <c r="R263" i="66"/>
  <c r="H21" i="63" s="1"/>
  <c r="P108" i="66"/>
  <c r="P18" i="66"/>
  <c r="P81" i="66"/>
  <c r="P236" i="66"/>
  <c r="P254" i="66"/>
  <c r="P118" i="66"/>
  <c r="P150" i="66"/>
  <c r="P15" i="66"/>
  <c r="P26" i="66"/>
  <c r="P89" i="66"/>
  <c r="P17" i="66"/>
  <c r="P176" i="66"/>
  <c r="P172" i="66"/>
  <c r="P134" i="66"/>
  <c r="P168" i="66"/>
  <c r="P174" i="66"/>
  <c r="P145" i="66"/>
  <c r="P214" i="66"/>
  <c r="P64" i="66"/>
  <c r="P72" i="66"/>
  <c r="P212" i="66"/>
  <c r="P88" i="66"/>
  <c r="P83" i="66"/>
  <c r="P51" i="66"/>
  <c r="P19" i="66"/>
  <c r="P49" i="66"/>
  <c r="P177" i="66"/>
  <c r="P257" i="66"/>
  <c r="P233" i="66"/>
  <c r="P230" i="66"/>
  <c r="P222" i="66"/>
  <c r="P158" i="66"/>
  <c r="P244" i="66"/>
  <c r="P259" i="66"/>
  <c r="P153" i="66"/>
  <c r="P190" i="66"/>
  <c r="P204" i="66"/>
  <c r="P75" i="66"/>
  <c r="P43" i="66"/>
  <c r="P58" i="66"/>
  <c r="P57" i="66"/>
  <c r="P82" i="66"/>
  <c r="P197" i="65"/>
  <c r="P96" i="65"/>
  <c r="P55" i="65"/>
  <c r="P147" i="65"/>
  <c r="P238" i="65"/>
  <c r="P243" i="65"/>
  <c r="P211" i="65"/>
  <c r="P192" i="65"/>
  <c r="P128" i="65"/>
  <c r="P123" i="65"/>
  <c r="P206" i="65"/>
  <c r="P227" i="65"/>
  <c r="P135" i="65"/>
  <c r="P85" i="65"/>
  <c r="P93" i="65"/>
  <c r="P69" i="65"/>
  <c r="P136" i="65"/>
  <c r="P158" i="65"/>
  <c r="P179" i="65"/>
  <c r="P187" i="65"/>
  <c r="P224" i="65"/>
  <c r="P160" i="65"/>
  <c r="P45" i="65"/>
  <c r="P190" i="65"/>
  <c r="P118" i="65"/>
  <c r="P163" i="65"/>
  <c r="P90" i="65"/>
  <c r="P213" i="65"/>
  <c r="P171" i="65"/>
  <c r="P251" i="65"/>
  <c r="P219" i="65"/>
  <c r="P115" i="65"/>
  <c r="P42" i="65"/>
  <c r="P259" i="65"/>
  <c r="P74" i="65"/>
  <c r="P37" i="65"/>
  <c r="P50" i="65"/>
  <c r="P248" i="65"/>
  <c r="P71" i="65"/>
  <c r="P15" i="65"/>
  <c r="P87" i="64"/>
  <c r="P71" i="64"/>
  <c r="P112" i="64"/>
  <c r="R263" i="64"/>
  <c r="P43" i="64"/>
  <c r="P25" i="64"/>
  <c r="P31" i="64"/>
  <c r="P143" i="64"/>
  <c r="P33" i="64"/>
  <c r="P234" i="64"/>
  <c r="P45" i="64"/>
  <c r="P230" i="64"/>
  <c r="P42" i="64"/>
  <c r="P14" i="64"/>
  <c r="P170" i="64"/>
  <c r="P166" i="64"/>
  <c r="P37" i="64"/>
  <c r="P39" i="64"/>
  <c r="P243" i="64"/>
  <c r="P17" i="64"/>
  <c r="P211" i="64"/>
  <c r="P134" i="64"/>
  <c r="P26" i="64"/>
  <c r="P46" i="64"/>
  <c r="P70" i="64"/>
  <c r="P140" i="64"/>
  <c r="P239" i="64"/>
  <c r="P75" i="64"/>
  <c r="P207" i="64"/>
  <c r="P115" i="64"/>
  <c r="P51" i="64"/>
  <c r="P67" i="64"/>
  <c r="P91" i="64"/>
  <c r="P175" i="64"/>
  <c r="P123" i="64"/>
  <c r="P63" i="64"/>
  <c r="P55" i="64"/>
  <c r="P19" i="64"/>
  <c r="P27" i="64"/>
  <c r="F21" i="63" l="1"/>
  <c r="P263" i="64"/>
  <c r="Q263" i="64" s="1"/>
  <c r="F18" i="63" s="1"/>
  <c r="P263" i="65"/>
  <c r="Q263" i="65" s="1"/>
  <c r="P263" i="66"/>
  <c r="Q263" i="66" s="1"/>
  <c r="P263" i="68"/>
  <c r="Q263" i="68" s="1"/>
  <c r="J18" i="63" s="1"/>
  <c r="J20" i="63" s="1" a="1"/>
  <c r="J20" i="63" s="1"/>
  <c r="P263" i="69"/>
  <c r="Q263" i="69" s="1"/>
  <c r="K18" i="63" s="1"/>
  <c r="K20" i="63" s="1" a="1"/>
  <c r="K20" i="63" s="1"/>
  <c r="P263" i="67"/>
  <c r="Q263" i="67" s="1"/>
  <c r="F20" i="63" l="1" a="1"/>
  <c r="F20" i="63" s="1"/>
  <c r="F19" i="63"/>
  <c r="K19" i="63"/>
  <c r="J19" i="63"/>
  <c r="F20" i="38"/>
  <c r="F25" i="63" l="1"/>
  <c r="F28" i="63"/>
  <c r="I31" i="40"/>
  <c r="I27" i="40"/>
  <c r="F26" i="63" l="1"/>
  <c r="I22" i="40"/>
  <c r="F27" i="63" l="1"/>
  <c r="I33" i="38"/>
  <c r="I20" i="38"/>
  <c r="F33" i="38"/>
  <c r="I41" i="17"/>
  <c r="I45" i="17" s="1"/>
  <c r="F29" i="63" l="1"/>
  <c r="F45" i="54" l="1"/>
  <c r="F20" i="54" l="1"/>
  <c r="F59" i="54" l="1"/>
  <c r="F57" i="54" l="1"/>
  <c r="F15" i="5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<sst xmlns="http://schemas.openxmlformats.org/spreadsheetml/2006/main" count="5359" uniqueCount="1469">
  <si>
    <t>SCOTTISH WATER</t>
  </si>
  <si>
    <t>SECTION B : OUTPUTS TO CUSTOMERS</t>
  </si>
  <si>
    <t>Table B1: Restrictions on water use</t>
  </si>
  <si>
    <t>Line</t>
  </si>
  <si>
    <t>Description</t>
  </si>
  <si>
    <t>Units</t>
  </si>
  <si>
    <t>Field</t>
  </si>
  <si>
    <t>Report year</t>
  </si>
  <si>
    <t>Report year +1 (forecast)</t>
  </si>
  <si>
    <t>ref.</t>
  </si>
  <si>
    <t>type</t>
  </si>
  <si>
    <t>CG</t>
  </si>
  <si>
    <t>Restrictions on water use</t>
  </si>
  <si>
    <t>B1.1</t>
  </si>
  <si>
    <t>Total of zonal populations</t>
  </si>
  <si>
    <t>000</t>
  </si>
  <si>
    <t>I</t>
  </si>
  <si>
    <t>B2</t>
  </si>
  <si>
    <t>B3</t>
  </si>
  <si>
    <t>B1.2</t>
  </si>
  <si>
    <t>Population affected by ordinary water shortage orders</t>
  </si>
  <si>
    <t>nr</t>
  </si>
  <si>
    <t>AX</t>
  </si>
  <si>
    <t>-</t>
  </si>
  <si>
    <t>B1.3</t>
  </si>
  <si>
    <t>% Population affected by ordinary water shortage orders</t>
  </si>
  <si>
    <t>%</t>
  </si>
  <si>
    <t>C</t>
  </si>
  <si>
    <t>B1.4</t>
  </si>
  <si>
    <t>Population affected by emergency water shortage orders</t>
  </si>
  <si>
    <t>B1.5</t>
  </si>
  <si>
    <t>% Population affected by emergency water shortage orders</t>
  </si>
  <si>
    <t>B1.6</t>
  </si>
  <si>
    <t>Monitored reservoir sources breaching the drought impacts (red) trigger</t>
  </si>
  <si>
    <t>A1</t>
  </si>
  <si>
    <t>B1.7</t>
  </si>
  <si>
    <t>Total number of supply systems monitored against drought trigger levels</t>
  </si>
  <si>
    <t>B1.8</t>
  </si>
  <si>
    <t>Total number of supply systems not monitored against drought trigger levels</t>
  </si>
  <si>
    <t xml:space="preserve">Prepared by: </t>
  </si>
  <si>
    <t>Date:</t>
  </si>
  <si>
    <t>Checked by:  ……………………………………………...…..</t>
  </si>
  <si>
    <t xml:space="preserve">Authorised by:  </t>
  </si>
  <si>
    <t>Date:  14/06/2024</t>
  </si>
  <si>
    <t>Table B2: Pressure and interruptions</t>
  </si>
  <si>
    <t>AR22</t>
  </si>
  <si>
    <t>Properties receiving pressure/flow below reference level</t>
  </si>
  <si>
    <t xml:space="preserve">B2.1 </t>
  </si>
  <si>
    <t xml:space="preserve">Total connected properties </t>
  </si>
  <si>
    <t>B2.1</t>
  </si>
  <si>
    <t>BF A1.10</t>
  </si>
  <si>
    <t xml:space="preserve">B2.2 </t>
  </si>
  <si>
    <t>Properties below reference level at start of year</t>
  </si>
  <si>
    <t>B2.2</t>
  </si>
  <si>
    <t>C2</t>
  </si>
  <si>
    <t>B2.2a</t>
  </si>
  <si>
    <t>Properties added due to better information</t>
  </si>
  <si>
    <t>B2.2b</t>
  </si>
  <si>
    <t>Properties added due to asset deterioration</t>
  </si>
  <si>
    <t>B2.2c</t>
  </si>
  <si>
    <t>Properties added due to operational changes</t>
  </si>
  <si>
    <t>B2.2d</t>
  </si>
  <si>
    <t>Properties removed due to better information</t>
  </si>
  <si>
    <t>B2.2e</t>
  </si>
  <si>
    <t>Properties removed due to asset improvements</t>
  </si>
  <si>
    <t>B2.2f</t>
  </si>
  <si>
    <t>Properties removed due to operational improvements</t>
  </si>
  <si>
    <t xml:space="preserve">B2.3 </t>
  </si>
  <si>
    <t>Properties below reference level at end of year</t>
  </si>
  <si>
    <t>B2.3</t>
  </si>
  <si>
    <t>B2.3a</t>
  </si>
  <si>
    <t>Number of properties on the low pressure register</t>
  </si>
  <si>
    <t>B2.3b</t>
  </si>
  <si>
    <t>Number of properties excluded from the low pressure register</t>
  </si>
  <si>
    <t xml:space="preserve">B2.4 </t>
  </si>
  <si>
    <t>Properties receiving low pressure but excluded from line B2.3</t>
  </si>
  <si>
    <t>B2.4</t>
  </si>
  <si>
    <t>D4</t>
  </si>
  <si>
    <t>Properties affected by planned interruptions</t>
  </si>
  <si>
    <t>B2.5</t>
  </si>
  <si>
    <t>Less than 3 hours planned and warned</t>
  </si>
  <si>
    <t>A2</t>
  </si>
  <si>
    <t>B2.6</t>
  </si>
  <si>
    <t>More than 3 hours planned and warned</t>
  </si>
  <si>
    <t>B2.7</t>
  </si>
  <si>
    <t>More than 6 hours planned and warned</t>
  </si>
  <si>
    <t>B2.8</t>
  </si>
  <si>
    <t>More than 12 hours planned and warned</t>
  </si>
  <si>
    <t>B2.9</t>
  </si>
  <si>
    <t>More than 24 hours planned and warned</t>
  </si>
  <si>
    <t>Properties affected by unplanned interruptions</t>
  </si>
  <si>
    <t>B2.10</t>
  </si>
  <si>
    <t>Less than 3 hours unplanned</t>
  </si>
  <si>
    <t>B2.11</t>
  </si>
  <si>
    <t>More than 3 hours unplanned</t>
  </si>
  <si>
    <t>B2.12</t>
  </si>
  <si>
    <t>More than 6 hours unplanned</t>
  </si>
  <si>
    <t>B2.13</t>
  </si>
  <si>
    <t xml:space="preserve">More than 12 hours unplanned </t>
  </si>
  <si>
    <t>B2.14</t>
  </si>
  <si>
    <t>More than 24 hours unplanned</t>
  </si>
  <si>
    <t>Interruptions caused by third parties</t>
  </si>
  <si>
    <t>B2.15</t>
  </si>
  <si>
    <t>Less than 3 hours caused by third parties</t>
  </si>
  <si>
    <t>B2.16</t>
  </si>
  <si>
    <t>More than 3 hours caused by third parties</t>
  </si>
  <si>
    <t>B2.17</t>
  </si>
  <si>
    <t>More than 6 hours caused by third parties</t>
  </si>
  <si>
    <t>B2.18</t>
  </si>
  <si>
    <t>More than 12 hours caused by third parties</t>
  </si>
  <si>
    <t>B2.19</t>
  </si>
  <si>
    <t>More than 24 hours caused by third parties</t>
  </si>
  <si>
    <t>Unplanned interruptions (overrun of planned interruptions)</t>
  </si>
  <si>
    <t>B2.20</t>
  </si>
  <si>
    <t>Less than 3 hours unplanned (overruns of planned interruptions)</t>
  </si>
  <si>
    <t>B2.21</t>
  </si>
  <si>
    <t>More than 3 hours unplanned (overruns of planned interruptions)</t>
  </si>
  <si>
    <t>B2.22</t>
  </si>
  <si>
    <t>More than 6 hours unplanned (overruns of planned interruptions)</t>
  </si>
  <si>
    <t>B2.23</t>
  </si>
  <si>
    <t>More than 12 hours unplanned (overruns of planned interruptions)</t>
  </si>
  <si>
    <t>B2.24</t>
  </si>
  <si>
    <t>More than 24 hours unplanned (overruns of planned interruptions)</t>
  </si>
  <si>
    <t>Interruptions over 3h</t>
  </si>
  <si>
    <t>B2.25</t>
  </si>
  <si>
    <t>Average supply interruption greater than three hours (minutes per property)</t>
  </si>
  <si>
    <t>min</t>
  </si>
  <si>
    <t>Total weighted properties for OPA</t>
  </si>
  <si>
    <t>B2.26</t>
  </si>
  <si>
    <t>Total number of properties restored &gt; 6 hours</t>
  </si>
  <si>
    <t>B2.27</t>
  </si>
  <si>
    <t>Total number of properties restored &gt; 12 hours</t>
  </si>
  <si>
    <t>B2.28</t>
  </si>
  <si>
    <t>Total number of properties restored &gt; 24 hours</t>
  </si>
  <si>
    <t>B2.29</t>
  </si>
  <si>
    <t>Total weighted properties for OPA (&gt;6 hours)</t>
  </si>
  <si>
    <t>Total minutes lost per property</t>
  </si>
  <si>
    <t>B2.30</t>
  </si>
  <si>
    <t>Total minutes lost per connected property (all incidents)</t>
  </si>
  <si>
    <t>Total properties impacted by interruptions to supply</t>
  </si>
  <si>
    <t>B2.31</t>
  </si>
  <si>
    <t>Total properties impacted by interruptions to supply (all incidents)</t>
  </si>
  <si>
    <t>Number of incidents that trigger a warning/alert</t>
  </si>
  <si>
    <t>B2.32</t>
  </si>
  <si>
    <t>Number of incidents that trigger a warning / alert (as per criteria)</t>
  </si>
  <si>
    <t>Prepared by:  ……………………………………………...…..</t>
  </si>
  <si>
    <t>Date: 14/06/2024</t>
  </si>
  <si>
    <t xml:space="preserve">Table B3: Sewage - Internal flooding </t>
  </si>
  <si>
    <t>Ref.</t>
  </si>
  <si>
    <t>Type</t>
  </si>
  <si>
    <t>Annual flooding summary</t>
  </si>
  <si>
    <t>B3.1</t>
  </si>
  <si>
    <t>Number of properties connected to sewerage system</t>
  </si>
  <si>
    <t>BF - A1.20</t>
  </si>
  <si>
    <t>Annual flooding - overloaded sewers</t>
  </si>
  <si>
    <t>B3.2</t>
  </si>
  <si>
    <t>Number of properties flooded in the year</t>
  </si>
  <si>
    <t>A3</t>
  </si>
  <si>
    <t>C4</t>
  </si>
  <si>
    <t>B3.3</t>
  </si>
  <si>
    <t>Number of flooding incidents in the year</t>
  </si>
  <si>
    <t>B3.4</t>
  </si>
  <si>
    <t>Number of flooding incidents attributed to severe weather</t>
  </si>
  <si>
    <t>B3.4a</t>
  </si>
  <si>
    <t>Number of properties flooded during the year due to severe weather</t>
  </si>
  <si>
    <t>B3.5</t>
  </si>
  <si>
    <t>Props. where flooding limited to uninhabited cellars only (o/loaded sewers)</t>
  </si>
  <si>
    <t>Annual flooding - other causes</t>
  </si>
  <si>
    <t>B3.6</t>
  </si>
  <si>
    <t>B3.7</t>
  </si>
  <si>
    <t>Number of properties flooded in the year (all sewers)</t>
  </si>
  <si>
    <t>B3.8</t>
  </si>
  <si>
    <t>Properties which have flooded more than once in the last ten years (other causes)</t>
  </si>
  <si>
    <t>B4</t>
  </si>
  <si>
    <t>B3.9</t>
  </si>
  <si>
    <t>Flooding incidents due to equipment failure</t>
  </si>
  <si>
    <t>B3.9a</t>
  </si>
  <si>
    <t>Number of properties flooded during the year due to equipment failure</t>
  </si>
  <si>
    <t>B3.10</t>
  </si>
  <si>
    <t>Flooding incidents due to blockages</t>
  </si>
  <si>
    <t>B3.10a</t>
  </si>
  <si>
    <t>Number of properties flooded during the year due to blockages</t>
  </si>
  <si>
    <t>B3.11</t>
  </si>
  <si>
    <t>Flooding incidents due to sewer collapses</t>
  </si>
  <si>
    <t>B3.11a</t>
  </si>
  <si>
    <t>Number of properties flooded during the year due to sewer collapses</t>
  </si>
  <si>
    <t>B3.12</t>
  </si>
  <si>
    <t>Props. where flooding limited to uninhabited cellars only (other causes)</t>
  </si>
  <si>
    <t>B3.13</t>
  </si>
  <si>
    <t>Properties on the "at risk" register</t>
  </si>
  <si>
    <t>(i) At risk summary</t>
  </si>
  <si>
    <t>B3.14</t>
  </si>
  <si>
    <t>2 in 10 at end of year</t>
  </si>
  <si>
    <t>B3.15</t>
  </si>
  <si>
    <t>1 in 10 at end of year</t>
  </si>
  <si>
    <t>B3.16</t>
  </si>
  <si>
    <t>Total 1 in 10 and 2 in 10 properties at risk at end of year</t>
  </si>
  <si>
    <t>B3.17</t>
  </si>
  <si>
    <t>1 in 20 risk at end of year</t>
  </si>
  <si>
    <t>(ii) Problem status of properties on the register</t>
  </si>
  <si>
    <t>B3.18</t>
  </si>
  <si>
    <t>Solved but temporary or being tested</t>
  </si>
  <si>
    <t>B3.19</t>
  </si>
  <si>
    <t>Number of properties on the at risk register still to be resolved</t>
  </si>
  <si>
    <t>(iii) Annual changes to register</t>
  </si>
  <si>
    <t>B3.20</t>
  </si>
  <si>
    <t>Removed by Scottish Water action</t>
  </si>
  <si>
    <t>B3.21</t>
  </si>
  <si>
    <t>Removed because of better information</t>
  </si>
  <si>
    <t>B3.22</t>
  </si>
  <si>
    <t>Added because of better information</t>
  </si>
  <si>
    <t>Risk of sewer flooding in a storm</t>
  </si>
  <si>
    <t>B3.23</t>
  </si>
  <si>
    <t>Percentage of population at risk of sewer flooding in a 1-in-50 year storm, based on modelled predictions</t>
  </si>
  <si>
    <t xml:space="preserve">Table B3a: Sewage - external flooding </t>
  </si>
  <si>
    <t>(I) Overloaded sewers</t>
  </si>
  <si>
    <t>B3a.1</t>
  </si>
  <si>
    <t>Areas flooded externally in the year (overloaded sewers)</t>
  </si>
  <si>
    <t>A4</t>
  </si>
  <si>
    <t>B3a.2</t>
  </si>
  <si>
    <t>Curtilage flooding incidents in the year (overloaded sewers)</t>
  </si>
  <si>
    <t>B3a.3</t>
  </si>
  <si>
    <t>Highway flooding incidents (overloaded sewers)</t>
  </si>
  <si>
    <t>B3a.4</t>
  </si>
  <si>
    <t>Other flooding incidents (overloaded sewers)</t>
  </si>
  <si>
    <t>B3a.5</t>
  </si>
  <si>
    <t>Total flooding incidents (overloaded sewers)</t>
  </si>
  <si>
    <t>B3a.6</t>
  </si>
  <si>
    <t>External flooding incidents (overloaded sewers attributed to severe weather)</t>
  </si>
  <si>
    <t>N</t>
  </si>
  <si>
    <t>(ii) Other causes</t>
  </si>
  <si>
    <t>B3a.7</t>
  </si>
  <si>
    <t>Areas flooded externally in the year (other causes)</t>
  </si>
  <si>
    <t>B3a.8</t>
  </si>
  <si>
    <t>Flooding incidents (other causes - equipment failure)</t>
  </si>
  <si>
    <t>B3a.9</t>
  </si>
  <si>
    <t>Flooding incidents (other causes - blockages)</t>
  </si>
  <si>
    <t>B3a.10</t>
  </si>
  <si>
    <t>Flooding incidents (other causes - collapses)</t>
  </si>
  <si>
    <t>Areas on the 1:10, 2:10, 1:20 "at risk" register</t>
  </si>
  <si>
    <t>(I) At risk summary</t>
  </si>
  <si>
    <t>B3a.11</t>
  </si>
  <si>
    <t>2 in 10 risk at end of year</t>
  </si>
  <si>
    <t>B3a.12</t>
  </si>
  <si>
    <t>1 in 10 risk at end of year</t>
  </si>
  <si>
    <t>B3a.13</t>
  </si>
  <si>
    <t>B3a.14</t>
  </si>
  <si>
    <t>Total at risk on the 1:10, 2:10, 1:20 register at end of year</t>
  </si>
  <si>
    <t>(ii) Problem status of external areas on the 1:10, 2:10, 1:20 register</t>
  </si>
  <si>
    <t>B3a.15</t>
  </si>
  <si>
    <t>Problems solved by temporary measures or subject to testing</t>
  </si>
  <si>
    <t>B3a.16</t>
  </si>
  <si>
    <t>Problems awaiting solution</t>
  </si>
  <si>
    <t>(iii) Annual changes to 1:10, 2:10, 1:20 register</t>
  </si>
  <si>
    <t>B3a.17</t>
  </si>
  <si>
    <t>B3a.18</t>
  </si>
  <si>
    <t>B3a.19</t>
  </si>
  <si>
    <t>B3a.20</t>
  </si>
  <si>
    <t>Added because of increased demand</t>
  </si>
  <si>
    <t>B3a.21</t>
  </si>
  <si>
    <t>Moved from external to internal register</t>
  </si>
  <si>
    <t>Table B4: Customer service</t>
  </si>
  <si>
    <t>New written complaints</t>
  </si>
  <si>
    <t>B4.1</t>
  </si>
  <si>
    <t>Formal complaints (number of written complaints received)</t>
  </si>
  <si>
    <t>D5</t>
  </si>
  <si>
    <t>B4.2</t>
  </si>
  <si>
    <t>Regulator upheld complaints</t>
  </si>
  <si>
    <t>B4.3</t>
  </si>
  <si>
    <t>No. dealt with within 5 working days</t>
  </si>
  <si>
    <t>Telephone contacts</t>
  </si>
  <si>
    <t>B4.4</t>
  </si>
  <si>
    <t>Total calls received on customer contact lines</t>
  </si>
  <si>
    <t>B4.5</t>
  </si>
  <si>
    <t>Total calls answered on customer contact lines</t>
  </si>
  <si>
    <t>B4.6</t>
  </si>
  <si>
    <t>Total calls answered within 30 seconds on customer contact lines</t>
  </si>
  <si>
    <t>B4.7</t>
  </si>
  <si>
    <t>Total calls answered in more than 30 seconds on customer contact lines</t>
  </si>
  <si>
    <t>B4.8</t>
  </si>
  <si>
    <t>Average time taken to answer a call on customer contact lines</t>
  </si>
  <si>
    <t>secs</t>
  </si>
  <si>
    <t>B4.9</t>
  </si>
  <si>
    <t>All lines busy</t>
  </si>
  <si>
    <t>B4.10</t>
  </si>
  <si>
    <t>Total of abandoned calls on customer contact lines</t>
  </si>
  <si>
    <t>B4.11</t>
  </si>
  <si>
    <t>Total telephone complaints</t>
  </si>
  <si>
    <t>Date:  08/10/2024</t>
  </si>
  <si>
    <t>Table B5: Household customer service</t>
  </si>
  <si>
    <t>Household CEM</t>
  </si>
  <si>
    <t>B5.1</t>
  </si>
  <si>
    <t>hCEM overall score</t>
  </si>
  <si>
    <t>BF B5.32</t>
  </si>
  <si>
    <t>B5.2</t>
  </si>
  <si>
    <t>Customer experience survey</t>
  </si>
  <si>
    <t>B5.3</t>
  </si>
  <si>
    <t>No experience no contact</t>
  </si>
  <si>
    <t>B5.4</t>
  </si>
  <si>
    <t>Experience no contact</t>
  </si>
  <si>
    <t>B5.5</t>
  </si>
  <si>
    <t>Escalations</t>
  </si>
  <si>
    <t>B5.6</t>
  </si>
  <si>
    <t>Service issue contacts</t>
  </si>
  <si>
    <t>BF B5.24</t>
  </si>
  <si>
    <t>B5.7</t>
  </si>
  <si>
    <t>Formal complaints</t>
  </si>
  <si>
    <t>B5.8</t>
  </si>
  <si>
    <t>Regulatory upheld complaints</t>
  </si>
  <si>
    <t>Customer satisfaction survey</t>
  </si>
  <si>
    <t>B5.9</t>
  </si>
  <si>
    <t>Rating of satisfaction with the overall manner in which the call was handled. Year average</t>
  </si>
  <si>
    <t>Assessed customer service</t>
  </si>
  <si>
    <t>B5.10</t>
  </si>
  <si>
    <t>Revenue and debt collection</t>
  </si>
  <si>
    <t>B5.11</t>
  </si>
  <si>
    <t>Information to customers</t>
  </si>
  <si>
    <t>B5.12</t>
  </si>
  <si>
    <t>Telephone contact hours</t>
  </si>
  <si>
    <t>B5.13</t>
  </si>
  <si>
    <t>Compensation policy</t>
  </si>
  <si>
    <t>B5.14</t>
  </si>
  <si>
    <t>Supply pipe repair policy</t>
  </si>
  <si>
    <t>B5.15</t>
  </si>
  <si>
    <t>Service for disabled and elderly customers</t>
  </si>
  <si>
    <t>B5.16</t>
  </si>
  <si>
    <t>Complaints handling</t>
  </si>
  <si>
    <t>Service issue contacts - household customers</t>
  </si>
  <si>
    <t>B5.17</t>
  </si>
  <si>
    <t>Phone contacts</t>
  </si>
  <si>
    <t>B5.18</t>
  </si>
  <si>
    <t>E-mail contacts</t>
  </si>
  <si>
    <t>B5.19</t>
  </si>
  <si>
    <t>Social media contacts</t>
  </si>
  <si>
    <t>B5.19a</t>
  </si>
  <si>
    <t>Facebook contacts</t>
  </si>
  <si>
    <t>B5.20</t>
  </si>
  <si>
    <t>Portal</t>
  </si>
  <si>
    <t>B5.21</t>
  </si>
  <si>
    <t>Total contacts</t>
  </si>
  <si>
    <t>B5.22</t>
  </si>
  <si>
    <t xml:space="preserve">Wanted contact </t>
  </si>
  <si>
    <t>B5.23</t>
  </si>
  <si>
    <t>Non household contacts</t>
  </si>
  <si>
    <t>B5.24</t>
  </si>
  <si>
    <t>Total service issue contacts (total 'unwanted' HH contacts)</t>
  </si>
  <si>
    <t>Household customer experience</t>
  </si>
  <si>
    <t>B5.25</t>
  </si>
  <si>
    <t>Customer experience survey - total</t>
  </si>
  <si>
    <t>B5.26</t>
  </si>
  <si>
    <t>Customer experience survey - satisfied</t>
  </si>
  <si>
    <t>B5.27</t>
  </si>
  <si>
    <t>No experience, no contact survey - total</t>
  </si>
  <si>
    <t>B5.28</t>
  </si>
  <si>
    <t>No experience, no contact survey - satisfied</t>
  </si>
  <si>
    <t>B5.29</t>
  </si>
  <si>
    <t>Experience, no contact survey - total</t>
  </si>
  <si>
    <t>B5.30</t>
  </si>
  <si>
    <t>Experience, no contact survey - satisfied</t>
  </si>
  <si>
    <t>Household customer experience measure</t>
  </si>
  <si>
    <t>B5.31</t>
  </si>
  <si>
    <t xml:space="preserve">Household customer experience target </t>
  </si>
  <si>
    <t>85.0-87.78</t>
  </si>
  <si>
    <t>B5.32</t>
  </si>
  <si>
    <t xml:space="preserve">Household customer experience - total score </t>
  </si>
  <si>
    <t>B5.33</t>
  </si>
  <si>
    <t>Total connected properties at year end</t>
  </si>
  <si>
    <t>B5.34</t>
  </si>
  <si>
    <t>hCEM quantitative score</t>
  </si>
  <si>
    <t>B5.35</t>
  </si>
  <si>
    <t>Service issue contacts (points lost)</t>
  </si>
  <si>
    <t>B5.36</t>
  </si>
  <si>
    <t>Escalations (points lost)</t>
  </si>
  <si>
    <t>B5.37</t>
  </si>
  <si>
    <t>Written complaints (points lost)</t>
  </si>
  <si>
    <t>B5.38</t>
  </si>
  <si>
    <t>Regulator upheld complaints contact score</t>
  </si>
  <si>
    <t>B5.39</t>
  </si>
  <si>
    <t>hCEM qualitative score</t>
  </si>
  <si>
    <t>B5.40</t>
  </si>
  <si>
    <t>Customer experience survey (points lost)</t>
  </si>
  <si>
    <t>B5.41</t>
  </si>
  <si>
    <t>No experience, no contact (points lost)</t>
  </si>
  <si>
    <t>B5.42</t>
  </si>
  <si>
    <t>Experience, no contact (points lost)</t>
  </si>
  <si>
    <t>Table B6: Non household customer service</t>
  </si>
  <si>
    <t>Report year -1</t>
  </si>
  <si>
    <t>Non household CEM</t>
  </si>
  <si>
    <t>B6.1</t>
  </si>
  <si>
    <t>nhCEM overall score</t>
  </si>
  <si>
    <t>BF B6.40</t>
  </si>
  <si>
    <t>B6.2</t>
  </si>
  <si>
    <t>LP Experience Survey</t>
  </si>
  <si>
    <t>B6.3</t>
  </si>
  <si>
    <t>Business end user</t>
  </si>
  <si>
    <t>B6.4</t>
  </si>
  <si>
    <t>Service issue contacts (WSD &amp; CEC)</t>
  </si>
  <si>
    <t>BF B6.17</t>
  </si>
  <si>
    <t>B6.5</t>
  </si>
  <si>
    <t>BF B6.19</t>
  </si>
  <si>
    <t>B6.6</t>
  </si>
  <si>
    <t>BF B6.18</t>
  </si>
  <si>
    <t>B6.7</t>
  </si>
  <si>
    <t>Regulatory complaints</t>
  </si>
  <si>
    <t>BF B6.20</t>
  </si>
  <si>
    <t>Service Issue Contacts - non-household customers</t>
  </si>
  <si>
    <t>B6.8</t>
  </si>
  <si>
    <t>Contacts from licensed providers via wholesale desk and portal - all calls</t>
  </si>
  <si>
    <t>B6.9</t>
  </si>
  <si>
    <t>Contacts from licensed providers via wholesale desk and portal - total emails</t>
  </si>
  <si>
    <t>B6.10</t>
  </si>
  <si>
    <t>Contacts from licensed providers via wholesale desk and portal - total Portal</t>
  </si>
  <si>
    <t>B6.11</t>
  </si>
  <si>
    <t>Contacts from licensed providers via wholesale desk and portal - Bulk Uploads</t>
  </si>
  <si>
    <t>B6.12</t>
  </si>
  <si>
    <t>Contacts from licensed providers via wholesale desk and portal - total wanted</t>
  </si>
  <si>
    <t>B6.13</t>
  </si>
  <si>
    <t>Contacts from licensed providers via wholesale desk and portal - contacts adjusted for permitted exclusions</t>
  </si>
  <si>
    <t>B6.14</t>
  </si>
  <si>
    <t>Calls received through customer engagement centre from non household customers - all contacts</t>
  </si>
  <si>
    <t>B6.15</t>
  </si>
  <si>
    <t>Calls received through customer engagement centre from non household customers - wanted contacts</t>
  </si>
  <si>
    <t>B6.16</t>
  </si>
  <si>
    <t>Calls received through customer engagement centre from non household customers - contacts adjusted for permitted exclusions</t>
  </si>
  <si>
    <t>B6.17</t>
  </si>
  <si>
    <t>Non-household service issue contacts - total unwanted contacts</t>
  </si>
  <si>
    <t>Non-household customer experience</t>
  </si>
  <si>
    <t>B6.18</t>
  </si>
  <si>
    <t>B6.19</t>
  </si>
  <si>
    <t>Formal complaints (form G)</t>
  </si>
  <si>
    <t>B6.20</t>
  </si>
  <si>
    <t>B6.21</t>
  </si>
  <si>
    <t xml:space="preserve">LP experience survey - total </t>
  </si>
  <si>
    <t>B6.22</t>
  </si>
  <si>
    <t xml:space="preserve">LP experience survey - satisfied </t>
  </si>
  <si>
    <t>B6.23</t>
  </si>
  <si>
    <t>Ease of service indicator line 1</t>
  </si>
  <si>
    <t>B6.24</t>
  </si>
  <si>
    <t>Ease of service indicator line 2</t>
  </si>
  <si>
    <t>B6.25</t>
  </si>
  <si>
    <t>Business end-user experience survey - total</t>
  </si>
  <si>
    <t>B6.26</t>
  </si>
  <si>
    <t>Business end-user experience survey - satisfied</t>
  </si>
  <si>
    <t>Developer CEM</t>
  </si>
  <si>
    <t>B6.27</t>
  </si>
  <si>
    <t>Contacts from developers about water and wastewater connections - total</t>
  </si>
  <si>
    <t>B6.28</t>
  </si>
  <si>
    <t>Contacts from developers about water and wastewater connections - excluded contacts (wanted contacts)</t>
  </si>
  <si>
    <t>B6.29</t>
  </si>
  <si>
    <t>Contacts from developers about water and wastewater connections - contacts adjusted for permitted exclusions</t>
  </si>
  <si>
    <t>B6.30</t>
  </si>
  <si>
    <t>Development services escalations</t>
  </si>
  <si>
    <t>B6.31</t>
  </si>
  <si>
    <t>Development services formal complaints</t>
  </si>
  <si>
    <t>B6.32</t>
  </si>
  <si>
    <t>Development services regulator upheld complaints</t>
  </si>
  <si>
    <t>B6.33</t>
  </si>
  <si>
    <t>Single house connection experience survey - total</t>
  </si>
  <si>
    <t>B6.34</t>
  </si>
  <si>
    <t>Single house connection experience survey - satisfied</t>
  </si>
  <si>
    <t>B6.35</t>
  </si>
  <si>
    <t>(developer) Ease of service indicator line 1</t>
  </si>
  <si>
    <t>B6.36</t>
  </si>
  <si>
    <t>(developer) Ease of service indicator line 2</t>
  </si>
  <si>
    <t>B6.37</t>
  </si>
  <si>
    <t>Developer/connections experience survey - total</t>
  </si>
  <si>
    <t>B6.38</t>
  </si>
  <si>
    <t>Developer/connections experience survey - satisfied</t>
  </si>
  <si>
    <t>Non-household customer experience measure score</t>
  </si>
  <si>
    <t>B6.39</t>
  </si>
  <si>
    <t xml:space="preserve">Non-household customer experience target </t>
  </si>
  <si>
    <t xml:space="preserve">85.4 - 88.66 </t>
  </si>
  <si>
    <t>85.4-88.66</t>
  </si>
  <si>
    <t>86.00 - 90.00</t>
  </si>
  <si>
    <t>B6.40</t>
  </si>
  <si>
    <t xml:space="preserve">Non-household customer experience - total score </t>
  </si>
  <si>
    <t>B6.41</t>
  </si>
  <si>
    <t>Connected non-household properties</t>
  </si>
  <si>
    <t>B6.42</t>
  </si>
  <si>
    <t>nhCEM quantitative score</t>
  </si>
  <si>
    <t>B6.43</t>
  </si>
  <si>
    <t>Service issue contacts contact score</t>
  </si>
  <si>
    <t>B6.44</t>
  </si>
  <si>
    <t>Escalations from licensed providers contact score</t>
  </si>
  <si>
    <t>B6.45</t>
  </si>
  <si>
    <t>Formal non-household customer complaints contact score</t>
  </si>
  <si>
    <t>B6.46</t>
  </si>
  <si>
    <t>B6.47</t>
  </si>
  <si>
    <t>LP experience survey 12 month score weighted</t>
  </si>
  <si>
    <t>B6.48</t>
  </si>
  <si>
    <t>Business end-user experience 12 month score weighted</t>
  </si>
  <si>
    <t>B6.49</t>
  </si>
  <si>
    <t>nhCEM qualitative score</t>
  </si>
  <si>
    <t>B6.50</t>
  </si>
  <si>
    <t>LP experience survey score (points lost)</t>
  </si>
  <si>
    <t>B6.51</t>
  </si>
  <si>
    <t>Business end-user experience (points lost)</t>
  </si>
  <si>
    <t>Developer customer experience measure score</t>
  </si>
  <si>
    <t>B6.52</t>
  </si>
  <si>
    <t xml:space="preserve">Developer customer experience target </t>
  </si>
  <si>
    <t>76.5 - 78.7</t>
  </si>
  <si>
    <t>B6.53</t>
  </si>
  <si>
    <t>Developer customer experience - total score</t>
  </si>
  <si>
    <t>B6.54</t>
  </si>
  <si>
    <t>Developer connected properties</t>
  </si>
  <si>
    <t>B6.55</t>
  </si>
  <si>
    <t>Developer CEM quantitative score</t>
  </si>
  <si>
    <t>B6.56</t>
  </si>
  <si>
    <t>Development services service issue contacts (points lost)</t>
  </si>
  <si>
    <t>B6.57</t>
  </si>
  <si>
    <t>Development services escalations (points lost)</t>
  </si>
  <si>
    <t>B6.58</t>
  </si>
  <si>
    <t>Development services formal complaints (points lost)</t>
  </si>
  <si>
    <t>B6.59</t>
  </si>
  <si>
    <t>Development services regulator upheld complaints (points lost)</t>
  </si>
  <si>
    <t>B6.60</t>
  </si>
  <si>
    <t>Developer CEM qualitative score</t>
  </si>
  <si>
    <t>B6.61</t>
  </si>
  <si>
    <t>Single house connection experience survey (points lost)</t>
  </si>
  <si>
    <t>B6.62</t>
  </si>
  <si>
    <t>Ease of service indicator (points lost)</t>
  </si>
  <si>
    <t>B6.63</t>
  </si>
  <si>
    <t>Development experience survey (points lost)</t>
  </si>
  <si>
    <t xml:space="preserve">Authorised by: </t>
  </si>
  <si>
    <t>Table B6A: Customer service: stakeholders and community</t>
  </si>
  <si>
    <t>Stakeholder and communities customer experience measure (CEM)</t>
  </si>
  <si>
    <t>B6A.1</t>
  </si>
  <si>
    <t>sCEM overall score</t>
  </si>
  <si>
    <t>BF B6A.12</t>
  </si>
  <si>
    <t>B6A.2</t>
  </si>
  <si>
    <t>Stakeholder contacts Received</t>
  </si>
  <si>
    <t>B6A.3</t>
  </si>
  <si>
    <t>Stakeholder enquiries not responded to / deadline not met</t>
  </si>
  <si>
    <t>B6A.4</t>
  </si>
  <si>
    <t>Stakeholder escalated / formal complaints</t>
  </si>
  <si>
    <t>B6A.5</t>
  </si>
  <si>
    <t>Scottish Government/ regulator upheld stakeholder complaints</t>
  </si>
  <si>
    <t>B6A.6</t>
  </si>
  <si>
    <t xml:space="preserve">Monthly perception survey - contact </t>
  </si>
  <si>
    <t>B6A.7</t>
  </si>
  <si>
    <t xml:space="preserve">Monthly perception survey - no contact </t>
  </si>
  <si>
    <t>B6A.8</t>
  </si>
  <si>
    <t>Monthly customer perception survey - no experience no contact (hCEM)</t>
  </si>
  <si>
    <t>BF B5.3</t>
  </si>
  <si>
    <t>B6A.9</t>
  </si>
  <si>
    <t>MSP survey (annual perception survey)</t>
  </si>
  <si>
    <t>B6A.10</t>
  </si>
  <si>
    <t>Local government leadership survey (annual perception survey)</t>
  </si>
  <si>
    <t>Stakeholder customer experience measure score</t>
  </si>
  <si>
    <t>B6A.11</t>
  </si>
  <si>
    <t xml:space="preserve">Stakeholder customer experience target </t>
  </si>
  <si>
    <t>76.5-83.5</t>
  </si>
  <si>
    <t>B6A.12</t>
  </si>
  <si>
    <t>Stakeholder customer experience - total score</t>
  </si>
  <si>
    <t>B6A.13</t>
  </si>
  <si>
    <t>Stakeholder CEM quantitative score</t>
  </si>
  <si>
    <t>B6A.14</t>
  </si>
  <si>
    <t>Stakeholder contacts received (points lost)</t>
  </si>
  <si>
    <t>B6A.15</t>
  </si>
  <si>
    <t>Stakeholder contacts not responded to/deadline not met (points lost)</t>
  </si>
  <si>
    <t>B6A.16</t>
  </si>
  <si>
    <t>Stakeholder escalated/formal complaints (points lost)</t>
  </si>
  <si>
    <t>B6A.17</t>
  </si>
  <si>
    <t>Regulator upheld stakeholder complaints (points lost)</t>
  </si>
  <si>
    <t>B6A.18</t>
  </si>
  <si>
    <t>Stakeholder CEM qualitative score</t>
  </si>
  <si>
    <t>B6A.19</t>
  </si>
  <si>
    <t>Monthly perception survey - 'contact' (points lost)</t>
  </si>
  <si>
    <t>B6A.20</t>
  </si>
  <si>
    <t>Monthly perception survey - 'no contact' (points lost)</t>
  </si>
  <si>
    <t>B6A.21</t>
  </si>
  <si>
    <t>Monthly You Gov survey - 'no experience, no contact' household customers (points lost)</t>
  </si>
  <si>
    <t>B6A.22</t>
  </si>
  <si>
    <t>MSP annual perception survey (points lost)</t>
  </si>
  <si>
    <t>B6A.23</t>
  </si>
  <si>
    <t>Local government leadership annual perception survey (points lost)</t>
  </si>
  <si>
    <t>Date: 06/06/2024</t>
  </si>
  <si>
    <t>Table B7: Customer care - Service Standards performance</t>
  </si>
  <si>
    <t xml:space="preserve">Planned Interruptions - warn you 48 hours in advance, supply restored within time given - payment if we fail to warn or your supply is not restored at the time we have given </t>
  </si>
  <si>
    <t>B7.1</t>
  </si>
  <si>
    <t>Number of Service Standards failure payments paid automatically (planned interruptions)</t>
  </si>
  <si>
    <t>B7.2</t>
  </si>
  <si>
    <t>Number of Service Standards failure payments claimed (planned interruptions)</t>
  </si>
  <si>
    <t>B7.3</t>
  </si>
  <si>
    <t>Total number of Service Standards failure payments made (planned interruptions )</t>
  </si>
  <si>
    <t>B7.4</t>
  </si>
  <si>
    <t>Total amount paid out for Service Standards failure (planned interruptions)</t>
  </si>
  <si>
    <t>£</t>
  </si>
  <si>
    <t>Unplanned Interruptions - (burst main and so on) restore within 12 hours (48 hours for a large main supplying a large area)</t>
  </si>
  <si>
    <t>B7.5</t>
  </si>
  <si>
    <t>Number of Service Standards failure payments paid automatically (unplanned interruptions)</t>
  </si>
  <si>
    <t>B7.6</t>
  </si>
  <si>
    <t>Number of Service Standards failure payments claimed (unplanned interruptions)</t>
  </si>
  <si>
    <t>B7.7</t>
  </si>
  <si>
    <t>Number of Service Standards failure payments claimed for two interruptions per year</t>
  </si>
  <si>
    <t>B7.8</t>
  </si>
  <si>
    <t>Number of Service Standards failure payments claimed for three interruptions per year</t>
  </si>
  <si>
    <t>B7.9</t>
  </si>
  <si>
    <t>Number of Service Standards failure payments claimed for four interruptions per year</t>
  </si>
  <si>
    <t>B7.10</t>
  </si>
  <si>
    <t>Number of Service Standards failure payments claimed for five interruptions per year</t>
  </si>
  <si>
    <t>B7.11</t>
  </si>
  <si>
    <t>Total number of Service Standards failure payments made (unplanned interruptions )</t>
  </si>
  <si>
    <t>B7.12</t>
  </si>
  <si>
    <t>Total amount paid out for Service Standards failure (unplanned interruptions)</t>
  </si>
  <si>
    <t>Internal wastewater flooding - caused by wastewater from our sewers</t>
  </si>
  <si>
    <t>B7.13</t>
  </si>
  <si>
    <t>Number of payments to domestic properties for internal flooding from sewers due to being on the register</t>
  </si>
  <si>
    <t>B7.14</t>
  </si>
  <si>
    <t>Number of payments to domestic properties for internal flooding from sewers due to not being on the register</t>
  </si>
  <si>
    <t>B7.15</t>
  </si>
  <si>
    <t>Total amount paid to domestic properties for internal flooding from sewers due to being on the register</t>
  </si>
  <si>
    <t>B7.16</t>
  </si>
  <si>
    <t>Total amount paid to domestic properties for internal flooding from sewers due to not being on the register</t>
  </si>
  <si>
    <t>B7.17</t>
  </si>
  <si>
    <t>Number of payments to non domestic properties for internal flooding from sewers due to being on the register</t>
  </si>
  <si>
    <t>B7.18</t>
  </si>
  <si>
    <t>Number of payments to non domestic properties for internal flooding from sewers due to not being on the register</t>
  </si>
  <si>
    <t>B7.19</t>
  </si>
  <si>
    <t>Total amount paid to non domestic properties for internal flooding from sewers due to being on the register</t>
  </si>
  <si>
    <t>B7.20</t>
  </si>
  <si>
    <t>Total amount paid to non domestic properties for internal flooding from sewers due to not being on the register</t>
  </si>
  <si>
    <t>External wastewater flooding - caused by wastewater from our sewers</t>
  </si>
  <si>
    <t>B7.21</t>
  </si>
  <si>
    <t>Number of payments to domestic properties for external flooding from sewers</t>
  </si>
  <si>
    <t>B7.22</t>
  </si>
  <si>
    <t>Total amount paid to domestic properties for external flooding from sewers</t>
  </si>
  <si>
    <t>B7.23</t>
  </si>
  <si>
    <t>Number of payments to non-domestic properties for external flooding from sewers</t>
  </si>
  <si>
    <t>B7.24</t>
  </si>
  <si>
    <t>Total amount paid to non-domestic properties for external flooding from sewers</t>
  </si>
  <si>
    <t>Respond to questions about your bill and changing your payment methods - respond within 5 working days</t>
  </si>
  <si>
    <t>B7.25</t>
  </si>
  <si>
    <t>Number not dealt with within Service Standards period</t>
  </si>
  <si>
    <t>B7.26</t>
  </si>
  <si>
    <t>Number of payments for failure to respond (automatic)</t>
  </si>
  <si>
    <t>B7.27</t>
  </si>
  <si>
    <t>Number of payments made from claims for failure to respond</t>
  </si>
  <si>
    <t>B7.28</t>
  </si>
  <si>
    <t xml:space="preserve">Total number of payments for failure to respond </t>
  </si>
  <si>
    <t>B7.29</t>
  </si>
  <si>
    <t>Total amount paid for Service Standards failure</t>
  </si>
  <si>
    <t>Written response to a formal complaint - respond within 5 working days</t>
  </si>
  <si>
    <t>B7.30</t>
  </si>
  <si>
    <t>B7.31</t>
  </si>
  <si>
    <t>B7.32</t>
  </si>
  <si>
    <t>B7.33</t>
  </si>
  <si>
    <t>B7.34</t>
  </si>
  <si>
    <t>Appointments - keeping appointments made more than 24 hours in advance</t>
  </si>
  <si>
    <t>B7.35</t>
  </si>
  <si>
    <t>Number of appointments</t>
  </si>
  <si>
    <t>B7.36</t>
  </si>
  <si>
    <t>% of appointments made which are kept</t>
  </si>
  <si>
    <t>B7.37</t>
  </si>
  <si>
    <t>Number of two hour time banded appointments made</t>
  </si>
  <si>
    <t>B7.38</t>
  </si>
  <si>
    <t>% of two hour time banded appointments made which are kept</t>
  </si>
  <si>
    <t>B7.39</t>
  </si>
  <si>
    <t>Number of Service Standards failure payments paid automatically (keeping appointments)</t>
  </si>
  <si>
    <t>B7.40</t>
  </si>
  <si>
    <t>Number of payments made from claims for failure (keeping appointments)</t>
  </si>
  <si>
    <t>B7.41</t>
  </si>
  <si>
    <t>Total number of Service Standards failure payments made (keeping appointments)</t>
  </si>
  <si>
    <t>B7.42</t>
  </si>
  <si>
    <t>Total amount paid out for Service Standards failure (keeping appointments)</t>
  </si>
  <si>
    <t>Water in gas pipes - give you a call within 2 hours of reporting the fault to give details of what happens next</t>
  </si>
  <si>
    <t>B7.43</t>
  </si>
  <si>
    <t>B7.44</t>
  </si>
  <si>
    <t>B7.45</t>
  </si>
  <si>
    <t>B7.46</t>
  </si>
  <si>
    <t>B7.47</t>
  </si>
  <si>
    <t>Water meters - applications. We will let you know the outcome within 10 working days of your application</t>
  </si>
  <si>
    <t>B7.48</t>
  </si>
  <si>
    <t>B7.49</t>
  </si>
  <si>
    <t>B7.50</t>
  </si>
  <si>
    <t>B7.51</t>
  </si>
  <si>
    <t>B7.52</t>
  </si>
  <si>
    <t>Water pressure - we will tell you the outcome of our investigations within 5 working days</t>
  </si>
  <si>
    <t>B7.53</t>
  </si>
  <si>
    <t>Number of payments made within Service Standards period due to being on the register</t>
  </si>
  <si>
    <t>B7.54</t>
  </si>
  <si>
    <t>B7.55</t>
  </si>
  <si>
    <t>B7.56</t>
  </si>
  <si>
    <t>B7.57</t>
  </si>
  <si>
    <t>B7.58</t>
  </si>
  <si>
    <t>Water quality - affecting the water quality where a 'boil water' or do not use notice' is in place for more than 3 months</t>
  </si>
  <si>
    <t>B7.59</t>
  </si>
  <si>
    <t>Number of restrictions (eg boil notices, do not use notices)</t>
  </si>
  <si>
    <t>B7.60</t>
  </si>
  <si>
    <t>Number of restrictions (eg boil notices, do not use notices) in place for more than 3 months</t>
  </si>
  <si>
    <t>B7.61</t>
  </si>
  <si>
    <t>Number of Service Standards failure payments made from claims (water quality)</t>
  </si>
  <si>
    <t>B7.62</t>
  </si>
  <si>
    <t>Total amount paid out for failure (water quality)</t>
  </si>
  <si>
    <t>Connection Services - where evidence confirms that we have caused a delay</t>
  </si>
  <si>
    <t>B7.63</t>
  </si>
  <si>
    <t>Number not dealt within the Service Standards period (≤32mm outside diameter pipe)</t>
  </si>
  <si>
    <t>B7.64</t>
  </si>
  <si>
    <t>Number not dealt within the Service Standards period (&gt;32mm outside diameter pipe)</t>
  </si>
  <si>
    <t>B7.65</t>
  </si>
  <si>
    <t>Number of payments made from claims for failure to respond (≤32mm outside diameter pipe)</t>
  </si>
  <si>
    <t>B7.66</t>
  </si>
  <si>
    <t>Number of payments made from claims for failure to respond (&gt;32mm outside diameter pipe)</t>
  </si>
  <si>
    <t>B7.67</t>
  </si>
  <si>
    <t>Total number of payments made from claims for failure to respond</t>
  </si>
  <si>
    <t>B7.68</t>
  </si>
  <si>
    <t>Ex gratia payments made</t>
  </si>
  <si>
    <t>B7.69</t>
  </si>
  <si>
    <t>Total number of ex-gratia payments made</t>
  </si>
  <si>
    <t>B7.70</t>
  </si>
  <si>
    <t>Total amount paid out in ex-gratia payments</t>
  </si>
  <si>
    <t>Major incidents</t>
  </si>
  <si>
    <t>A) Failure to provide information</t>
  </si>
  <si>
    <t>B7.71</t>
  </si>
  <si>
    <t>Number not dealt with within Service Standard period</t>
  </si>
  <si>
    <t>B7.72</t>
  </si>
  <si>
    <t>B7.73</t>
  </si>
  <si>
    <t>B7.74</t>
  </si>
  <si>
    <t>B7.75</t>
  </si>
  <si>
    <t>Total amount paid for Service Standard failure</t>
  </si>
  <si>
    <t>B) Failure to provide alternative supplies</t>
  </si>
  <si>
    <t>B7.76</t>
  </si>
  <si>
    <t>B7.77</t>
  </si>
  <si>
    <t>B7.78</t>
  </si>
  <si>
    <t>B7.79</t>
  </si>
  <si>
    <t>B7.80</t>
  </si>
  <si>
    <t>Table B8: Water infrastructure and sewerage service</t>
  </si>
  <si>
    <t>Water service - distribution</t>
  </si>
  <si>
    <t>B8.1</t>
  </si>
  <si>
    <t>Mains bursts per 1000 km</t>
  </si>
  <si>
    <t>Sewerage service</t>
  </si>
  <si>
    <t>B8.2</t>
  </si>
  <si>
    <t>Total number of sewer collapses</t>
  </si>
  <si>
    <t>B8.3</t>
  </si>
  <si>
    <t>Sewer collapses per 1000 km</t>
  </si>
  <si>
    <t>B8.4</t>
  </si>
  <si>
    <t>Number of unsatisfactory intermittent discharges</t>
  </si>
  <si>
    <t>B8.5</t>
  </si>
  <si>
    <t>Number of intermittent discharges</t>
  </si>
  <si>
    <t>B8.6</t>
  </si>
  <si>
    <t>Percentage of unsatisfactory intermittent discharges</t>
  </si>
  <si>
    <t>B8.7</t>
  </si>
  <si>
    <t>Total number of blockages</t>
  </si>
  <si>
    <t>B8.8</t>
  </si>
  <si>
    <t>Blockages per 1000km</t>
  </si>
  <si>
    <t xml:space="preserve">Leakage </t>
  </si>
  <si>
    <t>B8.9</t>
  </si>
  <si>
    <t>Leakage</t>
  </si>
  <si>
    <t>B8.10</t>
  </si>
  <si>
    <t>Total leakage (post-MLE adjustment)</t>
  </si>
  <si>
    <t>Ml/d</t>
  </si>
  <si>
    <t>B8.11</t>
  </si>
  <si>
    <t>Net distribution input treated water (water put into supply)</t>
  </si>
  <si>
    <t>B8.12</t>
  </si>
  <si>
    <t>Leakage target</t>
  </si>
  <si>
    <t>B8.13</t>
  </si>
  <si>
    <t xml:space="preserve">Leakage performance against the target </t>
  </si>
  <si>
    <t>Table B9: SoSI summary</t>
  </si>
  <si>
    <t>B9a
1 in 40 LoS
Dry Year Annual Average</t>
  </si>
  <si>
    <t>B9b
1 in 40 LoS
Critical Period</t>
  </si>
  <si>
    <t>B9c
1 in 100 LoS
Dry Year Annual Average</t>
  </si>
  <si>
    <t>B9d
1 in 100 LoS
Critical Period</t>
  </si>
  <si>
    <t>B9e
1 in 150 LoS
Dry Year Annual Average</t>
  </si>
  <si>
    <t>B9f
1 in 150 LoS
Critical Period</t>
  </si>
  <si>
    <t>Security of Supply Index</t>
  </si>
  <si>
    <t>B9.1</t>
  </si>
  <si>
    <t>Count of WRZ</t>
  </si>
  <si>
    <t>B9.2</t>
  </si>
  <si>
    <t>Count of deficit WRZ</t>
  </si>
  <si>
    <t>B9.3</t>
  </si>
  <si>
    <t>Raw SoSI score</t>
  </si>
  <si>
    <t>B9.4</t>
  </si>
  <si>
    <t>Final SoSI score (rounded down)</t>
  </si>
  <si>
    <t>B9.5</t>
  </si>
  <si>
    <t>SoSI performance band</t>
  </si>
  <si>
    <t>text</t>
  </si>
  <si>
    <t>B9.6</t>
  </si>
  <si>
    <t>Percentage of population in surplus zones</t>
  </si>
  <si>
    <t>Security of Supply Index - OPA</t>
  </si>
  <si>
    <t>B9.7</t>
  </si>
  <si>
    <t>Planned SoSI score</t>
  </si>
  <si>
    <t>B9.8</t>
  </si>
  <si>
    <t>Difference from planned SoSI score</t>
  </si>
  <si>
    <t>B9.9</t>
  </si>
  <si>
    <t>Percentage difference from planned SoSI score</t>
  </si>
  <si>
    <t>B9.10</t>
  </si>
  <si>
    <t>Weighted OPA points for SoSI performance against target</t>
  </si>
  <si>
    <t>B9.11</t>
  </si>
  <si>
    <t>Weighted OPA points for SoSI absolute performance</t>
  </si>
  <si>
    <t>B9.12</t>
  </si>
  <si>
    <t>Sum of weighted OPA points</t>
  </si>
  <si>
    <t>Reference table for SoSI absolute performance:</t>
  </si>
  <si>
    <t>SoSI band</t>
  </si>
  <si>
    <t>SoSI score</t>
  </si>
  <si>
    <t>OPA points</t>
  </si>
  <si>
    <t>Weighted OPA points</t>
  </si>
  <si>
    <t>A</t>
  </si>
  <si>
    <t>No deficit against target headroom</t>
  </si>
  <si>
    <t>B</t>
  </si>
  <si>
    <t>90 - 99</t>
  </si>
  <si>
    <t>Marginal deficit against target headroom</t>
  </si>
  <si>
    <t>50 - 89</t>
  </si>
  <si>
    <t>Significant deficit against target headroom</t>
  </si>
  <si>
    <t>D</t>
  </si>
  <si>
    <t>&lt;50</t>
  </si>
  <si>
    <t>Large deficit against target headroom</t>
  </si>
  <si>
    <t>Reference table for SoSI performance against target:</t>
  </si>
  <si>
    <t>-% of target not met</t>
  </si>
  <si>
    <t>&lt;25%</t>
  </si>
  <si>
    <t>Table B9a: Security of Supply Index - 1 in 40 Level of Service - dry year annual average</t>
  </si>
  <si>
    <t>Water Resource Zone</t>
  </si>
  <si>
    <t>WAFU (SEPA definition)             (Ml/d)</t>
  </si>
  <si>
    <t>Bulk imports            (Ml/d)</t>
  </si>
  <si>
    <t>Bulk exports (Ml/d)</t>
  </si>
  <si>
    <t>Dry year distribution input (Ml/d)</t>
  </si>
  <si>
    <t>Reporting year distribution input (Ml/d)</t>
  </si>
  <si>
    <t>Dry year available headroom      (Ml/d)</t>
  </si>
  <si>
    <t>Target headroom  (Ml/d)</t>
  </si>
  <si>
    <t>Surplus/ deficit  (Ml/d)</t>
  </si>
  <si>
    <t>Percentage deficit (%)</t>
  </si>
  <si>
    <t>Zonal population</t>
  </si>
  <si>
    <t>Percentage of total population with headroom deficit</t>
  </si>
  <si>
    <r>
      <t>Zonal index (%age deficit</t>
    </r>
    <r>
      <rPr>
        <b/>
        <vertAlign val="superscript"/>
        <sz val="10"/>
        <rFont val="CG Omega"/>
        <family val="2"/>
      </rPr>
      <t>2</t>
    </r>
    <r>
      <rPr>
        <b/>
        <sz val="10"/>
        <rFont val="CG Omega"/>
      </rPr>
      <t xml:space="preserve"> x % population affected x 100)</t>
    </r>
  </si>
  <si>
    <t>WRZ000001 - Greenock WRZ</t>
  </si>
  <si>
    <t>WRZ000003 - Amlaird WRZ</t>
  </si>
  <si>
    <t>WRZ000007 - Clatto &amp; Lintrathen &amp; Whitehillocks WRZ</t>
  </si>
  <si>
    <t>WRZ000008 - Perth WRZ</t>
  </si>
  <si>
    <t>WRZ000010 - Killiecrankie &amp; Kenmore WRZ</t>
  </si>
  <si>
    <t>WRZ000011 - Kinloch Rannoch WRZ</t>
  </si>
  <si>
    <t>WRZ000012 - Kirkmichael WRZ</t>
  </si>
  <si>
    <t>WRZ000016 - Castle Moffat &amp; Hopes WRZ</t>
  </si>
  <si>
    <t>WRZ000018 - Invercannie &amp; Mannofield WRZ</t>
  </si>
  <si>
    <t>WRZ000019 - Ballater WRZ</t>
  </si>
  <si>
    <t>WRZ000023 - Herricks WRZ</t>
  </si>
  <si>
    <t>WRZ000024 - Braemar WRZ</t>
  </si>
  <si>
    <t>WRZ000026 - Craighead WRZ</t>
  </si>
  <si>
    <t>WRZ000028 - Crathie WRZ</t>
  </si>
  <si>
    <t>WRZ000030 - Lumsden WRZ</t>
  </si>
  <si>
    <t>WRZ000034 - Tomnavoulin WRZ</t>
  </si>
  <si>
    <t>WRZ000035 - Blairnamarrow WRZ</t>
  </si>
  <si>
    <t>WRZ000036 - Inverness WRZ</t>
  </si>
  <si>
    <t>WRZ000039 - Glenconvinth WRZ</t>
  </si>
  <si>
    <t>WRZ000043 - Tomatin WRZ</t>
  </si>
  <si>
    <t>WRZ000044 - Londornoch WRZ</t>
  </si>
  <si>
    <t>WRZ000045 - Bonar Bridge WRZ</t>
  </si>
  <si>
    <t>WRZ000053 - Invermoriston WRZ</t>
  </si>
  <si>
    <t>WRZ000055 - Aviemore WRZ</t>
  </si>
  <si>
    <t>WRZ000056 - Dalwhinnie WRZ</t>
  </si>
  <si>
    <t>WRZ000057 - Laggan Bridge WRZ</t>
  </si>
  <si>
    <t>WRZ000058 - Loch Calder WRZ</t>
  </si>
  <si>
    <t>WRZ000060 - Durness WRZ</t>
  </si>
  <si>
    <t>WRZ000062 - Kinlochbervie WRZ</t>
  </si>
  <si>
    <t>WRZ000063 - Scourie WRZ</t>
  </si>
  <si>
    <t>WRZ000064 - Altnaharra WRZ</t>
  </si>
  <si>
    <t>WRZ000065 - Savalbeg WRZ</t>
  </si>
  <si>
    <t>WRZ000068 - Backies WRZ</t>
  </si>
  <si>
    <t>WRZ000069 - Lochinver WRZ</t>
  </si>
  <si>
    <t>WRZ000070 - Kylesku WRZ</t>
  </si>
  <si>
    <t>WRZ000071 - Stoer WRZ</t>
  </si>
  <si>
    <t>WRZ000074 - Drumbeg WRZ</t>
  </si>
  <si>
    <t>WRZ000075 - Ullapool WRZ</t>
  </si>
  <si>
    <t>WRZ000076 - Badcaul WRZ</t>
  </si>
  <si>
    <t>WRZ000077 - Achiltibuie WRZ</t>
  </si>
  <si>
    <t>WRZ000079 - Kinlochewe WRZ</t>
  </si>
  <si>
    <t>WRZ000081 - Aultbea WRZ</t>
  </si>
  <si>
    <t>WRZ000082 - Badachro WRZ</t>
  </si>
  <si>
    <t>WRZ000087 - Torridon WRZ</t>
  </si>
  <si>
    <t>WRZ000088 - Shieldaig WRZ</t>
  </si>
  <si>
    <t>WRZ000089 - Alligin WRZ</t>
  </si>
  <si>
    <t>WRZ000090 - Diabeg WRZ</t>
  </si>
  <si>
    <t>WRZ000091 - Applecross WRZ</t>
  </si>
  <si>
    <t>WRZ000092 - Achnasheen WRZ</t>
  </si>
  <si>
    <t>WRZ000103 - Kinlochleven WRZ</t>
  </si>
  <si>
    <t>WRZ000108 - Mallaig WRZ</t>
  </si>
  <si>
    <t>WRZ000109 - Glenuig WRZ</t>
  </si>
  <si>
    <t>WRZ000110 - Acharacle WRZ</t>
  </si>
  <si>
    <t>WRZ000112 - Sanna WRZ</t>
  </si>
  <si>
    <t>WRZ000113 - Kilchoan WRZ</t>
  </si>
  <si>
    <t>WRZ000115 - Inchlaggan WRZ</t>
  </si>
  <si>
    <t>WRZ000116 - Strontian WRZ</t>
  </si>
  <si>
    <t>WRZ000117 - Invergarry WRZ</t>
  </si>
  <si>
    <t>WRZ000119 - Lochaline WRZ</t>
  </si>
  <si>
    <t>WRZ000120 - Drimnin WRZ</t>
  </si>
  <si>
    <t>WRZ000121 - Portree Torvaig WRZ</t>
  </si>
  <si>
    <t>WRZ000123 - Barra WRZ</t>
  </si>
  <si>
    <t>WRZ000126 - Staffin WRZ</t>
  </si>
  <si>
    <t>WRZ000129 - Kilmaluag WRZ</t>
  </si>
  <si>
    <t>WRZ000130 - Dunvegan Osedale WRZ</t>
  </si>
  <si>
    <t>WRZ000131 - Waternish WRZ</t>
  </si>
  <si>
    <t>WRZ000132 - Glendale WRZ</t>
  </si>
  <si>
    <t>WRZ000134 - Bracadale WRZ</t>
  </si>
  <si>
    <t>WRZ000135 - Carbost WRZ</t>
  </si>
  <si>
    <t>WRZ000137 - Teangue WRZ</t>
  </si>
  <si>
    <t>WRZ000142 - Raasay WRZ</t>
  </si>
  <si>
    <t>WRZ000143 - Broadford WRZ</t>
  </si>
  <si>
    <t>WRZ000144 - Glenelg WRZ</t>
  </si>
  <si>
    <t>WRZ000145 - Arnisdale WRZ</t>
  </si>
  <si>
    <t>WRZ000149 - Kyle WRZ</t>
  </si>
  <si>
    <t>WRZ000150 - Lochcarron WRZ</t>
  </si>
  <si>
    <t>WRZ000151 - Poolewe WRZ</t>
  </si>
  <si>
    <t>WRZ000163 - Eday WRZ</t>
  </si>
  <si>
    <t>WRZ000164 - North Hoy WRZ</t>
  </si>
  <si>
    <t>WRZ000165 - South Hoy WRZ</t>
  </si>
  <si>
    <t>WRZ000166 - North Ronaldsay WRZ</t>
  </si>
  <si>
    <t>WRZ000167 - Rousay WRZ</t>
  </si>
  <si>
    <t>WRZ000168 - Sanday WRZ</t>
  </si>
  <si>
    <t>WRZ000170 - Stronsay WRZ</t>
  </si>
  <si>
    <t>WRZ000171 - Westray WRZ</t>
  </si>
  <si>
    <t>WRZ000172 - Eela Water WRZ</t>
  </si>
  <si>
    <t>WRZ000174 - Sandy Loch WRZ</t>
  </si>
  <si>
    <t>WRZ000177 - Yell WRZ</t>
  </si>
  <si>
    <t>WRZ000184 - Unst WRZ</t>
  </si>
  <si>
    <t>WRZ000185 - Whalsay WRZ</t>
  </si>
  <si>
    <t>WRZ000187 - Fetlar WRZ</t>
  </si>
  <si>
    <t>WRZ000188 - Skerries WRZ</t>
  </si>
  <si>
    <t>WRZ000189 - Fair Isle WRZ</t>
  </si>
  <si>
    <t>WRZ000190 - Foula WRZ</t>
  </si>
  <si>
    <t>WRZ000191 - Papa Stour WRZ</t>
  </si>
  <si>
    <t>WRZ000192 - West Lewis WRZ</t>
  </si>
  <si>
    <t>WRZ000194 - Uig WRZ</t>
  </si>
  <si>
    <t>WRZ000196 - Ness WRZ</t>
  </si>
  <si>
    <t>WRZ000198 - Stornoway WRZ</t>
  </si>
  <si>
    <t>WRZ000199 - North Lochs WRZ</t>
  </si>
  <si>
    <t>WRZ000205 - Cliasmol WRZ</t>
  </si>
  <si>
    <t>WRZ000206 - Ardvourlie WRZ</t>
  </si>
  <si>
    <t>WRZ000207 - Tarbert (WI) WRZ</t>
  </si>
  <si>
    <t>WRZ000209 - Meavaig WRZ</t>
  </si>
  <si>
    <t>WRZ000215 - Lochmaddy WRZ</t>
  </si>
  <si>
    <t>WRZ000217 - Benbecula WRZ</t>
  </si>
  <si>
    <t>WRZ000218 - South Uist WRZ</t>
  </si>
  <si>
    <t>WRZ000221 - Fife WRZ</t>
  </si>
  <si>
    <t>WRZ000223 - Roberton WRZ</t>
  </si>
  <si>
    <t>WRZ000224 - Howdenwells &amp; Manse Street WRZ</t>
  </si>
  <si>
    <t>WRZ000226 - Innerleithen WRZ</t>
  </si>
  <si>
    <t>WRZ000227 - Rawburn WRZ</t>
  </si>
  <si>
    <t>WRZ000232 - Newcastleton WRZ</t>
  </si>
  <si>
    <t>WRZ000234 - Yarrowfeus WRZ</t>
  </si>
  <si>
    <t>WRZ000236 - Penwhirn &amp; Auchneel WRZ</t>
  </si>
  <si>
    <t>WRZ000237 - Black Esk &amp; Kettleton &amp; Moffat WRZ</t>
  </si>
  <si>
    <t>WRZ000239 - Carsphairn WRZ</t>
  </si>
  <si>
    <t>WRZ000240 - Lochinvar &amp; Glengap &amp; Cargen WRZ</t>
  </si>
  <si>
    <t>WRZ000241 - Terregles &amp; Killylour &amp; Larchfield WRZ</t>
  </si>
  <si>
    <t>WRZ000247 - Tyndrum WRZ</t>
  </si>
  <si>
    <t>WRZ000248 - Killin WRZ</t>
  </si>
  <si>
    <t>WRZ000249 - Lochearnhead WRZ</t>
  </si>
  <si>
    <t>WRZ000250 - Strathyre WRZ</t>
  </si>
  <si>
    <t>WRZ000251 - Ardeonaig WRZ</t>
  </si>
  <si>
    <t>WRZ000252 - Balquhidder WRZ</t>
  </si>
  <si>
    <t>WRZ000253 - Brig o' Turk WRZ</t>
  </si>
  <si>
    <t>WRZ000254 - Crianlarich WRZ</t>
  </si>
  <si>
    <t>WRZ000255 - Belmore WRZ</t>
  </si>
  <si>
    <t>WRZ000256 - Ardfern WRZ</t>
  </si>
  <si>
    <t>WRZ000257 - Ardrishaig WRZ</t>
  </si>
  <si>
    <t>WRZ000258 - Arinagour WRZ</t>
  </si>
  <si>
    <t>WRZ000259 - Ballygrant WRZ</t>
  </si>
  <si>
    <t>WRZ000260 - Bunessan WRZ</t>
  </si>
  <si>
    <t>WRZ000261 - Campbeltown WRZ</t>
  </si>
  <si>
    <t>WRZ000262 - Carradale WRZ</t>
  </si>
  <si>
    <t>WRZ000263 - Carrick Castle WRZ</t>
  </si>
  <si>
    <t>WRZ000264 - Cladich WRZ</t>
  </si>
  <si>
    <t>WRZ000265 - Colonsay WRZ</t>
  </si>
  <si>
    <t>WRZ000266 - Craighouse WRZ</t>
  </si>
  <si>
    <t>WRZ000268 - Dalmally WRZ</t>
  </si>
  <si>
    <t>WRZ000269 - Dervaig WRZ</t>
  </si>
  <si>
    <t>WRZ000270 - Gigha WRZ</t>
  </si>
  <si>
    <t>WRZ000271 - Inveraray WRZ</t>
  </si>
  <si>
    <t>WRZ000272 - Kilberry WRZ</t>
  </si>
  <si>
    <t>WRZ000273 - Kilchrenan WRZ</t>
  </si>
  <si>
    <t>WRZ000274 - Kilmelford WRZ</t>
  </si>
  <si>
    <t>WRZ000275 - Lochgoilhead WRZ</t>
  </si>
  <si>
    <t>WRZ000277 - Port Charlotte WRZ</t>
  </si>
  <si>
    <t>WRZ000278 - Saddell WRZ</t>
  </si>
  <si>
    <t>WRZ000279 - Tarbert (A&amp;B) WRZ</t>
  </si>
  <si>
    <t>WRZ000280 - Tiree WRZ</t>
  </si>
  <si>
    <t>WRZ000281 - Tobermory WRZ</t>
  </si>
  <si>
    <t>WRZ000282 - Torra WRZ</t>
  </si>
  <si>
    <t>WRZ000283 - Tullich WRZ</t>
  </si>
  <si>
    <t>WRZ000284 - Balmichael WRZ</t>
  </si>
  <si>
    <t>WRZ000285 - Corrie WRZ</t>
  </si>
  <si>
    <t>WRZ000287 - Dhu Loch &amp; Loch Ascog WRZ</t>
  </si>
  <si>
    <t>WRZ000289 - Loch Eck WRZ</t>
  </si>
  <si>
    <t>WRZ000290 - Tighnabruaich WRZ</t>
  </si>
  <si>
    <t>WRZ000295 - Lochranza WRZ</t>
  </si>
  <si>
    <t>WRZ000300 - Geocrab WRZ</t>
  </si>
  <si>
    <t>WRZ000301 - Tomich WRZ</t>
  </si>
  <si>
    <t>WRZ000303 - Laid WRZ</t>
  </si>
  <si>
    <t>WRZ000305 - Fort William WRZ</t>
  </si>
  <si>
    <t>WRZ000309 - Rhenigidale WRZ</t>
  </si>
  <si>
    <t>WRZ000311 - Earlish WRZ</t>
  </si>
  <si>
    <t>WRZ000312 - Dumbarton WRZ</t>
  </si>
  <si>
    <t>WRZ000313 - Edinburgh &amp; Lothian WRZ</t>
  </si>
  <si>
    <t>WRZ000314 - Glasgow WRZ</t>
  </si>
  <si>
    <t>WRZ000318 - Picketlaw WRZ</t>
  </si>
  <si>
    <t>WRZ000320 - Pateshill WRZ</t>
  </si>
  <si>
    <t>WRZ000321 - Burncrooks WRZ</t>
  </si>
  <si>
    <t>WRZ000323 - Lismore WRZ</t>
  </si>
  <si>
    <t>WRZ000324 - Eredine WRZ</t>
  </si>
  <si>
    <t>WRZ000325 - Harris Bedersaig WRZ</t>
  </si>
  <si>
    <t>WRZ000326 - Afton WRZ</t>
  </si>
  <si>
    <t>WRZ000327 - Bradan WRZ</t>
  </si>
  <si>
    <t>WRZ000328 - Penwhapple WRZ</t>
  </si>
  <si>
    <t>WRZ000329 - Muirdykes &amp; Camphill WRZ</t>
  </si>
  <si>
    <t>WRZ000330 - Turriff &amp; Badentinan &amp; Glenlatterach WRZ</t>
  </si>
  <si>
    <t>WRZ000331 - Forehill WRZ</t>
  </si>
  <si>
    <t>WRZ000332 - Assynt WRZ</t>
  </si>
  <si>
    <t>WRZ000333 - Newmore WRZ</t>
  </si>
  <si>
    <t>WRZ000334 - Boardhouse WRZ</t>
  </si>
  <si>
    <t>WRZ000335 - Kirbister WRZ</t>
  </si>
  <si>
    <t>WRZ000336 - Carron Valley WRZ</t>
  </si>
  <si>
    <t>WRZ000337 - Turret WRZ</t>
  </si>
  <si>
    <t>WRZ000338 - Daer &amp; Camps WRZ</t>
  </si>
  <si>
    <t>WRZ000339 - Coulter WRZ</t>
  </si>
  <si>
    <t>Total</t>
  </si>
  <si>
    <t>Table B9b: Security of Supply Index - 1 in 40 Level of Service - critical period</t>
  </si>
  <si>
    <t>Table B9c: Security of Supply Index - 1 in 100 Level of Service - dry year annual average</t>
  </si>
  <si>
    <t>Table B9d: Security of Supply Index - 1 in 100 Level of Service - critical period</t>
  </si>
  <si>
    <t>Table B9e: Security of Supply Index - 1 in 150 Level of Service - dry year annual average</t>
  </si>
  <si>
    <t>Date:14/06/2024</t>
  </si>
  <si>
    <t>Table B9f: Security of Supply Index - 1 in 150 Level of Service - critical period</t>
  </si>
  <si>
    <t>Zonal index (%age deficit2 x % population affected x 100)</t>
  </si>
  <si>
    <t>DWQR</t>
  </si>
  <si>
    <t>Line ref.</t>
  </si>
  <si>
    <t>Field type</t>
  </si>
  <si>
    <t>Parametric compliance</t>
  </si>
  <si>
    <t>Water treatment works</t>
  </si>
  <si>
    <t>Storage points</t>
  </si>
  <si>
    <t>Consumer tap</t>
  </si>
  <si>
    <t>Parameter name</t>
  </si>
  <si>
    <t>Test count</t>
  </si>
  <si>
    <t>Failures</t>
  </si>
  <si>
    <t>Sites failing</t>
  </si>
  <si>
    <t>Calculated compliance</t>
  </si>
  <si>
    <t>Zones failing</t>
  </si>
  <si>
    <t>B10.1</t>
  </si>
  <si>
    <t>Aluminium (Total)</t>
  </si>
  <si>
    <t>nr / %</t>
  </si>
  <si>
    <t>I/C</t>
  </si>
  <si>
    <t> </t>
  </si>
  <si>
    <t>B10.2</t>
  </si>
  <si>
    <t>Clostridium perfringens</t>
  </si>
  <si>
    <t>B10.3</t>
  </si>
  <si>
    <t>Coliform Bacteria</t>
  </si>
  <si>
    <t>B10.4</t>
  </si>
  <si>
    <t>E. coli</t>
  </si>
  <si>
    <t>B10.5</t>
  </si>
  <si>
    <t>Enterococci</t>
  </si>
  <si>
    <t>B10.6</t>
  </si>
  <si>
    <t>Hydrogen ion (pH)</t>
  </si>
  <si>
    <t>B10.7</t>
  </si>
  <si>
    <t>Iron (Total)</t>
  </si>
  <si>
    <t>B10.8</t>
  </si>
  <si>
    <t>Lead (Total)</t>
  </si>
  <si>
    <t>B10.9</t>
  </si>
  <si>
    <t>Manganese (Total)</t>
  </si>
  <si>
    <t>B10.10</t>
  </si>
  <si>
    <t>Nickel (Total)</t>
  </si>
  <si>
    <t>B10.11</t>
  </si>
  <si>
    <t xml:space="preserve">Pesticides </t>
  </si>
  <si>
    <t>B10.12</t>
  </si>
  <si>
    <t>Total Trihalomethanes</t>
  </si>
  <si>
    <t>B10.13</t>
  </si>
  <si>
    <t>All other parameters</t>
  </si>
  <si>
    <t>B10.14</t>
  </si>
  <si>
    <t>All Parameters</t>
  </si>
  <si>
    <t>Cryptosporidium at water treatment works</t>
  </si>
  <si>
    <t>Sample count</t>
  </si>
  <si>
    <t>No. detections</t>
  </si>
  <si>
    <t>No. sites with oocysts</t>
  </si>
  <si>
    <t>No. viable oocysts</t>
  </si>
  <si>
    <t xml:space="preserve">No. sites with viable oocysts </t>
  </si>
  <si>
    <t>B10.15</t>
  </si>
  <si>
    <t>Total Compliance (for OPA)</t>
  </si>
  <si>
    <t>Total compliance</t>
  </si>
  <si>
    <t>B10.15a</t>
  </si>
  <si>
    <t>Total compliance including Cryptosporidium compliance</t>
  </si>
  <si>
    <t>B10.15b</t>
  </si>
  <si>
    <t>Total compliance including Cryptosporidium compliance (for OPA)</t>
  </si>
  <si>
    <t>Enforcement</t>
  </si>
  <si>
    <t>Water quality</t>
  </si>
  <si>
    <t>NIS</t>
  </si>
  <si>
    <t>B10.16</t>
  </si>
  <si>
    <t>No. of enforcement notices issued</t>
  </si>
  <si>
    <t>B10.16a</t>
  </si>
  <si>
    <t>No. of enforcement notices active</t>
  </si>
  <si>
    <t>B10.17</t>
  </si>
  <si>
    <t>No. of letters of commitment issued</t>
  </si>
  <si>
    <t>B10.17a</t>
  </si>
  <si>
    <t>No. of letters of commitment active</t>
  </si>
  <si>
    <t>Incidents</t>
  </si>
  <si>
    <t>Number</t>
  </si>
  <si>
    <t>B10.18</t>
  </si>
  <si>
    <t xml:space="preserve">No. of water quality incidents </t>
  </si>
  <si>
    <t>Consumer contacts to Scottish Water</t>
  </si>
  <si>
    <t>WQ Chlorine taste/smell</t>
  </si>
  <si>
    <t>WQ colour other</t>
  </si>
  <si>
    <t>WQ discoloured water</t>
  </si>
  <si>
    <t>WQ illness due to water</t>
  </si>
  <si>
    <t>WQ metallic taste</t>
  </si>
  <si>
    <t>WQ milky cloudy water</t>
  </si>
  <si>
    <t>WQ musty/earthy taste/smell</t>
  </si>
  <si>
    <t>WQ organisms in water</t>
  </si>
  <si>
    <t>WQ particles in water</t>
  </si>
  <si>
    <t>WQ solvent/fuel taste/smell</t>
  </si>
  <si>
    <t>WQ taste/smell Other</t>
  </si>
  <si>
    <t>WQ TCP/chemical taste/smell</t>
  </si>
  <si>
    <t>B10.19</t>
  </si>
  <si>
    <t>No. of consumer contacts received by SW (all methods) about subject</t>
  </si>
  <si>
    <t>B10.20</t>
  </si>
  <si>
    <t>Telephone</t>
  </si>
  <si>
    <t>B10.21</t>
  </si>
  <si>
    <t>Social media</t>
  </si>
  <si>
    <t>B10.22</t>
  </si>
  <si>
    <t>Other</t>
  </si>
  <si>
    <t xml:space="preserve">Complaints to DWQR </t>
  </si>
  <si>
    <t>Total received</t>
  </si>
  <si>
    <t>Upheld</t>
  </si>
  <si>
    <t>B10.23</t>
  </si>
  <si>
    <t>No. of 2nd tier complaints about WQ received / upheld by DWQR</t>
  </si>
  <si>
    <t>BX</t>
  </si>
  <si>
    <t>Comments</t>
  </si>
  <si>
    <t>Prepared by:  ……………………………………………..</t>
  </si>
  <si>
    <t>Checked by:  ……………………………………………..</t>
  </si>
  <si>
    <t>SEPA Annual Report to the Water Industry Commission for Scotland</t>
  </si>
  <si>
    <t xml:space="preserve"> </t>
  </si>
  <si>
    <t>Table 11a: Pollution incidents</t>
  </si>
  <si>
    <t>Calendar Year 2023</t>
  </si>
  <si>
    <t>Category  1</t>
  </si>
  <si>
    <t>Category 2</t>
  </si>
  <si>
    <t xml:space="preserve">Category 3 </t>
  </si>
  <si>
    <t>Sewage related premises</t>
  </si>
  <si>
    <t>Total number</t>
  </si>
  <si>
    <t>Total number (Cat 1-3 incidents)</t>
  </si>
  <si>
    <t>B11a.1</t>
  </si>
  <si>
    <t>Sewage treatment works</t>
  </si>
  <si>
    <t>B11a.2</t>
  </si>
  <si>
    <t>Storm tank</t>
  </si>
  <si>
    <t>B11a.3</t>
  </si>
  <si>
    <t>Combined sewer overflow</t>
  </si>
  <si>
    <t>B11a.4</t>
  </si>
  <si>
    <t>Foul sewer</t>
  </si>
  <si>
    <t>B11a.5</t>
  </si>
  <si>
    <t>Pumping station</t>
  </si>
  <si>
    <t>B11a.6</t>
  </si>
  <si>
    <t>Rising mains</t>
  </si>
  <si>
    <t>B11a.7</t>
  </si>
  <si>
    <t>B11a.8</t>
  </si>
  <si>
    <t>Number of incidents where site compliant with discharge consent</t>
  </si>
  <si>
    <t>Water and surface water related premises</t>
  </si>
  <si>
    <t>B11a.9</t>
  </si>
  <si>
    <t>B11a.10</t>
  </si>
  <si>
    <t>Water distribution system</t>
  </si>
  <si>
    <t>B11a.11</t>
  </si>
  <si>
    <t>Surface water outfall</t>
  </si>
  <si>
    <t>B11a.12</t>
  </si>
  <si>
    <t>B11a.13</t>
  </si>
  <si>
    <t>Total (sewage and water and surface water) related premises (automatically calculated)</t>
  </si>
  <si>
    <t>B11a.14</t>
  </si>
  <si>
    <t>Total (sewage and water and surface water) number of Incidents where site compliant with discharge consent (automatically calculated)</t>
  </si>
  <si>
    <t>B11a.15</t>
  </si>
  <si>
    <t>Total number of all category 1-3 incidents (automatically calculated)</t>
  </si>
  <si>
    <t>B11a.16</t>
  </si>
  <si>
    <t>Total number where site compliant with consent (automatically calculated)</t>
  </si>
  <si>
    <t>B11a.17</t>
  </si>
  <si>
    <t>Total number of water company self reported incidents</t>
  </si>
  <si>
    <t xml:space="preserve">All events have been agreed with SEPA and finalised 10/04/2024.  SEPA agree this to be an accurate summary of this years EPI's data. </t>
  </si>
  <si>
    <t>All events have been agreed with SEPA and finalised 10/04/2024. SEPA agree this to be an accurate summary of this years EPI's data.</t>
  </si>
  <si>
    <t>25/06/2024</t>
  </si>
  <si>
    <t>SEPA</t>
  </si>
  <si>
    <t>Table 11b: Compliance</t>
  </si>
  <si>
    <t>Line 
ref.</t>
  </si>
  <si>
    <t>AR22 ref.</t>
  </si>
  <si>
    <t>NUMERIC LICENCES</t>
  </si>
  <si>
    <t>Water Environment (Controlled Activities) Regulations 2005 (CAR)</t>
  </si>
  <si>
    <t>A) Sewage treatment works: Total number</t>
  </si>
  <si>
    <t>B11b.1</t>
  </si>
  <si>
    <t>No. of wastewater treatment works on register during year (in force)</t>
  </si>
  <si>
    <t>11b.1</t>
  </si>
  <si>
    <t>B11b.2</t>
  </si>
  <si>
    <t>No. of wastewater treatment works assessed for compliance</t>
  </si>
  <si>
    <t>11b.2</t>
  </si>
  <si>
    <t>B11b.3</t>
  </si>
  <si>
    <t>No. of wastewater treatment works confirmed failing in year</t>
  </si>
  <si>
    <t>11b.3</t>
  </si>
  <si>
    <t>B11b.4</t>
  </si>
  <si>
    <t>%. of wastewater treatment works compliant with licence in the year</t>
  </si>
  <si>
    <t>11b.4</t>
  </si>
  <si>
    <t>B) Look-up table lower tier licences</t>
  </si>
  <si>
    <t>B11b.5</t>
  </si>
  <si>
    <t>11b.5</t>
  </si>
  <si>
    <t>B11b.6</t>
  </si>
  <si>
    <t>11b.6</t>
  </si>
  <si>
    <t>B11b.7</t>
  </si>
  <si>
    <t>11b.7</t>
  </si>
  <si>
    <t>B11b.8</t>
  </si>
  <si>
    <t>11b.8</t>
  </si>
  <si>
    <t>C) Upper tier licences</t>
  </si>
  <si>
    <t>B11b.9</t>
  </si>
  <si>
    <t>No. of wastewater treatment works on register during year (in force).</t>
  </si>
  <si>
    <t>11b.9</t>
  </si>
  <si>
    <t>B11b.10</t>
  </si>
  <si>
    <t>11b.10</t>
  </si>
  <si>
    <t>B11b.11</t>
  </si>
  <si>
    <t>11b.11</t>
  </si>
  <si>
    <t>B11b.12</t>
  </si>
  <si>
    <t>11b.12</t>
  </si>
  <si>
    <t>D) Single tier licences</t>
  </si>
  <si>
    <t>B11b.13</t>
  </si>
  <si>
    <t>11b.13</t>
  </si>
  <si>
    <t>B11b.14</t>
  </si>
  <si>
    <t>11b.14</t>
  </si>
  <si>
    <t>B11b.15</t>
  </si>
  <si>
    <t>11b.15</t>
  </si>
  <si>
    <t>B11b.16</t>
  </si>
  <si>
    <t>11b.16</t>
  </si>
  <si>
    <t>F) wastewater treatment works confirmed as failing (CAR)</t>
  </si>
  <si>
    <t>B11b.21</t>
  </si>
  <si>
    <t>Number of wastewater treatment works confirmed as failing (CAR)</t>
  </si>
  <si>
    <t>11b.21</t>
  </si>
  <si>
    <t>B11b.22</t>
  </si>
  <si>
    <t>Total population equivalent confirmed as failing</t>
  </si>
  <si>
    <t>11b.22</t>
  </si>
  <si>
    <t>B11b.23</t>
  </si>
  <si>
    <t>Total population equivalent served by WwTWs (resident) (numeric licences)</t>
  </si>
  <si>
    <t>11b.23</t>
  </si>
  <si>
    <t>B11b.24</t>
  </si>
  <si>
    <t>Percentage population equivalent confirmed as failing</t>
  </si>
  <si>
    <t>11b.24</t>
  </si>
  <si>
    <t>Urban Wastewater Treatment Directive (UWWTD)</t>
  </si>
  <si>
    <t>G) UWWTD</t>
  </si>
  <si>
    <t>B11b.25</t>
  </si>
  <si>
    <t>11b.25</t>
  </si>
  <si>
    <t>B11b.26</t>
  </si>
  <si>
    <t>11b.26</t>
  </si>
  <si>
    <t>B11b.27</t>
  </si>
  <si>
    <t>11b.27</t>
  </si>
  <si>
    <t>B11b.28</t>
  </si>
  <si>
    <t>11b.28</t>
  </si>
  <si>
    <t>Overall performance assessment (OPA) licence measure</t>
  </si>
  <si>
    <t>H) Wastewater treatment works confirmed as failing (OPA criteria only)</t>
  </si>
  <si>
    <t>B11b.29</t>
  </si>
  <si>
    <t>Number of wastewater treatment works confirmed as failing (OPA)</t>
  </si>
  <si>
    <t>11b.29</t>
  </si>
  <si>
    <t>B11b.30</t>
  </si>
  <si>
    <t>11b.30</t>
  </si>
  <si>
    <t>B11b.31</t>
  </si>
  <si>
    <t>11b.31</t>
  </si>
  <si>
    <t>B11b.32</t>
  </si>
  <si>
    <t>11b.32</t>
  </si>
  <si>
    <t>B11b.33</t>
  </si>
  <si>
    <t>Number of wastewater treatment works confirmed as failing (OPA) (SR15 equivalent)</t>
  </si>
  <si>
    <t>B11b.34</t>
  </si>
  <si>
    <t>Total population equivalent confirmed as failing (SR15 equivalent)</t>
  </si>
  <si>
    <t>B11b.35</t>
  </si>
  <si>
    <t>Total population equivalent served by WwTWs (resident) (numeric licences) (SR15 equivalent)</t>
  </si>
  <si>
    <t>B11b.36</t>
  </si>
  <si>
    <t>Percentage population equivalent confirmed as failing (SR15 OPA equivalent)</t>
  </si>
  <si>
    <t>Tables 11B and 11C form part of SEPA’s WICS Return pre cyber-attack.  SW have been involved with populating these tables since 2020.  However, there are some tables / lines where SW do not have a clear definition of the data requirement or the software to source this data.  This is reflected in the confidence grades.
UWWTD is a calendar measure.  SEPA agree that this return is an accurate summary of this years OSM compliance data -  (SEPA) 25/06/2024</t>
  </si>
  <si>
    <t>Table 11c: Wastewater treatment works confirmed as failing</t>
  </si>
  <si>
    <t>WASTEWATER TREATMENT WORKS (including septic tanks and crude outfalls)</t>
  </si>
  <si>
    <t>CAR</t>
  </si>
  <si>
    <t>UWWTD</t>
  </si>
  <si>
    <t>OPA**</t>
  </si>
  <si>
    <t>UWWT</t>
  </si>
  <si>
    <t>ASSET No.</t>
  </si>
  <si>
    <t>CAR LICENCE NUMBER</t>
  </si>
  <si>
    <t>ASSET NAME</t>
  </si>
  <si>
    <t xml:space="preserve">LICENCE TYPE 
</t>
  </si>
  <si>
    <t>Compliant / Failed (C or F)</t>
  </si>
  <si>
    <t>Parameter(s) failed*</t>
  </si>
  <si>
    <t>PE</t>
  </si>
  <si>
    <t>("2 Tier", "1 Tier", "Other")</t>
  </si>
  <si>
    <t>LT</t>
  </si>
  <si>
    <t>UT</t>
  </si>
  <si>
    <t>ALL</t>
  </si>
  <si>
    <t>(2 Tier, 1 Tier, Other)</t>
  </si>
  <si>
    <t>STW001832</t>
  </si>
  <si>
    <t>CAR/L/1010947</t>
  </si>
  <si>
    <t>Banchory</t>
  </si>
  <si>
    <t>2 Tier</t>
  </si>
  <si>
    <t>F</t>
  </si>
  <si>
    <t>SS (UT)</t>
  </si>
  <si>
    <t>STW001731</t>
  </si>
  <si>
    <t>CAR/L/1001033</t>
  </si>
  <si>
    <t>Coupar Angus</t>
  </si>
  <si>
    <t>BOD (UT)</t>
  </si>
  <si>
    <t>STW001249</t>
  </si>
  <si>
    <t>CAR/L/1001671</t>
  </si>
  <si>
    <t>Croy</t>
  </si>
  <si>
    <t>STW000281</t>
  </si>
  <si>
    <t>CAR/L/1008817</t>
  </si>
  <si>
    <t>Erskine</t>
  </si>
  <si>
    <t>STW001841</t>
  </si>
  <si>
    <t>CAR/L/1001704</t>
  </si>
  <si>
    <t>Drumlithie</t>
  </si>
  <si>
    <t>STW001312</t>
  </si>
  <si>
    <t>CAR/L/1003971</t>
  </si>
  <si>
    <t>Forres</t>
  </si>
  <si>
    <t>STW003751</t>
  </si>
  <si>
    <t>CAR/L/1001731</t>
  </si>
  <si>
    <t>Fyvie</t>
  </si>
  <si>
    <t>STW002296</t>
  </si>
  <si>
    <t>CAR/L/1002928</t>
  </si>
  <si>
    <t>Gairloch</t>
  </si>
  <si>
    <t>E.coli (UT); I.coli (UT)</t>
  </si>
  <si>
    <t>STW001989</t>
  </si>
  <si>
    <t>CAR/L/1001303</t>
  </si>
  <si>
    <t>Galashiels</t>
  </si>
  <si>
    <t>pH</t>
  </si>
  <si>
    <t>STW001252</t>
  </si>
  <si>
    <t>CAR/L/1001750</t>
  </si>
  <si>
    <t>Insh</t>
  </si>
  <si>
    <t>STW001977</t>
  </si>
  <si>
    <t>CAR/L/1015407</t>
  </si>
  <si>
    <t>Kinneil Kerse</t>
  </si>
  <si>
    <t>STW001982</t>
  </si>
  <si>
    <t>CAR/L/1003808</t>
  </si>
  <si>
    <t>Kirkcaldy</t>
  </si>
  <si>
    <t>COD (LT / LUT)</t>
  </si>
  <si>
    <t>STW001559</t>
  </si>
  <si>
    <t>CAR/L/1001609</t>
  </si>
  <si>
    <t>Longside</t>
  </si>
  <si>
    <t>STW001239</t>
  </si>
  <si>
    <t>CAR/L/1001662</t>
  </si>
  <si>
    <t>Milton of Kildary</t>
  </si>
  <si>
    <t>STW001176</t>
  </si>
  <si>
    <t>CAR/L/1003854</t>
  </si>
  <si>
    <t>Muir of Ord</t>
  </si>
  <si>
    <t>STW001543</t>
  </si>
  <si>
    <t>CAR/L/1003845</t>
  </si>
  <si>
    <t>Nigg</t>
  </si>
  <si>
    <t>STW000538</t>
  </si>
  <si>
    <t>CAR/L/1003436</t>
  </si>
  <si>
    <t>Neilston</t>
  </si>
  <si>
    <t>Chromium (UT)</t>
  </si>
  <si>
    <t>STW001935</t>
  </si>
  <si>
    <t>CAR/L/1002937</t>
  </si>
  <si>
    <t>Orphir</t>
  </si>
  <si>
    <t>1 Tier</t>
  </si>
  <si>
    <t>NH3 (UT), BOD (UT), SS (UT)</t>
  </si>
  <si>
    <t>COD (LT / LUT), BOD (UT)</t>
  </si>
  <si>
    <t>STW000646</t>
  </si>
  <si>
    <t>CAR/L/1003423</t>
  </si>
  <si>
    <t>Shotts</t>
  </si>
  <si>
    <t>NH3 (UT), pH</t>
  </si>
  <si>
    <t>STW001453</t>
  </si>
  <si>
    <t>CAR/L/1003858</t>
  </si>
  <si>
    <t>Sauchen</t>
  </si>
  <si>
    <t>STW000650</t>
  </si>
  <si>
    <t>CAR/L/1003495</t>
  </si>
  <si>
    <t>Skellyton</t>
  </si>
  <si>
    <t>Total P (AMC)</t>
  </si>
  <si>
    <t>STW001708</t>
  </si>
  <si>
    <t>CAR/L/1001396</t>
  </si>
  <si>
    <t>Stanley</t>
  </si>
  <si>
    <t>STW002386</t>
  </si>
  <si>
    <t>CAR/L/1008813</t>
  </si>
  <si>
    <t>South Queensferry</t>
  </si>
  <si>
    <t>STW000670</t>
  </si>
  <si>
    <t>CAR/L/1003264</t>
  </si>
  <si>
    <t>Stevenston</t>
  </si>
  <si>
    <t>Dichloromethane (UT)</t>
  </si>
  <si>
    <t>STW001242</t>
  </si>
  <si>
    <t>CAR/L/1001672</t>
  </si>
  <si>
    <t>Tain</t>
  </si>
  <si>
    <t>E.coli (UT)</t>
  </si>
  <si>
    <t>STW002176</t>
  </si>
  <si>
    <t>CAR/L/1008726</t>
  </si>
  <si>
    <t>Tyndrum</t>
  </si>
  <si>
    <t xml:space="preserve">* BOD, COD, SS, NH3, pH, Scheme in breach of statutory deadlines, etc. For UWWTD failures specify: Reporting, Audit, Insufficient samples, BOD UT, BOD LUT, COD UT, COD LUT or Annual average (or a combination of these). </t>
  </si>
  <si>
    <t>** Please follow OPA criteria as described in the "Ofwat OPA guidance" worksheet</t>
  </si>
  <si>
    <t>Levels of Service analysis</t>
  </si>
  <si>
    <t xml:space="preserve">1) The Levels of Service analysis only includes BOD LUT and P failures for UWWT reporting </t>
  </si>
  <si>
    <t>2) In the Levels of Service analysis, where a WWTW failures both the LUT part of its CAR licence and the BOD LUT or P UWWT licence condition, the failure is reported against the CAR licence only</t>
  </si>
  <si>
    <t>FAILING PE (OPA)</t>
  </si>
  <si>
    <t>TOTAL NUMERICALLY LICENSED PE (OPA)</t>
  </si>
  <si>
    <t>%PE FAILING (OPA)</t>
  </si>
  <si>
    <t>LOWER TIER FAILING</t>
  </si>
  <si>
    <t>UPPER TIER FAILING</t>
  </si>
  <si>
    <t>SINGLE TIER FAILING</t>
  </si>
  <si>
    <t>TOTAL FAILING</t>
  </si>
  <si>
    <t>Text in row 39 does not apply to SR21 OPA Metric.</t>
  </si>
  <si>
    <t>Table B11d not relevant.</t>
  </si>
  <si>
    <t>Failing assets are reviewed by SEPA as they occur.  This return is an accurate summary of this years failing assets. -  (SEPA) 25/06/2024</t>
  </si>
  <si>
    <t>Date:  9th May 2024</t>
  </si>
  <si>
    <t>Overall Performance Assessment  (OFWAT environmental measures)</t>
  </si>
  <si>
    <t>1)</t>
  </si>
  <si>
    <t>Sewage treatment works consent compliance</t>
  </si>
  <si>
    <t>An assessment of sewage treatment works (STWs) with the conditions of their discharge consents.</t>
  </si>
  <si>
    <t>Unit of assessment</t>
  </si>
  <si>
    <t>An assessment of the percentage population equivalent (pe) served by STWs that do not comply with the conditions of their discharge consents. The</t>
  </si>
  <si>
    <t>measure addresses compliance with conditions covering the following.</t>
  </si>
  <si>
    <t>- Sanitary determinands of 1991 Water Resources Act numeric consents.</t>
  </si>
  <si>
    <t>- Bio-chemical oxygen demand and phosphorus determinands of Urban</t>
  </si>
  <si>
    <t>- Wastewater Treatment Directive (UWWTD) consents.</t>
  </si>
  <si>
    <t>- Phosphorus determinands of 1991 Water Resource Act numeric consents.</t>
  </si>
  <si>
    <t>- Disinfection conditions of 1991 Water Resource Act consents.</t>
  </si>
  <si>
    <t>Sewage treatment works compliance conditions included in the OPA</t>
  </si>
  <si>
    <t>Parameter</t>
  </si>
  <si>
    <t>Legislation</t>
  </si>
  <si>
    <t>Compliance condition</t>
  </si>
  <si>
    <t>Biochemical oxygen demand (BOD)</t>
  </si>
  <si>
    <r>
      <t>WRA</t>
    </r>
    <r>
      <rPr>
        <vertAlign val="superscript"/>
        <sz val="10"/>
        <rFont val="Arial"/>
        <family val="2"/>
      </rPr>
      <t>1</t>
    </r>
  </si>
  <si>
    <t>Compliance with the look up table (LUT) effluent consent condition limits</t>
  </si>
  <si>
    <r>
      <t>UWWT</t>
    </r>
    <r>
      <rPr>
        <vertAlign val="superscript"/>
        <sz val="10"/>
        <rFont val="Arial"/>
        <family val="2"/>
      </rPr>
      <t>2</t>
    </r>
  </si>
  <si>
    <t>Compliance with LUT consent condition limit requiring percentage removal of BOD across the works, as assessed by influent and effluent BOD concentrations.</t>
  </si>
  <si>
    <t>Suspended solids (SS)</t>
  </si>
  <si>
    <t>WRA</t>
  </si>
  <si>
    <t>Compliance with the LUT effluent consent condition limit</t>
  </si>
  <si>
    <t>Ammonia (NH4)</t>
  </si>
  <si>
    <t>Phosphorus (P)</t>
  </si>
  <si>
    <t>Compliance with the effluent consent condition limit</t>
  </si>
  <si>
    <t>Compliance with the consent condition limit requiring percentage removal of P across the works, as assessed by influent and effluent P concentrations.</t>
  </si>
  <si>
    <t>UV Disinfection</t>
  </si>
  <si>
    <r>
      <t>Compliance with the required UV dose for 99% of the time (where the period of time is annual or seasonal as specified in the consent conditions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).</t>
    </r>
  </si>
  <si>
    <r>
      <t>1</t>
    </r>
    <r>
      <rPr>
        <sz val="10"/>
        <rFont val="Arial"/>
        <family val="2"/>
      </rPr>
      <t xml:space="preserve"> WRA – Water Resources Act</t>
    </r>
  </si>
  <si>
    <r>
      <t>2</t>
    </r>
    <r>
      <rPr>
        <sz val="10"/>
        <rFont val="Arial"/>
        <family val="2"/>
      </rPr>
      <t xml:space="preserve"> UWWT – Urban Wastewater Treatment Regulations</t>
    </r>
  </si>
  <si>
    <t>The UWWT regulations provide two approaches for BOD and P: A works is considered to have met compliance conditions if it passes either of these conditions.</t>
  </si>
  <si>
    <r>
      <t>3</t>
    </r>
    <r>
      <rPr>
        <sz val="10"/>
        <rFont val="Arial"/>
        <family val="2"/>
      </rPr>
      <t xml:space="preserve"> Some works are required to apply UV disinfection year round, others during the bathing</t>
    </r>
  </si>
  <si>
    <t>Calculation</t>
  </si>
  <si>
    <t>pe of STWs failing their consent conditions for sanitary determinands, phosphorus determinands and disinfection conditions x100</t>
  </si>
  <si>
    <t>Relevant pe served (resident) (numeric consents)</t>
  </si>
  <si>
    <t>Performance range</t>
  </si>
  <si>
    <t>The performance range against which individual company OPA scores are calculated will be:</t>
  </si>
  <si>
    <t>Max 4.93</t>
  </si>
  <si>
    <t>Min 0</t>
  </si>
  <si>
    <t>2)</t>
  </si>
  <si>
    <t>Category 1 and 2 pollution incidents (sewage)</t>
  </si>
  <si>
    <t>An assessment of the number of category 1 and 2 pollution incidents resulting from sewage collection and treatment activities.</t>
  </si>
  <si>
    <t>The number of category 1 and 2 pollution incidents resulting from sewage collection and treatment activities per million population equivalent (pe)</t>
  </si>
  <si>
    <t>served. See table for details of which pollution incidents are included.</t>
  </si>
  <si>
    <t>Classification of pollution incidents according to each OPA measure</t>
  </si>
  <si>
    <t xml:space="preserve">Source/premises </t>
  </si>
  <si>
    <t xml:space="preserve">Category 1&amp; 2 </t>
  </si>
  <si>
    <t>Category 3</t>
  </si>
  <si>
    <t>Included in OPA. Category 1 &amp; 2 pollution incidents (sewage).</t>
  </si>
  <si>
    <t>Included in OPA. Category 3 pollution incidents (sewage).</t>
  </si>
  <si>
    <t>Rising main</t>
  </si>
  <si>
    <t>Included in OPA. Category 1 &amp; 2 pollution incidents (water).</t>
  </si>
  <si>
    <t>Not included in the
OPA.</t>
  </si>
  <si>
    <t xml:space="preserve">Surface water outfall </t>
  </si>
  <si>
    <t>Not included in OPA.</t>
  </si>
  <si>
    <t>Included in OPA.
Category 1 &amp; 2 pollution incidents (sewage).</t>
  </si>
  <si>
    <t>Foul sewers</t>
  </si>
  <si>
    <t>Category 1 and 2 pollution incidents</t>
  </si>
  <si>
    <t>Population equivalent served resident / 1,000,000</t>
  </si>
  <si>
    <t>Max 6.17</t>
  </si>
  <si>
    <t>Min 1.06</t>
  </si>
  <si>
    <t>3)</t>
  </si>
  <si>
    <t>Category 3 pollution incidents (sewage)</t>
  </si>
  <si>
    <t>An assessment of the number of category 3 pollution incidents resulting from sewage collection and treatment activities.</t>
  </si>
  <si>
    <t>The number of category 3 pollution incidents resulting from sewage collection and treatment activities per million population equivalent (pe) served. See</t>
  </si>
  <si>
    <t>table in (2) for details of which pollution incidents are included.</t>
  </si>
  <si>
    <t>Category 3 pollution incidents</t>
  </si>
  <si>
    <t>Max 145.07</t>
  </si>
  <si>
    <t>Min 9.44</t>
  </si>
  <si>
    <t>4)</t>
  </si>
  <si>
    <t>Category 1 and 2 pollution incidents (water)</t>
  </si>
  <si>
    <t>An assessment of the number of category 1 and 2 pollution incidents resulting from water treatment and distribution activities.</t>
  </si>
  <si>
    <t>The number of category 1 and 2 pollution incidents resulting from water treatment and distribution activities per million winter population served. See</t>
  </si>
  <si>
    <t>table in (2)  for details of which pollution incidents are included.</t>
  </si>
  <si>
    <t>Winter population / 1,000,000</t>
  </si>
  <si>
    <t>Max 1.7</t>
  </si>
  <si>
    <t>Reportyear-1</t>
  </si>
  <si>
    <t>2022-23</t>
  </si>
  <si>
    <t>Reportyear</t>
  </si>
  <si>
    <t>2023-24</t>
  </si>
  <si>
    <t>Reportyear+1</t>
  </si>
  <si>
    <t>2024-25</t>
  </si>
  <si>
    <t>Calendaryear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</si>
</sst>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"/>
    <numFmt numFmtId="165" formatCode="#,##0_ ;\-#,##0\ "/>
    <numFmt numFmtId="166" formatCode="#,##0.00_ ;\-#,##0.00\ "/>
    <numFmt numFmtId="167" formatCode="&quot;£&quot;#,##0.00"/>
    <numFmt numFmtId="168" formatCode="&quot;£&quot;#,##0.0"/>
  </numFmts>
  <fonts count="64">
    <font>
      <sz val="10"/>
      <name val="Arial"/>
    </font>
    <font>
      <sz val="10"/>
      <name val="Arial"/>
      <family val="2"/>
    </font>
    <font>
      <b/>
      <sz val="18"/>
      <name val="CG Omega"/>
      <family val="2"/>
    </font>
    <font>
      <b/>
      <sz val="12"/>
      <color indexed="48"/>
      <name val="CG Omega"/>
      <family val="2"/>
    </font>
    <font>
      <sz val="10"/>
      <name val="CG Omega"/>
      <family val="2"/>
    </font>
    <font>
      <sz val="12"/>
      <name val="CG Omega"/>
      <family val="2"/>
    </font>
    <font>
      <b/>
      <sz val="12"/>
      <name val="CG Omega"/>
      <family val="2"/>
    </font>
    <font>
      <b/>
      <sz val="16"/>
      <name val="CG Omega"/>
      <family val="2"/>
    </font>
    <font>
      <sz val="18"/>
      <name val="CG Omega"/>
      <family val="2"/>
    </font>
    <font>
      <b/>
      <sz val="10"/>
      <name val="CG Omega"/>
      <family val="2"/>
    </font>
    <font>
      <sz val="9"/>
      <name val="CG Omega"/>
      <family val="2"/>
    </font>
    <font>
      <sz val="16"/>
      <name val="CG Omega"/>
      <family val="2"/>
    </font>
    <font>
      <b/>
      <sz val="16"/>
      <color indexed="48"/>
      <name val="CG Omega"/>
      <family val="2"/>
    </font>
    <font>
      <sz val="12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name val="CG Omega"/>
    </font>
    <font>
      <b/>
      <sz val="10"/>
      <name val="Arial"/>
      <family val="2"/>
    </font>
    <font>
      <b/>
      <sz val="10"/>
      <name val="CG Omega"/>
    </font>
    <font>
      <b/>
      <sz val="16"/>
      <name val="CG Omega"/>
    </font>
    <font>
      <b/>
      <sz val="16"/>
      <color indexed="48"/>
      <name val="CG Omega"/>
    </font>
    <font>
      <sz val="16"/>
      <name val="CG Omega"/>
    </font>
    <font>
      <b/>
      <sz val="12"/>
      <name val="CG Omega"/>
    </font>
    <font>
      <b/>
      <sz val="12"/>
      <color indexed="48"/>
      <name val="CG Omega"/>
    </font>
    <font>
      <b/>
      <vertAlign val="superscript"/>
      <sz val="10"/>
      <name val="CG Omega"/>
      <family val="2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FF0000"/>
      <name val="CG Omega"/>
      <family val="2"/>
    </font>
    <font>
      <b/>
      <sz val="10"/>
      <color rgb="FFFF0000"/>
      <name val="CG Omega"/>
    </font>
    <font>
      <sz val="10"/>
      <color rgb="FFFF0000"/>
      <name val="CG Omega"/>
    </font>
    <font>
      <b/>
      <sz val="10"/>
      <color rgb="FFFF0000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0"/>
      <color rgb="FF000000"/>
      <name val="CG Omega"/>
      <family val="2"/>
    </font>
    <font>
      <sz val="10"/>
      <color rgb="FF000000"/>
      <name val="Arial"/>
      <family val="2"/>
    </font>
    <font>
      <b/>
      <sz val="14"/>
      <color rgb="FF000000"/>
      <name val="CG Omega"/>
      <family val="2"/>
    </font>
    <font>
      <b/>
      <sz val="11"/>
      <name val="Arial"/>
      <family val="2"/>
    </font>
    <font>
      <b/>
      <sz val="12"/>
      <color indexed="48"/>
      <name val="Arial"/>
      <family val="2"/>
    </font>
    <font>
      <b/>
      <sz val="12"/>
      <name val="Arial"/>
      <family val="2"/>
    </font>
    <font>
      <sz val="10"/>
      <color indexed="10"/>
      <name val="Arial"/>
      <family val="2"/>
    </font>
    <font>
      <i/>
      <sz val="10"/>
      <color rgb="FF000000"/>
      <name val="Arial"/>
      <family val="2"/>
      <charset val="1"/>
    </font>
    <font>
      <i/>
      <sz val="12"/>
      <color rgb="FF000000"/>
      <name val="Calibri"/>
      <family val="2"/>
      <charset val="1"/>
    </font>
    <font>
      <b/>
      <u/>
      <sz val="11"/>
      <name val="Arial"/>
      <family val="2"/>
    </font>
    <font>
      <b/>
      <sz val="11"/>
      <color indexed="12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vertAlign val="superscript"/>
      <sz val="10"/>
      <name val="Arial"/>
      <family val="2"/>
    </font>
    <font>
      <u/>
      <sz val="10"/>
      <name val="Arial"/>
      <family val="2"/>
    </font>
    <font>
      <b/>
      <sz val="12"/>
      <color rgb="FF000000"/>
      <name val="CG Omega"/>
      <family val="2"/>
    </font>
    <font>
      <sz val="11"/>
      <name val="Calibri"/>
      <family val="2"/>
      <charset val="1"/>
    </font>
    <font>
      <b/>
      <sz val="14"/>
      <name val="Webdings"/>
      <family val="1"/>
      <charset val="2"/>
    </font>
    <font>
      <sz val="16"/>
      <name val="Arial"/>
      <family val="2"/>
    </font>
    <font>
      <b/>
      <i/>
      <u/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Arial"/>
      <family val="2"/>
    </font>
    <font>
      <sz val="11"/>
      <color rgb="FF444444"/>
      <name val="Calibri"/>
      <family val="2"/>
      <charset val="1"/>
    </font>
    <font>
      <sz val="10"/>
      <color theme="1"/>
      <name val="CG Omega"/>
    </font>
    <font>
      <sz val="10"/>
      <color rgb="FF000000"/>
      <name val="CG Omega"/>
    </font>
  </fonts>
  <fills count="2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8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8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CC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99CC"/>
        <bgColor indexed="8"/>
      </patternFill>
    </fill>
    <fill>
      <patternFill patternType="solid">
        <fgColor rgb="FFCCFFFF"/>
        <bgColor indexed="8"/>
      </patternFill>
    </fill>
    <fill>
      <patternFill patternType="solid">
        <fgColor theme="6" tint="0.79998168889431442"/>
        <bgColor indexed="64"/>
      </patternFill>
    </fill>
  </fills>
  <borders count="2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8"/>
      </left>
      <right style="medium">
        <color rgb="FF000000"/>
      </right>
      <top style="medium">
        <color rgb="FF000000"/>
      </top>
      <bottom style="thin">
        <color indexed="8"/>
      </bottom>
      <diagonal/>
    </border>
    <border>
      <left style="thin">
        <color indexed="8"/>
      </left>
      <right style="medium">
        <color rgb="FF000000"/>
      </right>
      <top/>
      <bottom style="thin">
        <color indexed="8"/>
      </bottom>
      <diagonal/>
    </border>
    <border>
      <left style="thin">
        <color indexed="8"/>
      </left>
      <right style="medium">
        <color rgb="FF00000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rgb="FF000000"/>
      </right>
      <top style="thin">
        <color indexed="8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 style="medium">
        <color rgb="FF000000"/>
      </right>
      <top style="thin">
        <color indexed="8"/>
      </top>
      <bottom style="thin">
        <color rgb="FF000000"/>
      </bottom>
      <diagonal/>
    </border>
    <border>
      <left style="thin">
        <color indexed="8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indexed="8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</borders>
  <cellStyleXfs count="10">
    <xf numFmtId="0" fontId="0" fillId="0" borderId="0"/>
    <xf numFmtId="0" fontId="14" fillId="0" borderId="0"/>
    <xf numFmtId="9" fontId="1" fillId="0" borderId="0" applyFont="0" applyFill="0" applyBorder="0" applyAlignment="0" applyProtection="0"/>
    <xf numFmtId="0" fontId="1" fillId="0" borderId="0"/>
    <xf numFmtId="43" fontId="2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36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4" fillId="0" borderId="4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4" xfId="0" applyBorder="1" applyProtection="1">
      <protection locked="0"/>
    </xf>
    <xf numFmtId="0" fontId="4" fillId="0" borderId="6" xfId="0" applyFont="1" applyBorder="1" applyProtection="1">
      <protection locked="0"/>
    </xf>
    <xf numFmtId="0" fontId="4" fillId="0" borderId="7" xfId="0" applyFont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5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0" fillId="0" borderId="0" xfId="0" applyAlignment="1">
      <alignment horizontal="right"/>
    </xf>
    <xf numFmtId="0" fontId="11" fillId="0" borderId="0" xfId="0" applyFont="1"/>
    <xf numFmtId="0" fontId="7" fillId="0" borderId="9" xfId="0" applyFont="1" applyBorder="1"/>
    <xf numFmtId="0" fontId="12" fillId="0" borderId="9" xfId="0" applyFont="1" applyBorder="1"/>
    <xf numFmtId="0" fontId="11" fillId="0" borderId="9" xfId="0" applyFont="1" applyBorder="1"/>
    <xf numFmtId="0" fontId="6" fillId="0" borderId="0" xfId="0" applyFont="1" applyAlignment="1">
      <alignment horizontal="left"/>
    </xf>
    <xf numFmtId="0" fontId="3" fillId="0" borderId="0" xfId="0" applyFont="1"/>
    <xf numFmtId="0" fontId="4" fillId="2" borderId="3" xfId="0" applyFont="1" applyFill="1" applyBorder="1"/>
    <xf numFmtId="0" fontId="7" fillId="2" borderId="6" xfId="0" applyFont="1" applyFill="1" applyBorder="1" applyAlignment="1">
      <alignment horizontal="left"/>
    </xf>
    <xf numFmtId="0" fontId="4" fillId="2" borderId="8" xfId="0" applyFont="1" applyFill="1" applyBorder="1"/>
    <xf numFmtId="0" fontId="8" fillId="0" borderId="0" xfId="0" applyFont="1"/>
    <xf numFmtId="0" fontId="6" fillId="2" borderId="10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0" borderId="0" xfId="0" applyFont="1"/>
    <xf numFmtId="0" fontId="6" fillId="2" borderId="14" xfId="0" applyFont="1" applyFill="1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center" vertical="top"/>
    </xf>
    <xf numFmtId="0" fontId="6" fillId="2" borderId="17" xfId="0" applyFont="1" applyFill="1" applyBorder="1" applyAlignment="1">
      <alignment horizontal="center" vertical="top"/>
    </xf>
    <xf numFmtId="0" fontId="6" fillId="2" borderId="18" xfId="0" applyFont="1" applyFill="1" applyBorder="1" applyAlignment="1">
      <alignment horizontal="left"/>
    </xf>
    <xf numFmtId="0" fontId="4" fillId="2" borderId="19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13" fillId="0" borderId="0" xfId="0" applyFont="1"/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center"/>
    </xf>
    <xf numFmtId="0" fontId="6" fillId="2" borderId="2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6" fillId="2" borderId="25" xfId="0" applyFont="1" applyFill="1" applyBorder="1" applyAlignment="1">
      <alignment horizontal="center"/>
    </xf>
    <xf numFmtId="0" fontId="7" fillId="0" borderId="0" xfId="0" applyFont="1"/>
    <xf numFmtId="0" fontId="12" fillId="0" borderId="0" xfId="0" applyFont="1"/>
    <xf numFmtId="0" fontId="7" fillId="2" borderId="1" xfId="0" applyFont="1" applyFill="1" applyBorder="1" applyAlignment="1">
      <alignment horizontal="left"/>
    </xf>
    <xf numFmtId="0" fontId="4" fillId="4" borderId="27" xfId="0" applyFont="1" applyFill="1" applyBorder="1"/>
    <xf numFmtId="0" fontId="4" fillId="4" borderId="27" xfId="0" applyFont="1" applyFill="1" applyBorder="1" applyAlignment="1">
      <alignment horizontal="center"/>
    </xf>
    <xf numFmtId="0" fontId="4" fillId="4" borderId="28" xfId="0" applyFont="1" applyFill="1" applyBorder="1" applyAlignment="1">
      <alignment horizontal="center"/>
    </xf>
    <xf numFmtId="0" fontId="4" fillId="4" borderId="29" xfId="0" applyFont="1" applyFill="1" applyBorder="1"/>
    <xf numFmtId="0" fontId="4" fillId="4" borderId="29" xfId="0" applyFont="1" applyFill="1" applyBorder="1" applyAlignment="1">
      <alignment horizontal="center"/>
    </xf>
    <xf numFmtId="0" fontId="4" fillId="4" borderId="30" xfId="0" applyFont="1" applyFill="1" applyBorder="1" applyAlignment="1">
      <alignment horizontal="center"/>
    </xf>
    <xf numFmtId="0" fontId="4" fillId="4" borderId="31" xfId="0" applyFont="1" applyFill="1" applyBorder="1"/>
    <xf numFmtId="0" fontId="4" fillId="4" borderId="31" xfId="0" applyFont="1" applyFill="1" applyBorder="1" applyAlignment="1">
      <alignment horizontal="center"/>
    </xf>
    <xf numFmtId="0" fontId="4" fillId="4" borderId="32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5" fillId="0" borderId="0" xfId="0" applyFont="1"/>
    <xf numFmtId="0" fontId="4" fillId="0" borderId="27" xfId="0" applyFont="1" applyBorder="1"/>
    <xf numFmtId="0" fontId="4" fillId="0" borderId="28" xfId="0" applyFont="1" applyBorder="1" applyAlignment="1">
      <alignment horizontal="center"/>
    </xf>
    <xf numFmtId="0" fontId="4" fillId="0" borderId="29" xfId="0" applyFont="1" applyBorder="1"/>
    <xf numFmtId="0" fontId="4" fillId="0" borderId="30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5" fillId="2" borderId="34" xfId="0" applyFont="1" applyFill="1" applyBorder="1" applyAlignment="1">
      <alignment horizontal="center"/>
    </xf>
    <xf numFmtId="0" fontId="6" fillId="2" borderId="35" xfId="0" applyFont="1" applyFill="1" applyBorder="1"/>
    <xf numFmtId="0" fontId="5" fillId="2" borderId="35" xfId="0" applyFont="1" applyFill="1" applyBorder="1"/>
    <xf numFmtId="0" fontId="5" fillId="2" borderId="36" xfId="0" applyFont="1" applyFill="1" applyBorder="1"/>
    <xf numFmtId="0" fontId="2" fillId="0" borderId="0" xfId="0" applyFont="1"/>
    <xf numFmtId="0" fontId="4" fillId="4" borderId="39" xfId="0" quotePrefix="1" applyFont="1" applyFill="1" applyBorder="1" applyAlignment="1">
      <alignment horizontal="center"/>
    </xf>
    <xf numFmtId="0" fontId="4" fillId="4" borderId="40" xfId="0" applyFont="1" applyFill="1" applyBorder="1" applyAlignment="1">
      <alignment horizontal="center"/>
    </xf>
    <xf numFmtId="0" fontId="4" fillId="4" borderId="42" xfId="0" applyFont="1" applyFill="1" applyBorder="1" applyAlignment="1">
      <alignment horizontal="center"/>
    </xf>
    <xf numFmtId="0" fontId="4" fillId="4" borderId="42" xfId="0" applyFont="1" applyFill="1" applyBorder="1"/>
    <xf numFmtId="0" fontId="1" fillId="0" borderId="0" xfId="0" applyFont="1"/>
    <xf numFmtId="0" fontId="6" fillId="0" borderId="44" xfId="0" applyFont="1" applyBorder="1"/>
    <xf numFmtId="0" fontId="4" fillId="3" borderId="28" xfId="0" applyFont="1" applyFill="1" applyBorder="1" applyAlignment="1" applyProtection="1">
      <alignment horizontal="left"/>
      <protection locked="0"/>
    </xf>
    <xf numFmtId="0" fontId="4" fillId="3" borderId="30" xfId="0" applyFont="1" applyFill="1" applyBorder="1" applyAlignment="1" applyProtection="1">
      <alignment horizontal="left"/>
      <protection locked="0"/>
    </xf>
    <xf numFmtId="0" fontId="4" fillId="3" borderId="32" xfId="0" applyFont="1" applyFill="1" applyBorder="1" applyAlignment="1" applyProtection="1">
      <alignment horizontal="left"/>
      <protection locked="0"/>
    </xf>
    <xf numFmtId="0" fontId="4" fillId="5" borderId="28" xfId="0" applyFont="1" applyFill="1" applyBorder="1" applyAlignment="1" applyProtection="1">
      <alignment horizontal="left"/>
      <protection locked="0"/>
    </xf>
    <xf numFmtId="0" fontId="6" fillId="0" borderId="0" xfId="0" applyFont="1" applyAlignment="1">
      <alignment vertical="top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0" fillId="0" borderId="9" xfId="0" applyFont="1" applyBorder="1"/>
    <xf numFmtId="0" fontId="21" fillId="0" borderId="9" xfId="0" applyFont="1" applyBorder="1"/>
    <xf numFmtId="0" fontId="22" fillId="0" borderId="0" xfId="0" applyFont="1" applyAlignment="1">
      <alignment horizontal="left"/>
    </xf>
    <xf numFmtId="0" fontId="23" fillId="0" borderId="0" xfId="0" applyFont="1"/>
    <xf numFmtId="0" fontId="16" fillId="0" borderId="0" xfId="0" applyFont="1"/>
    <xf numFmtId="0" fontId="18" fillId="0" borderId="38" xfId="0" applyFont="1" applyBorder="1" applyAlignment="1">
      <alignment horizontal="center"/>
    </xf>
    <xf numFmtId="0" fontId="18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9" fontId="16" fillId="0" borderId="0" xfId="2" applyFont="1" applyFill="1" applyBorder="1" applyAlignment="1" applyProtection="1">
      <alignment horizontal="center"/>
    </xf>
    <xf numFmtId="9" fontId="18" fillId="4" borderId="0" xfId="2" applyFont="1" applyFill="1" applyBorder="1" applyAlignment="1" applyProtection="1">
      <alignment horizontal="center"/>
    </xf>
    <xf numFmtId="1" fontId="4" fillId="5" borderId="51" xfId="0" applyNumberFormat="1" applyFont="1" applyFill="1" applyBorder="1" applyAlignment="1" applyProtection="1">
      <alignment horizontal="right"/>
      <protection locked="0"/>
    </xf>
    <xf numFmtId="1" fontId="4" fillId="3" borderId="51" xfId="0" applyNumberFormat="1" applyFont="1" applyFill="1" applyBorder="1" applyAlignment="1" applyProtection="1">
      <alignment horizontal="right"/>
      <protection locked="0"/>
    </xf>
    <xf numFmtId="1" fontId="4" fillId="3" borderId="23" xfId="0" applyNumberFormat="1" applyFont="1" applyFill="1" applyBorder="1" applyAlignment="1" applyProtection="1">
      <alignment horizontal="right"/>
      <protection locked="0"/>
    </xf>
    <xf numFmtId="1" fontId="4" fillId="3" borderId="24" xfId="0" applyNumberFormat="1" applyFont="1" applyFill="1" applyBorder="1" applyAlignment="1" applyProtection="1">
      <alignment horizontal="right"/>
      <protection locked="0"/>
    </xf>
    <xf numFmtId="1" fontId="4" fillId="3" borderId="26" xfId="0" applyNumberFormat="1" applyFont="1" applyFill="1" applyBorder="1" applyAlignment="1" applyProtection="1">
      <alignment horizontal="right"/>
      <protection locked="0"/>
    </xf>
    <xf numFmtId="1" fontId="4" fillId="5" borderId="23" xfId="0" applyNumberFormat="1" applyFont="1" applyFill="1" applyBorder="1" applyAlignment="1" applyProtection="1">
      <alignment horizontal="right"/>
      <protection locked="0"/>
    </xf>
    <xf numFmtId="2" fontId="16" fillId="6" borderId="23" xfId="2" applyNumberFormat="1" applyFont="1" applyFill="1" applyBorder="1" applyAlignment="1" applyProtection="1">
      <alignment horizontal="right"/>
    </xf>
    <xf numFmtId="2" fontId="16" fillId="6" borderId="24" xfId="2" applyNumberFormat="1" applyFont="1" applyFill="1" applyBorder="1" applyAlignment="1" applyProtection="1">
      <alignment horizontal="right"/>
    </xf>
    <xf numFmtId="2" fontId="16" fillId="6" borderId="26" xfId="2" applyNumberFormat="1" applyFont="1" applyFill="1" applyBorder="1" applyAlignment="1" applyProtection="1">
      <alignment horizontal="right"/>
    </xf>
    <xf numFmtId="164" fontId="16" fillId="6" borderId="27" xfId="2" applyNumberFormat="1" applyFont="1" applyFill="1" applyBorder="1" applyAlignment="1" applyProtection="1">
      <alignment horizontal="right"/>
    </xf>
    <xf numFmtId="164" fontId="16" fillId="6" borderId="29" xfId="2" applyNumberFormat="1" applyFont="1" applyFill="1" applyBorder="1" applyAlignment="1" applyProtection="1">
      <alignment horizontal="right"/>
    </xf>
    <xf numFmtId="164" fontId="16" fillId="6" borderId="31" xfId="2" applyNumberFormat="1" applyFont="1" applyFill="1" applyBorder="1" applyAlignment="1" applyProtection="1">
      <alignment horizontal="right"/>
    </xf>
    <xf numFmtId="2" fontId="16" fillId="6" borderId="56" xfId="2" applyNumberFormat="1" applyFont="1" applyFill="1" applyBorder="1" applyAlignment="1" applyProtection="1">
      <alignment horizontal="right"/>
    </xf>
    <xf numFmtId="164" fontId="16" fillId="6" borderId="57" xfId="2" applyNumberFormat="1" applyFont="1" applyFill="1" applyBorder="1" applyAlignment="1" applyProtection="1">
      <alignment horizontal="right"/>
    </xf>
    <xf numFmtId="0" fontId="4" fillId="0" borderId="42" xfId="0" applyFont="1" applyBorder="1"/>
    <xf numFmtId="0" fontId="4" fillId="0" borderId="27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1" fontId="4" fillId="5" borderId="52" xfId="0" applyNumberFormat="1" applyFont="1" applyFill="1" applyBorder="1" applyAlignment="1" applyProtection="1">
      <alignment horizontal="right"/>
      <protection locked="0"/>
    </xf>
    <xf numFmtId="0" fontId="4" fillId="4" borderId="68" xfId="0" applyFont="1" applyFill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68" xfId="0" applyFont="1" applyBorder="1" applyAlignment="1">
      <alignment horizontal="center"/>
    </xf>
    <xf numFmtId="0" fontId="4" fillId="0" borderId="57" xfId="0" applyFont="1" applyBorder="1"/>
    <xf numFmtId="0" fontId="4" fillId="0" borderId="57" xfId="0" applyFont="1" applyBorder="1" applyAlignment="1">
      <alignment horizontal="center"/>
    </xf>
    <xf numFmtId="0" fontId="4" fillId="0" borderId="58" xfId="0" applyFont="1" applyBorder="1" applyAlignment="1">
      <alignment horizontal="center"/>
    </xf>
    <xf numFmtId="1" fontId="4" fillId="7" borderId="26" xfId="0" applyNumberFormat="1" applyFont="1" applyFill="1" applyBorder="1" applyAlignment="1">
      <alignment horizontal="right"/>
    </xf>
    <xf numFmtId="0" fontId="4" fillId="5" borderId="32" xfId="0" applyFont="1" applyFill="1" applyBorder="1" applyAlignment="1" applyProtection="1">
      <alignment horizontal="left"/>
      <protection locked="0"/>
    </xf>
    <xf numFmtId="0" fontId="4" fillId="5" borderId="30" xfId="0" applyFont="1" applyFill="1" applyBorder="1" applyAlignment="1" applyProtection="1">
      <alignment horizontal="left"/>
      <protection locked="0"/>
    </xf>
    <xf numFmtId="0" fontId="4" fillId="0" borderId="31" xfId="0" applyFont="1" applyBorder="1"/>
    <xf numFmtId="0" fontId="4" fillId="0" borderId="31" xfId="0" applyFont="1" applyBorder="1" applyAlignment="1">
      <alignment horizontal="center"/>
    </xf>
    <xf numFmtId="0" fontId="4" fillId="0" borderId="39" xfId="0" applyFont="1" applyBorder="1"/>
    <xf numFmtId="0" fontId="4" fillId="0" borderId="39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0" fontId="4" fillId="5" borderId="40" xfId="0" applyFont="1" applyFill="1" applyBorder="1" applyAlignment="1" applyProtection="1">
      <alignment horizontal="left"/>
      <protection locked="0"/>
    </xf>
    <xf numFmtId="0" fontId="17" fillId="2" borderId="34" xfId="0" applyFont="1" applyFill="1" applyBorder="1" applyAlignment="1">
      <alignment horizontal="center" vertical="center"/>
    </xf>
    <xf numFmtId="0" fontId="17" fillId="2" borderId="35" xfId="0" applyFont="1" applyFill="1" applyBorder="1" applyAlignment="1">
      <alignment horizontal="left" vertical="center"/>
    </xf>
    <xf numFmtId="0" fontId="1" fillId="2" borderId="35" xfId="0" applyFont="1" applyFill="1" applyBorder="1" applyAlignment="1">
      <alignment vertical="center"/>
    </xf>
    <xf numFmtId="0" fontId="1" fillId="2" borderId="36" xfId="0" applyFont="1" applyFill="1" applyBorder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29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2" borderId="5" xfId="0" applyFont="1" applyFill="1" applyBorder="1" applyAlignment="1">
      <alignment vertical="center"/>
    </xf>
    <xf numFmtId="1" fontId="4" fillId="5" borderId="24" xfId="0" applyNumberFormat="1" applyFont="1" applyFill="1" applyBorder="1" applyAlignment="1" applyProtection="1">
      <alignment horizontal="right"/>
      <protection locked="0"/>
    </xf>
    <xf numFmtId="1" fontId="4" fillId="8" borderId="23" xfId="0" applyNumberFormat="1" applyFont="1" applyFill="1" applyBorder="1" applyAlignment="1" applyProtection="1">
      <alignment horizontal="right"/>
      <protection locked="0"/>
    </xf>
    <xf numFmtId="0" fontId="6" fillId="2" borderId="72" xfId="0" applyFont="1" applyFill="1" applyBorder="1" applyAlignment="1">
      <alignment horizontal="left"/>
    </xf>
    <xf numFmtId="0" fontId="4" fillId="2" borderId="73" xfId="0" applyFont="1" applyFill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12" fillId="0" borderId="74" xfId="0" applyFont="1" applyBorder="1"/>
    <xf numFmtId="0" fontId="11" fillId="0" borderId="74" xfId="0" applyFont="1" applyBorder="1"/>
    <xf numFmtId="0" fontId="7" fillId="2" borderId="1" xfId="0" applyFont="1" applyFill="1" applyBorder="1"/>
    <xf numFmtId="0" fontId="4" fillId="2" borderId="2" xfId="0" applyFont="1" applyFill="1" applyBorder="1"/>
    <xf numFmtId="0" fontId="4" fillId="2" borderId="7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3" xfId="0" applyFont="1" applyFill="1" applyBorder="1"/>
    <xf numFmtId="0" fontId="16" fillId="0" borderId="38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wrapText="1"/>
    </xf>
    <xf numFmtId="0" fontId="4" fillId="0" borderId="38" xfId="0" applyFont="1" applyBorder="1" applyAlignment="1">
      <alignment horizontal="center"/>
    </xf>
    <xf numFmtId="0" fontId="0" fillId="0" borderId="9" xfId="0" applyBorder="1"/>
    <xf numFmtId="0" fontId="4" fillId="0" borderId="24" xfId="0" applyFont="1" applyBorder="1" applyAlignment="1">
      <alignment horizontal="center" vertical="center"/>
    </xf>
    <xf numFmtId="0" fontId="4" fillId="0" borderId="29" xfId="0" applyFont="1" applyBorder="1" applyAlignment="1">
      <alignment wrapText="1"/>
    </xf>
    <xf numFmtId="0" fontId="4" fillId="0" borderId="31" xfId="0" applyFont="1" applyBorder="1" applyAlignment="1">
      <alignment wrapText="1"/>
    </xf>
    <xf numFmtId="0" fontId="16" fillId="0" borderId="29" xfId="0" applyFont="1" applyBorder="1"/>
    <xf numFmtId="0" fontId="17" fillId="0" borderId="0" xfId="0" applyFont="1"/>
    <xf numFmtId="0" fontId="13" fillId="0" borderId="0" xfId="0" applyFont="1" applyAlignment="1">
      <alignment horizontal="left"/>
    </xf>
    <xf numFmtId="0" fontId="27" fillId="0" borderId="0" xfId="0" applyFont="1"/>
    <xf numFmtId="0" fontId="4" fillId="5" borderId="88" xfId="0" applyFont="1" applyFill="1" applyBorder="1" applyAlignment="1" applyProtection="1">
      <alignment horizontal="left"/>
      <protection locked="0"/>
    </xf>
    <xf numFmtId="0" fontId="4" fillId="5" borderId="89" xfId="0" applyFont="1" applyFill="1" applyBorder="1" applyAlignment="1" applyProtection="1">
      <alignment horizontal="left"/>
      <protection locked="0"/>
    </xf>
    <xf numFmtId="0" fontId="4" fillId="5" borderId="90" xfId="0" applyFont="1" applyFill="1" applyBorder="1" applyAlignment="1" applyProtection="1">
      <alignment horizontal="left"/>
      <protection locked="0"/>
    </xf>
    <xf numFmtId="0" fontId="4" fillId="5" borderId="91" xfId="0" applyFont="1" applyFill="1" applyBorder="1" applyAlignment="1" applyProtection="1">
      <alignment horizontal="left"/>
      <protection locked="0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74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16" fillId="4" borderId="39" xfId="0" applyFont="1" applyFill="1" applyBorder="1"/>
    <xf numFmtId="0" fontId="29" fillId="0" borderId="0" xfId="0" applyFont="1"/>
    <xf numFmtId="0" fontId="28" fillId="0" borderId="0" xfId="0" applyFont="1"/>
    <xf numFmtId="0" fontId="11" fillId="0" borderId="0" xfId="3" applyFont="1"/>
    <xf numFmtId="0" fontId="1" fillId="0" borderId="0" xfId="3"/>
    <xf numFmtId="0" fontId="4" fillId="0" borderId="0" xfId="3" applyFont="1"/>
    <xf numFmtId="0" fontId="8" fillId="0" borderId="0" xfId="3" applyFont="1"/>
    <xf numFmtId="0" fontId="5" fillId="0" borderId="0" xfId="3" applyFont="1"/>
    <xf numFmtId="0" fontId="4" fillId="0" borderId="1" xfId="3" applyFont="1" applyBorder="1" applyProtection="1">
      <protection locked="0"/>
    </xf>
    <xf numFmtId="0" fontId="4" fillId="0" borderId="2" xfId="3" applyFont="1" applyBorder="1" applyProtection="1">
      <protection locked="0"/>
    </xf>
    <xf numFmtId="0" fontId="4" fillId="0" borderId="6" xfId="3" applyFont="1" applyBorder="1" applyProtection="1">
      <protection locked="0"/>
    </xf>
    <xf numFmtId="0" fontId="4" fillId="0" borderId="7" xfId="3" applyFont="1" applyBorder="1" applyProtection="1">
      <protection locked="0"/>
    </xf>
    <xf numFmtId="0" fontId="4" fillId="0" borderId="27" xfId="0" applyFont="1" applyBorder="1" applyAlignment="1">
      <alignment wrapText="1"/>
    </xf>
    <xf numFmtId="0" fontId="1" fillId="0" borderId="29" xfId="0" applyFont="1" applyBorder="1" applyAlignment="1">
      <alignment vertical="center"/>
    </xf>
    <xf numFmtId="0" fontId="4" fillId="0" borderId="27" xfId="0" quotePrefix="1" applyFont="1" applyBorder="1" applyAlignment="1">
      <alignment horizontal="center"/>
    </xf>
    <xf numFmtId="0" fontId="1" fillId="0" borderId="8" xfId="3" applyBorder="1" applyProtection="1">
      <protection locked="0"/>
    </xf>
    <xf numFmtId="0" fontId="1" fillId="0" borderId="7" xfId="3" applyBorder="1" applyProtection="1">
      <protection locked="0"/>
    </xf>
    <xf numFmtId="0" fontId="1" fillId="0" borderId="5" xfId="3" applyBorder="1" applyProtection="1">
      <protection locked="0"/>
    </xf>
    <xf numFmtId="0" fontId="1" fillId="0" borderId="0" xfId="3" applyProtection="1">
      <protection locked="0"/>
    </xf>
    <xf numFmtId="0" fontId="4" fillId="0" borderId="0" xfId="3" applyFont="1" applyProtection="1">
      <protection locked="0"/>
    </xf>
    <xf numFmtId="0" fontId="4" fillId="0" borderId="4" xfId="3" applyFont="1" applyBorder="1" applyProtection="1">
      <protection locked="0"/>
    </xf>
    <xf numFmtId="0" fontId="1" fillId="0" borderId="3" xfId="3" applyBorder="1" applyProtection="1">
      <protection locked="0"/>
    </xf>
    <xf numFmtId="0" fontId="1" fillId="0" borderId="2" xfId="3" applyBorder="1" applyProtection="1">
      <protection locked="0"/>
    </xf>
    <xf numFmtId="0" fontId="13" fillId="0" borderId="0" xfId="3" applyFont="1"/>
    <xf numFmtId="0" fontId="4" fillId="0" borderId="0" xfId="3" applyFont="1" applyAlignment="1">
      <alignment horizontal="center"/>
    </xf>
    <xf numFmtId="0" fontId="5" fillId="2" borderId="3" xfId="3" applyFont="1" applyFill="1" applyBorder="1"/>
    <xf numFmtId="0" fontId="5" fillId="2" borderId="2" xfId="3" applyFont="1" applyFill="1" applyBorder="1"/>
    <xf numFmtId="0" fontId="6" fillId="2" borderId="2" xfId="3" applyFont="1" applyFill="1" applyBorder="1"/>
    <xf numFmtId="0" fontId="5" fillId="2" borderId="1" xfId="3" applyFont="1" applyFill="1" applyBorder="1" applyAlignment="1">
      <alignment horizontal="center"/>
    </xf>
    <xf numFmtId="0" fontId="4" fillId="0" borderId="0" xfId="3" applyFont="1" applyAlignment="1">
      <alignment horizontal="left"/>
    </xf>
    <xf numFmtId="0" fontId="6" fillId="0" borderId="0" xfId="3" applyFont="1"/>
    <xf numFmtId="0" fontId="6" fillId="2" borderId="21" xfId="3" applyFont="1" applyFill="1" applyBorder="1" applyAlignment="1">
      <alignment horizontal="center"/>
    </xf>
    <xf numFmtId="0" fontId="6" fillId="2" borderId="20" xfId="3" applyFont="1" applyFill="1" applyBorder="1" applyAlignment="1">
      <alignment horizontal="center"/>
    </xf>
    <xf numFmtId="0" fontId="4" fillId="2" borderId="19" xfId="3" applyFont="1" applyFill="1" applyBorder="1" applyAlignment="1">
      <alignment horizontal="center"/>
    </xf>
    <xf numFmtId="0" fontId="6" fillId="2" borderId="18" xfId="3" applyFont="1" applyFill="1" applyBorder="1" applyAlignment="1">
      <alignment horizontal="left"/>
    </xf>
    <xf numFmtId="0" fontId="6" fillId="0" borderId="0" xfId="3" applyFont="1" applyAlignment="1">
      <alignment vertical="top"/>
    </xf>
    <xf numFmtId="0" fontId="6" fillId="2" borderId="17" xfId="3" applyFont="1" applyFill="1" applyBorder="1" applyAlignment="1">
      <alignment horizontal="center" vertical="top"/>
    </xf>
    <xf numFmtId="0" fontId="6" fillId="2" borderId="16" xfId="3" applyFont="1" applyFill="1" applyBorder="1" applyAlignment="1">
      <alignment horizontal="center" vertical="top"/>
    </xf>
    <xf numFmtId="0" fontId="6" fillId="2" borderId="15" xfId="3" applyFont="1" applyFill="1" applyBorder="1" applyAlignment="1">
      <alignment horizontal="left"/>
    </xf>
    <xf numFmtId="0" fontId="6" fillId="2" borderId="14" xfId="3" applyFont="1" applyFill="1" applyBorder="1" applyAlignment="1">
      <alignment horizontal="left"/>
    </xf>
    <xf numFmtId="0" fontId="6" fillId="2" borderId="13" xfId="3" applyFont="1" applyFill="1" applyBorder="1" applyAlignment="1">
      <alignment horizontal="center"/>
    </xf>
    <xf numFmtId="0" fontId="6" fillId="2" borderId="12" xfId="3" applyFont="1" applyFill="1" applyBorder="1" applyAlignment="1">
      <alignment horizontal="center"/>
    </xf>
    <xf numFmtId="0" fontId="6" fillId="2" borderId="11" xfId="3" applyFont="1" applyFill="1" applyBorder="1" applyAlignment="1">
      <alignment horizontal="left"/>
    </xf>
    <xf numFmtId="0" fontId="6" fillId="2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2" borderId="8" xfId="3" applyFont="1" applyFill="1" applyBorder="1"/>
    <xf numFmtId="0" fontId="7" fillId="2" borderId="6" xfId="3" applyFont="1" applyFill="1" applyBorder="1" applyAlignment="1">
      <alignment horizontal="left"/>
    </xf>
    <xf numFmtId="0" fontId="4" fillId="2" borderId="3" xfId="3" applyFont="1" applyFill="1" applyBorder="1"/>
    <xf numFmtId="0" fontId="7" fillId="2" borderId="1" xfId="3" applyFont="1" applyFill="1" applyBorder="1" applyAlignment="1">
      <alignment horizontal="left"/>
    </xf>
    <xf numFmtId="0" fontId="11" fillId="0" borderId="9" xfId="3" applyFont="1" applyBorder="1"/>
    <xf numFmtId="0" fontId="7" fillId="0" borderId="9" xfId="3" applyFont="1" applyBorder="1"/>
    <xf numFmtId="0" fontId="7" fillId="0" borderId="0" xfId="3" applyFont="1"/>
    <xf numFmtId="0" fontId="5" fillId="2" borderId="99" xfId="0" applyFont="1" applyFill="1" applyBorder="1"/>
    <xf numFmtId="0" fontId="4" fillId="0" borderId="29" xfId="0" quotePrefix="1" applyFont="1" applyBorder="1" applyAlignment="1">
      <alignment horizontal="center"/>
    </xf>
    <xf numFmtId="0" fontId="5" fillId="2" borderId="38" xfId="0" applyFont="1" applyFill="1" applyBorder="1"/>
    <xf numFmtId="0" fontId="5" fillId="2" borderId="39" xfId="0" applyFont="1" applyFill="1" applyBorder="1"/>
    <xf numFmtId="0" fontId="5" fillId="2" borderId="40" xfId="0" applyFont="1" applyFill="1" applyBorder="1"/>
    <xf numFmtId="0" fontId="18" fillId="2" borderId="99" xfId="0" applyFont="1" applyFill="1" applyBorder="1" applyAlignment="1">
      <alignment horizontal="center"/>
    </xf>
    <xf numFmtId="0" fontId="4" fillId="11" borderId="100" xfId="0" applyFont="1" applyFill="1" applyBorder="1" applyAlignment="1">
      <alignment horizontal="center"/>
    </xf>
    <xf numFmtId="0" fontId="0" fillId="11" borderId="100" xfId="0" applyFill="1" applyBorder="1" applyAlignment="1">
      <alignment horizontal="center"/>
    </xf>
    <xf numFmtId="2" fontId="0" fillId="11" borderId="100" xfId="0" applyNumberFormat="1" applyFill="1" applyBorder="1" applyAlignment="1">
      <alignment horizontal="center"/>
    </xf>
    <xf numFmtId="0" fontId="4" fillId="11" borderId="101" xfId="0" applyFont="1" applyFill="1" applyBorder="1" applyAlignment="1">
      <alignment horizontal="center"/>
    </xf>
    <xf numFmtId="0" fontId="0" fillId="11" borderId="101" xfId="0" applyFill="1" applyBorder="1" applyAlignment="1">
      <alignment horizontal="center"/>
    </xf>
    <xf numFmtId="2" fontId="0" fillId="11" borderId="101" xfId="0" applyNumberFormat="1" applyFill="1" applyBorder="1" applyAlignment="1">
      <alignment horizontal="center"/>
    </xf>
    <xf numFmtId="0" fontId="4" fillId="11" borderId="102" xfId="0" applyFont="1" applyFill="1" applyBorder="1" applyAlignment="1">
      <alignment horizontal="center"/>
    </xf>
    <xf numFmtId="2" fontId="4" fillId="11" borderId="102" xfId="0" applyNumberFormat="1" applyFont="1" applyFill="1" applyBorder="1" applyAlignment="1">
      <alignment horizontal="center"/>
    </xf>
    <xf numFmtId="9" fontId="0" fillId="11" borderId="101" xfId="0" applyNumberFormat="1" applyFill="1" applyBorder="1" applyAlignment="1">
      <alignment horizontal="center"/>
    </xf>
    <xf numFmtId="0" fontId="1" fillId="11" borderId="102" xfId="0" applyFont="1" applyFill="1" applyBorder="1" applyAlignment="1">
      <alignment horizontal="center"/>
    </xf>
    <xf numFmtId="0" fontId="0" fillId="11" borderId="102" xfId="0" applyFill="1" applyBorder="1" applyAlignment="1">
      <alignment horizontal="center"/>
    </xf>
    <xf numFmtId="2" fontId="0" fillId="11" borderId="102" xfId="0" applyNumberFormat="1" applyFill="1" applyBorder="1" applyAlignment="1">
      <alignment horizontal="center"/>
    </xf>
    <xf numFmtId="0" fontId="4" fillId="3" borderId="85" xfId="0" applyFont="1" applyFill="1" applyBorder="1" applyAlignment="1" applyProtection="1">
      <alignment horizontal="left"/>
      <protection locked="0"/>
    </xf>
    <xf numFmtId="2" fontId="1" fillId="0" borderId="0" xfId="0" applyNumberFormat="1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0" fontId="4" fillId="0" borderId="29" xfId="3" applyFont="1" applyBorder="1" applyAlignment="1">
      <alignment horizontal="center"/>
    </xf>
    <xf numFmtId="0" fontId="1" fillId="0" borderId="31" xfId="0" applyFont="1" applyBorder="1" applyAlignment="1">
      <alignment vertical="center"/>
    </xf>
    <xf numFmtId="0" fontId="4" fillId="0" borderId="60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4" fillId="0" borderId="24" xfId="3" applyFont="1" applyBorder="1" applyAlignment="1">
      <alignment horizontal="center"/>
    </xf>
    <xf numFmtId="0" fontId="4" fillId="0" borderId="29" xfId="3" applyFont="1" applyBorder="1" applyAlignment="1">
      <alignment wrapText="1"/>
    </xf>
    <xf numFmtId="0" fontId="4" fillId="0" borderId="30" xfId="3" applyFont="1" applyBorder="1" applyAlignment="1">
      <alignment horizontal="center"/>
    </xf>
    <xf numFmtId="0" fontId="4" fillId="5" borderId="28" xfId="3" applyFont="1" applyFill="1" applyBorder="1" applyAlignment="1" applyProtection="1">
      <alignment horizontal="left"/>
      <protection locked="0"/>
    </xf>
    <xf numFmtId="10" fontId="4" fillId="0" borderId="0" xfId="3" applyNumberFormat="1" applyFont="1"/>
    <xf numFmtId="0" fontId="4" fillId="5" borderId="30" xfId="3" applyFont="1" applyFill="1" applyBorder="1" applyAlignment="1" applyProtection="1">
      <alignment horizontal="left"/>
      <protection locked="0"/>
    </xf>
    <xf numFmtId="0" fontId="4" fillId="0" borderId="58" xfId="3" applyFont="1" applyBorder="1" applyAlignment="1">
      <alignment horizontal="center"/>
    </xf>
    <xf numFmtId="0" fontId="4" fillId="3" borderId="30" xfId="3" applyFont="1" applyFill="1" applyBorder="1" applyAlignment="1" applyProtection="1">
      <alignment horizontal="left"/>
      <protection locked="0"/>
    </xf>
    <xf numFmtId="0" fontId="4" fillId="0" borderId="57" xfId="3" applyFont="1" applyBorder="1" applyAlignment="1">
      <alignment wrapText="1"/>
    </xf>
    <xf numFmtId="0" fontId="4" fillId="0" borderId="80" xfId="3" applyFont="1" applyBorder="1" applyAlignment="1">
      <alignment horizontal="center"/>
    </xf>
    <xf numFmtId="0" fontId="4" fillId="0" borderId="57" xfId="3" applyFont="1" applyBorder="1" applyAlignment="1">
      <alignment horizontal="center"/>
    </xf>
    <xf numFmtId="0" fontId="4" fillId="0" borderId="26" xfId="3" applyFont="1" applyBorder="1" applyAlignment="1">
      <alignment horizontal="center"/>
    </xf>
    <xf numFmtId="0" fontId="4" fillId="0" borderId="79" xfId="3" applyFont="1" applyBorder="1" applyAlignment="1">
      <alignment wrapText="1"/>
    </xf>
    <xf numFmtId="0" fontId="4" fillId="0" borderId="31" xfId="3" applyFont="1" applyBorder="1" applyAlignment="1">
      <alignment horizontal="center"/>
    </xf>
    <xf numFmtId="0" fontId="4" fillId="0" borderId="81" xfId="3" applyFont="1" applyBorder="1" applyAlignment="1">
      <alignment horizontal="center"/>
    </xf>
    <xf numFmtId="0" fontId="4" fillId="0" borderId="4" xfId="3" applyFont="1" applyBorder="1" applyAlignment="1">
      <alignment horizontal="center"/>
    </xf>
    <xf numFmtId="0" fontId="4" fillId="0" borderId="0" xfId="3" applyFont="1" applyAlignment="1">
      <alignment wrapText="1"/>
    </xf>
    <xf numFmtId="165" fontId="4" fillId="0" borderId="0" xfId="3" applyNumberFormat="1" applyFont="1" applyAlignment="1">
      <alignment horizontal="center"/>
    </xf>
    <xf numFmtId="165" fontId="4" fillId="3" borderId="23" xfId="7" applyNumberFormat="1" applyFont="1" applyFill="1" applyBorder="1" applyAlignment="1" applyProtection="1">
      <alignment horizontal="right"/>
      <protection locked="0"/>
    </xf>
    <xf numFmtId="0" fontId="4" fillId="3" borderId="28" xfId="3" applyFont="1" applyFill="1" applyBorder="1" applyAlignment="1" applyProtection="1">
      <alignment horizontal="left"/>
      <protection locked="0"/>
    </xf>
    <xf numFmtId="165" fontId="4" fillId="3" borderId="24" xfId="7" applyNumberFormat="1" applyFont="1" applyFill="1" applyBorder="1" applyAlignment="1" applyProtection="1">
      <alignment horizontal="right"/>
      <protection locked="0"/>
    </xf>
    <xf numFmtId="3" fontId="4" fillId="0" borderId="0" xfId="3" applyNumberFormat="1" applyFont="1" applyAlignment="1">
      <alignment horizontal="center"/>
    </xf>
    <xf numFmtId="3" fontId="4" fillId="3" borderId="23" xfId="7" applyNumberFormat="1" applyFont="1" applyFill="1" applyBorder="1" applyAlignment="1" applyProtection="1">
      <alignment horizontal="right"/>
      <protection locked="0"/>
    </xf>
    <xf numFmtId="3" fontId="4" fillId="3" borderId="24" xfId="7" applyNumberFormat="1" applyFont="1" applyFill="1" applyBorder="1" applyAlignment="1" applyProtection="1">
      <alignment horizontal="right"/>
      <protection locked="0"/>
    </xf>
    <xf numFmtId="3" fontId="4" fillId="3" borderId="86" xfId="3" applyNumberFormat="1" applyFont="1" applyFill="1" applyBorder="1" applyAlignment="1" applyProtection="1">
      <alignment horizontal="right"/>
      <protection locked="0"/>
    </xf>
    <xf numFmtId="0" fontId="4" fillId="5" borderId="91" xfId="3" applyFont="1" applyFill="1" applyBorder="1" applyAlignment="1" applyProtection="1">
      <alignment horizontal="left"/>
      <protection locked="0"/>
    </xf>
    <xf numFmtId="1" fontId="4" fillId="3" borderId="24" xfId="7" applyNumberFormat="1" applyFont="1" applyFill="1" applyBorder="1" applyAlignment="1" applyProtection="1">
      <alignment horizontal="right"/>
      <protection locked="0"/>
    </xf>
    <xf numFmtId="43" fontId="4" fillId="3" borderId="23" xfId="7" applyFont="1" applyFill="1" applyBorder="1" applyAlignment="1" applyProtection="1">
      <alignment horizontal="right"/>
      <protection locked="0"/>
    </xf>
    <xf numFmtId="166" fontId="4" fillId="8" borderId="24" xfId="7" applyNumberFormat="1" applyFont="1" applyFill="1" applyBorder="1" applyAlignment="1" applyProtection="1">
      <alignment horizontal="right"/>
      <protection locked="0"/>
    </xf>
    <xf numFmtId="2" fontId="4" fillId="8" borderId="24" xfId="7" applyNumberFormat="1" applyFont="1" applyFill="1" applyBorder="1" applyAlignment="1" applyProtection="1">
      <alignment horizontal="right"/>
      <protection locked="0"/>
    </xf>
    <xf numFmtId="2" fontId="4" fillId="5" borderId="109" xfId="3" applyNumberFormat="1" applyFont="1" applyFill="1" applyBorder="1" applyAlignment="1" applyProtection="1">
      <alignment horizontal="right"/>
      <protection locked="0"/>
    </xf>
    <xf numFmtId="10" fontId="4" fillId="0" borderId="0" xfId="3" applyNumberFormat="1" applyFont="1" applyAlignment="1">
      <alignment horizontal="center"/>
    </xf>
    <xf numFmtId="0" fontId="4" fillId="0" borderId="0" xfId="3" quotePrefix="1" applyFont="1" applyAlignment="1">
      <alignment horizontal="center"/>
    </xf>
    <xf numFmtId="0" fontId="4" fillId="13" borderId="105" xfId="0" applyFont="1" applyFill="1" applyBorder="1"/>
    <xf numFmtId="0" fontId="4" fillId="13" borderId="95" xfId="0" applyFont="1" applyFill="1" applyBorder="1"/>
    <xf numFmtId="167" fontId="4" fillId="13" borderId="49" xfId="0" applyNumberFormat="1" applyFont="1" applyFill="1" applyBorder="1"/>
    <xf numFmtId="0" fontId="4" fillId="13" borderId="8" xfId="0" applyFont="1" applyFill="1" applyBorder="1"/>
    <xf numFmtId="0" fontId="4" fillId="13" borderId="96" xfId="0" applyFont="1" applyFill="1" applyBorder="1"/>
    <xf numFmtId="167" fontId="4" fillId="3" borderId="24" xfId="0" applyNumberFormat="1" applyFont="1" applyFill="1" applyBorder="1" applyAlignment="1" applyProtection="1">
      <alignment horizontal="right"/>
      <protection locked="0"/>
    </xf>
    <xf numFmtId="167" fontId="4" fillId="13" borderId="24" xfId="0" applyNumberFormat="1" applyFont="1" applyFill="1" applyBorder="1"/>
    <xf numFmtId="167" fontId="4" fillId="13" borderId="26" xfId="0" applyNumberFormat="1" applyFont="1" applyFill="1" applyBorder="1"/>
    <xf numFmtId="0" fontId="4" fillId="13" borderId="81" xfId="0" applyFont="1" applyFill="1" applyBorder="1"/>
    <xf numFmtId="0" fontId="4" fillId="13" borderId="28" xfId="0" applyFont="1" applyFill="1" applyBorder="1"/>
    <xf numFmtId="0" fontId="4" fillId="13" borderId="30" xfId="0" applyFont="1" applyFill="1" applyBorder="1"/>
    <xf numFmtId="0" fontId="4" fillId="13" borderId="32" xfId="0" applyFont="1" applyFill="1" applyBorder="1"/>
    <xf numFmtId="0" fontId="6" fillId="2" borderId="115" xfId="0" applyFont="1" applyFill="1" applyBorder="1" applyAlignment="1">
      <alignment vertical="center" wrapText="1"/>
    </xf>
    <xf numFmtId="0" fontId="4" fillId="0" borderId="116" xfId="0" applyFont="1" applyBorder="1"/>
    <xf numFmtId="0" fontId="4" fillId="0" borderId="116" xfId="0" applyFont="1" applyBorder="1" applyAlignment="1">
      <alignment horizontal="center"/>
    </xf>
    <xf numFmtId="0" fontId="4" fillId="0" borderId="118" xfId="0" applyFont="1" applyBorder="1"/>
    <xf numFmtId="0" fontId="4" fillId="0" borderId="118" xfId="0" applyFont="1" applyBorder="1" applyAlignment="1">
      <alignment horizontal="center"/>
    </xf>
    <xf numFmtId="0" fontId="4" fillId="0" borderId="123" xfId="0" applyFont="1" applyBorder="1"/>
    <xf numFmtId="0" fontId="4" fillId="0" borderId="123" xfId="0" applyFont="1" applyBorder="1" applyAlignment="1">
      <alignment horizontal="center"/>
    </xf>
    <xf numFmtId="0" fontId="5" fillId="2" borderId="124" xfId="0" applyFont="1" applyFill="1" applyBorder="1" applyAlignment="1">
      <alignment horizontal="center"/>
    </xf>
    <xf numFmtId="0" fontId="6" fillId="2" borderId="125" xfId="0" applyFont="1" applyFill="1" applyBorder="1"/>
    <xf numFmtId="0" fontId="5" fillId="2" borderId="125" xfId="0" applyFont="1" applyFill="1" applyBorder="1"/>
    <xf numFmtId="0" fontId="5" fillId="2" borderId="126" xfId="0" applyFont="1" applyFill="1" applyBorder="1"/>
    <xf numFmtId="0" fontId="31" fillId="0" borderId="0" xfId="0" applyFont="1"/>
    <xf numFmtId="0" fontId="4" fillId="0" borderId="54" xfId="0" applyFont="1" applyBorder="1"/>
    <xf numFmtId="1" fontId="4" fillId="5" borderId="82" xfId="0" applyNumberFormat="1" applyFont="1" applyFill="1" applyBorder="1" applyAlignment="1" applyProtection="1">
      <alignment horizontal="right"/>
      <protection locked="0"/>
    </xf>
    <xf numFmtId="0" fontId="4" fillId="5" borderId="83" xfId="0" applyFont="1" applyFill="1" applyBorder="1" applyAlignment="1" applyProtection="1">
      <alignment horizontal="left"/>
      <protection locked="0"/>
    </xf>
    <xf numFmtId="1" fontId="4" fillId="5" borderId="84" xfId="0" applyNumberFormat="1" applyFont="1" applyFill="1" applyBorder="1" applyAlignment="1" applyProtection="1">
      <alignment horizontal="right"/>
      <protection locked="0"/>
    </xf>
    <xf numFmtId="0" fontId="4" fillId="5" borderId="85" xfId="0" applyFont="1" applyFill="1" applyBorder="1" applyAlignment="1" applyProtection="1">
      <alignment horizontal="left"/>
      <protection locked="0"/>
    </xf>
    <xf numFmtId="1" fontId="4" fillId="5" borderId="128" xfId="0" applyNumberFormat="1" applyFont="1" applyFill="1" applyBorder="1" applyAlignment="1" applyProtection="1">
      <alignment horizontal="right"/>
      <protection locked="0"/>
    </xf>
    <xf numFmtId="0" fontId="4" fillId="0" borderId="119" xfId="0" applyFont="1" applyBorder="1" applyAlignment="1">
      <alignment horizontal="center"/>
    </xf>
    <xf numFmtId="0" fontId="4" fillId="0" borderId="121" xfId="0" applyFont="1" applyBorder="1" applyAlignment="1">
      <alignment horizontal="center"/>
    </xf>
    <xf numFmtId="0" fontId="4" fillId="0" borderId="114" xfId="0" applyFont="1" applyBorder="1" applyAlignment="1">
      <alignment horizontal="center"/>
    </xf>
    <xf numFmtId="0" fontId="6" fillId="2" borderId="129" xfId="0" applyFont="1" applyFill="1" applyBorder="1"/>
    <xf numFmtId="0" fontId="5" fillId="2" borderId="129" xfId="0" applyFont="1" applyFill="1" applyBorder="1"/>
    <xf numFmtId="0" fontId="5" fillId="2" borderId="98" xfId="0" applyFont="1" applyFill="1" applyBorder="1"/>
    <xf numFmtId="0" fontId="4" fillId="0" borderId="84" xfId="0" applyFont="1" applyBorder="1" applyAlignment="1">
      <alignment horizontal="center"/>
    </xf>
    <xf numFmtId="0" fontId="4" fillId="0" borderId="85" xfId="0" applyFont="1" applyBorder="1" applyAlignment="1">
      <alignment horizontal="center"/>
    </xf>
    <xf numFmtId="0" fontId="4" fillId="0" borderId="130" xfId="0" applyFont="1" applyBorder="1" applyAlignment="1">
      <alignment horizontal="center"/>
    </xf>
    <xf numFmtId="0" fontId="4" fillId="0" borderId="131" xfId="0" applyFont="1" applyBorder="1" applyAlignment="1">
      <alignment horizontal="center"/>
    </xf>
    <xf numFmtId="0" fontId="4" fillId="0" borderId="87" xfId="0" applyFont="1" applyBorder="1" applyAlignment="1">
      <alignment horizontal="center"/>
    </xf>
    <xf numFmtId="0" fontId="32" fillId="0" borderId="0" xfId="0" applyFont="1"/>
    <xf numFmtId="0" fontId="1" fillId="15" borderId="92" xfId="0" applyFont="1" applyFill="1" applyBorder="1"/>
    <xf numFmtId="0" fontId="1" fillId="13" borderId="92" xfId="0" applyFont="1" applyFill="1" applyBorder="1"/>
    <xf numFmtId="0" fontId="1" fillId="13" borderId="97" xfId="0" applyFont="1" applyFill="1" applyBorder="1"/>
    <xf numFmtId="0" fontId="1" fillId="15" borderId="97" xfId="0" applyFont="1" applyFill="1" applyBorder="1"/>
    <xf numFmtId="0" fontId="1" fillId="13" borderId="104" xfId="0" applyFont="1" applyFill="1" applyBorder="1"/>
    <xf numFmtId="0" fontId="1" fillId="0" borderId="0" xfId="0" applyFont="1" applyAlignment="1">
      <alignment wrapText="1"/>
    </xf>
    <xf numFmtId="0" fontId="1" fillId="0" borderId="6" xfId="0" applyFont="1" applyBorder="1"/>
    <xf numFmtId="0" fontId="34" fillId="13" borderId="49" xfId="0" applyFont="1" applyFill="1" applyBorder="1"/>
    <xf numFmtId="0" fontId="34" fillId="13" borderId="94" xfId="0" applyFont="1" applyFill="1" applyBorder="1"/>
    <xf numFmtId="0" fontId="34" fillId="13" borderId="8" xfId="0" applyFont="1" applyFill="1" applyBorder="1"/>
    <xf numFmtId="0" fontId="1" fillId="13" borderId="8" xfId="0" applyFont="1" applyFill="1" applyBorder="1"/>
    <xf numFmtId="0" fontId="1" fillId="0" borderId="2" xfId="0" applyFont="1" applyBorder="1"/>
    <xf numFmtId="0" fontId="1" fillId="0" borderId="3" xfId="0" applyFont="1" applyBorder="1"/>
    <xf numFmtId="0" fontId="1" fillId="0" borderId="7" xfId="0" applyFont="1" applyBorder="1"/>
    <xf numFmtId="0" fontId="1" fillId="0" borderId="1" xfId="0" applyFont="1" applyBorder="1"/>
    <xf numFmtId="0" fontId="35" fillId="0" borderId="4" xfId="0" applyFont="1" applyBorder="1"/>
    <xf numFmtId="0" fontId="35" fillId="0" borderId="0" xfId="0" applyFont="1"/>
    <xf numFmtId="0" fontId="1" fillId="0" borderId="5" xfId="0" applyFont="1" applyBorder="1"/>
    <xf numFmtId="0" fontId="1" fillId="0" borderId="8" xfId="0" applyFont="1" applyBorder="1"/>
    <xf numFmtId="0" fontId="17" fillId="0" borderId="110" xfId="0" applyFont="1" applyBorder="1"/>
    <xf numFmtId="0" fontId="17" fillId="0" borderId="129" xfId="0" applyFont="1" applyBorder="1"/>
    <xf numFmtId="0" fontId="1" fillId="0" borderId="129" xfId="0" applyFont="1" applyBorder="1"/>
    <xf numFmtId="0" fontId="1" fillId="0" borderId="98" xfId="0" applyFont="1" applyBorder="1"/>
    <xf numFmtId="0" fontId="1" fillId="0" borderId="111" xfId="0" applyFont="1" applyBorder="1"/>
    <xf numFmtId="0" fontId="1" fillId="0" borderId="113" xfId="0" applyFont="1" applyBorder="1"/>
    <xf numFmtId="0" fontId="1" fillId="0" borderId="138" xfId="0" applyFont="1" applyBorder="1"/>
    <xf numFmtId="0" fontId="1" fillId="15" borderId="116" xfId="0" applyFont="1" applyFill="1" applyBorder="1"/>
    <xf numFmtId="0" fontId="1" fillId="13" borderId="116" xfId="0" applyFont="1" applyFill="1" applyBorder="1"/>
    <xf numFmtId="0" fontId="1" fillId="15" borderId="117" xfId="0" applyFont="1" applyFill="1" applyBorder="1"/>
    <xf numFmtId="0" fontId="1" fillId="15" borderId="118" xfId="0" applyFont="1" applyFill="1" applyBorder="1"/>
    <xf numFmtId="0" fontId="1" fillId="15" borderId="119" xfId="0" applyFont="1" applyFill="1" applyBorder="1"/>
    <xf numFmtId="0" fontId="1" fillId="15" borderId="120" xfId="0" applyFont="1" applyFill="1" applyBorder="1"/>
    <xf numFmtId="0" fontId="1" fillId="15" borderId="121" xfId="0" applyFont="1" applyFill="1" applyBorder="1"/>
    <xf numFmtId="0" fontId="1" fillId="13" borderId="121" xfId="0" applyFont="1" applyFill="1" applyBorder="1"/>
    <xf numFmtId="0" fontId="1" fillId="13" borderId="141" xfId="0" applyFont="1" applyFill="1" applyBorder="1"/>
    <xf numFmtId="0" fontId="1" fillId="13" borderId="142" xfId="0" applyFont="1" applyFill="1" applyBorder="1"/>
    <xf numFmtId="0" fontId="1" fillId="13" borderId="144" xfId="0" applyFont="1" applyFill="1" applyBorder="1"/>
    <xf numFmtId="0" fontId="1" fillId="13" borderId="145" xfId="0" applyFont="1" applyFill="1" applyBorder="1"/>
    <xf numFmtId="0" fontId="17" fillId="12" borderId="94" xfId="0" applyFont="1" applyFill="1" applyBorder="1" applyAlignment="1">
      <alignment horizontal="center" wrapText="1"/>
    </xf>
    <xf numFmtId="0" fontId="17" fillId="12" borderId="104" xfId="0" applyFont="1" applyFill="1" applyBorder="1" applyAlignment="1">
      <alignment horizontal="center" wrapText="1"/>
    </xf>
    <xf numFmtId="0" fontId="17" fillId="12" borderId="36" xfId="0" applyFont="1" applyFill="1" applyBorder="1" applyAlignment="1">
      <alignment horizontal="center" wrapText="1"/>
    </xf>
    <xf numFmtId="0" fontId="27" fillId="0" borderId="0" xfId="3" applyFont="1"/>
    <xf numFmtId="0" fontId="30" fillId="0" borderId="0" xfId="0" applyFont="1"/>
    <xf numFmtId="0" fontId="4" fillId="5" borderId="148" xfId="0" applyFont="1" applyFill="1" applyBorder="1" applyAlignment="1" applyProtection="1">
      <alignment horizontal="left"/>
      <protection locked="0"/>
    </xf>
    <xf numFmtId="0" fontId="4" fillId="5" borderId="149" xfId="0" applyFont="1" applyFill="1" applyBorder="1" applyAlignment="1" applyProtection="1">
      <alignment horizontal="left"/>
      <protection locked="0"/>
    </xf>
    <xf numFmtId="1" fontId="4" fillId="9" borderId="150" xfId="0" applyNumberFormat="1" applyFont="1" applyFill="1" applyBorder="1" applyAlignment="1">
      <alignment horizontal="right"/>
    </xf>
    <xf numFmtId="0" fontId="4" fillId="0" borderId="152" xfId="0" applyFont="1" applyBorder="1" applyAlignment="1">
      <alignment wrapText="1"/>
    </xf>
    <xf numFmtId="0" fontId="4" fillId="0" borderId="152" xfId="0" applyFont="1" applyBorder="1" applyAlignment="1">
      <alignment horizontal="center"/>
    </xf>
    <xf numFmtId="0" fontId="4" fillId="0" borderId="83" xfId="0" applyFont="1" applyBorder="1" applyAlignment="1">
      <alignment horizontal="center"/>
    </xf>
    <xf numFmtId="0" fontId="4" fillId="0" borderId="131" xfId="0" applyFont="1" applyBorder="1" applyAlignment="1">
      <alignment wrapText="1"/>
    </xf>
    <xf numFmtId="0" fontId="4" fillId="0" borderId="153" xfId="0" applyFont="1" applyBorder="1" applyAlignment="1">
      <alignment horizontal="center"/>
    </xf>
    <xf numFmtId="0" fontId="4" fillId="0" borderId="154" xfId="0" applyFont="1" applyBorder="1" applyAlignment="1">
      <alignment horizontal="center"/>
    </xf>
    <xf numFmtId="0" fontId="36" fillId="0" borderId="38" xfId="0" applyFont="1" applyBorder="1" applyAlignment="1">
      <alignment vertical="center"/>
    </xf>
    <xf numFmtId="0" fontId="36" fillId="0" borderId="31" xfId="0" applyFont="1" applyBorder="1"/>
    <xf numFmtId="0" fontId="1" fillId="2" borderId="156" xfId="0" applyFont="1" applyFill="1" applyBorder="1" applyAlignment="1">
      <alignment horizontal="center"/>
    </xf>
    <xf numFmtId="0" fontId="9" fillId="2" borderId="157" xfId="0" applyFont="1" applyFill="1" applyBorder="1"/>
    <xf numFmtId="0" fontId="0" fillId="2" borderId="158" xfId="0" applyFill="1" applyBorder="1" applyAlignment="1">
      <alignment horizontal="center"/>
    </xf>
    <xf numFmtId="0" fontId="0" fillId="2" borderId="159" xfId="0" applyFill="1" applyBorder="1" applyAlignment="1">
      <alignment horizontal="center"/>
    </xf>
    <xf numFmtId="0" fontId="4" fillId="0" borderId="131" xfId="0" applyFont="1" applyBorder="1"/>
    <xf numFmtId="0" fontId="4" fillId="4" borderId="85" xfId="0" applyFont="1" applyFill="1" applyBorder="1" applyAlignment="1">
      <alignment horizontal="center"/>
    </xf>
    <xf numFmtId="0" fontId="4" fillId="4" borderId="163" xfId="0" applyFont="1" applyFill="1" applyBorder="1" applyAlignment="1">
      <alignment horizontal="center"/>
    </xf>
    <xf numFmtId="1" fontId="4" fillId="8" borderId="53" xfId="0" applyNumberFormat="1" applyFont="1" applyFill="1" applyBorder="1" applyAlignment="1">
      <alignment horizontal="right"/>
    </xf>
    <xf numFmtId="1" fontId="4" fillId="8" borderId="164" xfId="0" applyNumberFormat="1" applyFont="1" applyFill="1" applyBorder="1" applyAlignment="1">
      <alignment horizontal="right"/>
    </xf>
    <xf numFmtId="3" fontId="4" fillId="3" borderId="60" xfId="7" applyNumberFormat="1" applyFont="1" applyFill="1" applyBorder="1" applyAlignment="1" applyProtection="1">
      <alignment horizontal="right"/>
      <protection locked="0"/>
    </xf>
    <xf numFmtId="0" fontId="37" fillId="0" borderId="0" xfId="0" applyFont="1"/>
    <xf numFmtId="0" fontId="4" fillId="0" borderId="116" xfId="3" applyFont="1" applyBorder="1" applyAlignment="1">
      <alignment horizontal="center"/>
    </xf>
    <xf numFmtId="0" fontId="4" fillId="0" borderId="116" xfId="3" applyFont="1" applyBorder="1" applyAlignment="1">
      <alignment wrapText="1"/>
    </xf>
    <xf numFmtId="0" fontId="4" fillId="0" borderId="121" xfId="3" applyFont="1" applyBorder="1" applyAlignment="1">
      <alignment horizontal="center"/>
    </xf>
    <xf numFmtId="0" fontId="4" fillId="0" borderId="123" xfId="3" applyFont="1" applyBorder="1" applyAlignment="1">
      <alignment wrapText="1"/>
    </xf>
    <xf numFmtId="0" fontId="4" fillId="0" borderId="123" xfId="3" applyFont="1" applyBorder="1" applyAlignment="1">
      <alignment horizontal="center"/>
    </xf>
    <xf numFmtId="0" fontId="4" fillId="0" borderId="114" xfId="3" applyFont="1" applyBorder="1" applyAlignment="1">
      <alignment horizontal="center"/>
    </xf>
    <xf numFmtId="0" fontId="4" fillId="0" borderId="152" xfId="3" applyFont="1" applyBorder="1" applyAlignment="1">
      <alignment wrapText="1"/>
    </xf>
    <xf numFmtId="0" fontId="4" fillId="0" borderId="153" xfId="3" applyFont="1" applyBorder="1" applyAlignment="1">
      <alignment horizontal="center"/>
    </xf>
    <xf numFmtId="0" fontId="4" fillId="0" borderId="154" xfId="3" applyFont="1" applyBorder="1" applyAlignment="1">
      <alignment horizontal="center"/>
    </xf>
    <xf numFmtId="0" fontId="4" fillId="0" borderId="130" xfId="3" applyFont="1" applyBorder="1" applyAlignment="1">
      <alignment horizontal="center"/>
    </xf>
    <xf numFmtId="0" fontId="4" fillId="0" borderId="131" xfId="3" applyFont="1" applyBorder="1" applyAlignment="1">
      <alignment wrapText="1"/>
    </xf>
    <xf numFmtId="0" fontId="4" fillId="0" borderId="131" xfId="3" applyFont="1" applyBorder="1" applyAlignment="1">
      <alignment horizontal="center"/>
    </xf>
    <xf numFmtId="0" fontId="4" fillId="0" borderId="87" xfId="3" applyFont="1" applyBorder="1" applyAlignment="1">
      <alignment horizontal="center"/>
    </xf>
    <xf numFmtId="0" fontId="4" fillId="0" borderId="152" xfId="3" applyFont="1" applyBorder="1" applyAlignment="1">
      <alignment horizontal="center"/>
    </xf>
    <xf numFmtId="0" fontId="4" fillId="0" borderId="83" xfId="3" applyFont="1" applyBorder="1" applyAlignment="1">
      <alignment horizontal="center"/>
    </xf>
    <xf numFmtId="0" fontId="4" fillId="0" borderId="85" xfId="3" applyFont="1" applyBorder="1" applyAlignment="1">
      <alignment horizontal="center"/>
    </xf>
    <xf numFmtId="0" fontId="4" fillId="0" borderId="165" xfId="3" applyFont="1" applyBorder="1" applyAlignment="1">
      <alignment wrapText="1"/>
    </xf>
    <xf numFmtId="0" fontId="4" fillId="0" borderId="42" xfId="3" applyFont="1" applyBorder="1" applyAlignment="1">
      <alignment wrapText="1"/>
    </xf>
    <xf numFmtId="0" fontId="36" fillId="0" borderId="40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/>
    </xf>
    <xf numFmtId="0" fontId="4" fillId="0" borderId="152" xfId="0" applyFont="1" applyBorder="1"/>
    <xf numFmtId="0" fontId="4" fillId="0" borderId="86" xfId="0" applyFont="1" applyBorder="1" applyAlignment="1">
      <alignment horizontal="center"/>
    </xf>
    <xf numFmtId="0" fontId="16" fillId="0" borderId="152" xfId="0" applyFont="1" applyBorder="1"/>
    <xf numFmtId="0" fontId="16" fillId="0" borderId="131" xfId="0" applyFont="1" applyBorder="1"/>
    <xf numFmtId="0" fontId="6" fillId="2" borderId="115" xfId="0" applyFont="1" applyFill="1" applyBorder="1" applyAlignment="1">
      <alignment wrapText="1"/>
    </xf>
    <xf numFmtId="0" fontId="4" fillId="0" borderId="117" xfId="0" applyFont="1" applyBorder="1" applyAlignment="1">
      <alignment horizontal="center"/>
    </xf>
    <xf numFmtId="0" fontId="4" fillId="0" borderId="120" xfId="0" applyFont="1" applyBorder="1" applyAlignment="1">
      <alignment horizontal="center"/>
    </xf>
    <xf numFmtId="0" fontId="4" fillId="0" borderId="122" xfId="0" applyFont="1" applyBorder="1" applyAlignment="1">
      <alignment horizontal="center"/>
    </xf>
    <xf numFmtId="0" fontId="4" fillId="0" borderId="116" xfId="0" applyFont="1" applyBorder="1" applyAlignment="1">
      <alignment horizontal="left"/>
    </xf>
    <xf numFmtId="0" fontId="5" fillId="2" borderId="37" xfId="0" applyFont="1" applyFill="1" applyBorder="1" applyAlignment="1">
      <alignment horizontal="center"/>
    </xf>
    <xf numFmtId="0" fontId="4" fillId="13" borderId="166" xfId="0" applyFont="1" applyFill="1" applyBorder="1"/>
    <xf numFmtId="0" fontId="4" fillId="13" borderId="167" xfId="0" applyFont="1" applyFill="1" applyBorder="1"/>
    <xf numFmtId="0" fontId="5" fillId="2" borderId="110" xfId="0" applyFont="1" applyFill="1" applyBorder="1" applyAlignment="1">
      <alignment horizontal="center"/>
    </xf>
    <xf numFmtId="0" fontId="4" fillId="0" borderId="168" xfId="0" applyFont="1" applyBorder="1" applyAlignment="1">
      <alignment horizontal="center"/>
    </xf>
    <xf numFmtId="0" fontId="4" fillId="0" borderId="167" xfId="0" applyFont="1" applyBorder="1" applyAlignment="1">
      <alignment horizontal="center"/>
    </xf>
    <xf numFmtId="0" fontId="5" fillId="2" borderId="151" xfId="0" applyFont="1" applyFill="1" applyBorder="1" applyAlignment="1">
      <alignment horizontal="center"/>
    </xf>
    <xf numFmtId="0" fontId="4" fillId="0" borderId="143" xfId="0" applyFont="1" applyBorder="1" applyAlignment="1">
      <alignment horizontal="center"/>
    </xf>
    <xf numFmtId="0" fontId="4" fillId="0" borderId="144" xfId="0" applyFont="1" applyBorder="1"/>
    <xf numFmtId="0" fontId="4" fillId="0" borderId="144" xfId="0" applyFont="1" applyBorder="1" applyAlignment="1">
      <alignment horizontal="center"/>
    </xf>
    <xf numFmtId="0" fontId="4" fillId="0" borderId="145" xfId="0" applyFont="1" applyBorder="1" applyAlignment="1">
      <alignment horizontal="center"/>
    </xf>
    <xf numFmtId="0" fontId="4" fillId="0" borderId="169" xfId="0" applyFont="1" applyBorder="1" applyAlignment="1">
      <alignment horizontal="center"/>
    </xf>
    <xf numFmtId="0" fontId="4" fillId="0" borderId="170" xfId="0" applyFont="1" applyBorder="1"/>
    <xf numFmtId="0" fontId="4" fillId="0" borderId="170" xfId="0" applyFont="1" applyBorder="1" applyAlignment="1">
      <alignment horizontal="center"/>
    </xf>
    <xf numFmtId="0" fontId="4" fillId="0" borderId="171" xfId="0" applyFont="1" applyBorder="1" applyAlignment="1">
      <alignment horizontal="center"/>
    </xf>
    <xf numFmtId="0" fontId="16" fillId="0" borderId="116" xfId="0" applyFont="1" applyBorder="1" applyAlignment="1">
      <alignment horizontal="center"/>
    </xf>
    <xf numFmtId="0" fontId="4" fillId="0" borderId="93" xfId="0" applyFont="1" applyBorder="1"/>
    <xf numFmtId="0" fontId="4" fillId="0" borderId="108" xfId="0" applyFont="1" applyBorder="1"/>
    <xf numFmtId="0" fontId="5" fillId="2" borderId="172" xfId="0" applyFont="1" applyFill="1" applyBorder="1" applyAlignment="1">
      <alignment horizontal="center"/>
    </xf>
    <xf numFmtId="0" fontId="16" fillId="0" borderId="170" xfId="0" applyFont="1" applyBorder="1" applyAlignment="1">
      <alignment horizontal="center"/>
    </xf>
    <xf numFmtId="0" fontId="16" fillId="0" borderId="123" xfId="0" applyFont="1" applyBorder="1" applyAlignment="1">
      <alignment horizontal="center"/>
    </xf>
    <xf numFmtId="0" fontId="4" fillId="0" borderId="176" xfId="0" applyFont="1" applyBorder="1"/>
    <xf numFmtId="0" fontId="4" fillId="0" borderId="177" xfId="0" applyFont="1" applyBorder="1" applyAlignment="1">
      <alignment horizontal="center"/>
    </xf>
    <xf numFmtId="0" fontId="4" fillId="0" borderId="42" xfId="0" applyFont="1" applyBorder="1" applyAlignment="1">
      <alignment wrapText="1"/>
    </xf>
    <xf numFmtId="0" fontId="17" fillId="12" borderId="126" xfId="0" applyFont="1" applyFill="1" applyBorder="1" applyAlignment="1">
      <alignment horizontal="center"/>
    </xf>
    <xf numFmtId="0" fontId="17" fillId="12" borderId="0" xfId="0" applyFont="1" applyFill="1"/>
    <xf numFmtId="1" fontId="4" fillId="9" borderId="124" xfId="0" applyNumberFormat="1" applyFont="1" applyFill="1" applyBorder="1" applyAlignment="1">
      <alignment horizontal="right"/>
    </xf>
    <xf numFmtId="0" fontId="17" fillId="12" borderId="66" xfId="0" applyFont="1" applyFill="1" applyBorder="1" applyAlignment="1">
      <alignment horizontal="center" wrapText="1"/>
    </xf>
    <xf numFmtId="0" fontId="17" fillId="12" borderId="97" xfId="0" applyFont="1" applyFill="1" applyBorder="1" applyAlignment="1">
      <alignment horizontal="center" wrapText="1"/>
    </xf>
    <xf numFmtId="0" fontId="17" fillId="12" borderId="5" xfId="0" applyFont="1" applyFill="1" applyBorder="1" applyAlignment="1">
      <alignment horizontal="center" wrapText="1"/>
    </xf>
    <xf numFmtId="0" fontId="17" fillId="12" borderId="111" xfId="0" applyFont="1" applyFill="1" applyBorder="1"/>
    <xf numFmtId="0" fontId="17" fillId="12" borderId="112" xfId="0" applyFont="1" applyFill="1" applyBorder="1"/>
    <xf numFmtId="0" fontId="1" fillId="0" borderId="116" xfId="0" applyFont="1" applyBorder="1" applyAlignment="1">
      <alignment horizontal="center"/>
    </xf>
    <xf numFmtId="0" fontId="17" fillId="12" borderId="126" xfId="0" applyFont="1" applyFill="1" applyBorder="1"/>
    <xf numFmtId="0" fontId="34" fillId="13" borderId="7" xfId="0" applyFont="1" applyFill="1" applyBorder="1"/>
    <xf numFmtId="0" fontId="17" fillId="12" borderId="124" xfId="0" applyFont="1" applyFill="1" applyBorder="1"/>
    <xf numFmtId="0" fontId="17" fillId="12" borderId="125" xfId="0" applyFont="1" applyFill="1" applyBorder="1"/>
    <xf numFmtId="0" fontId="17" fillId="12" borderId="110" xfId="0" applyFont="1" applyFill="1" applyBorder="1"/>
    <xf numFmtId="0" fontId="17" fillId="12" borderId="129" xfId="0" applyFont="1" applyFill="1" applyBorder="1"/>
    <xf numFmtId="0" fontId="17" fillId="12" borderId="98" xfId="0" applyFont="1" applyFill="1" applyBorder="1"/>
    <xf numFmtId="0" fontId="1" fillId="0" borderId="118" xfId="0" applyFont="1" applyBorder="1" applyAlignment="1">
      <alignment horizontal="center"/>
    </xf>
    <xf numFmtId="0" fontId="1" fillId="0" borderId="144" xfId="0" applyFont="1" applyBorder="1" applyAlignment="1">
      <alignment horizontal="center"/>
    </xf>
    <xf numFmtId="0" fontId="1" fillId="0" borderId="141" xfId="0" applyFont="1" applyBorder="1" applyAlignment="1">
      <alignment horizontal="center"/>
    </xf>
    <xf numFmtId="0" fontId="1" fillId="0" borderId="119" xfId="0" applyFont="1" applyBorder="1" applyAlignment="1">
      <alignment horizontal="center"/>
    </xf>
    <xf numFmtId="0" fontId="1" fillId="0" borderId="121" xfId="0" applyFont="1" applyBorder="1" applyAlignment="1">
      <alignment horizontal="center"/>
    </xf>
    <xf numFmtId="0" fontId="1" fillId="0" borderId="145" xfId="0" applyFont="1" applyBorder="1" applyAlignment="1">
      <alignment horizontal="center"/>
    </xf>
    <xf numFmtId="0" fontId="1" fillId="0" borderId="142" xfId="0" applyFont="1" applyBorder="1" applyAlignment="1">
      <alignment horizontal="center"/>
    </xf>
    <xf numFmtId="0" fontId="1" fillId="0" borderId="123" xfId="0" applyFont="1" applyBorder="1" applyAlignment="1">
      <alignment horizontal="center" wrapText="1"/>
    </xf>
    <xf numFmtId="0" fontId="1" fillId="0" borderId="114" xfId="0" applyFont="1" applyBorder="1" applyAlignment="1">
      <alignment horizontal="center" wrapText="1"/>
    </xf>
    <xf numFmtId="0" fontId="1" fillId="0" borderId="118" xfId="0" applyFont="1" applyBorder="1" applyAlignment="1">
      <alignment horizontal="center" wrapText="1"/>
    </xf>
    <xf numFmtId="0" fontId="1" fillId="0" borderId="119" xfId="0" applyFont="1" applyBorder="1" applyAlignment="1">
      <alignment horizontal="center" wrapText="1"/>
    </xf>
    <xf numFmtId="0" fontId="1" fillId="0" borderId="116" xfId="0" applyFont="1" applyBorder="1" applyAlignment="1">
      <alignment horizontal="center" wrapText="1"/>
    </xf>
    <xf numFmtId="0" fontId="1" fillId="0" borderId="121" xfId="0" applyFont="1" applyBorder="1" applyAlignment="1">
      <alignment horizontal="center" wrapText="1"/>
    </xf>
    <xf numFmtId="0" fontId="17" fillId="12" borderId="151" xfId="0" applyFont="1" applyFill="1" applyBorder="1" applyAlignment="1">
      <alignment horizontal="center"/>
    </xf>
    <xf numFmtId="0" fontId="17" fillId="12" borderId="180" xfId="0" applyFont="1" applyFill="1" applyBorder="1" applyAlignment="1">
      <alignment horizontal="center"/>
    </xf>
    <xf numFmtId="0" fontId="17" fillId="12" borderId="104" xfId="0" applyFont="1" applyFill="1" applyBorder="1" applyAlignment="1">
      <alignment horizontal="center"/>
    </xf>
    <xf numFmtId="0" fontId="17" fillId="12" borderId="38" xfId="0" applyFont="1" applyFill="1" applyBorder="1" applyAlignment="1">
      <alignment horizontal="center" wrapText="1"/>
    </xf>
    <xf numFmtId="0" fontId="1" fillId="0" borderId="173" xfId="0" applyFont="1" applyBorder="1"/>
    <xf numFmtId="0" fontId="33" fillId="0" borderId="174" xfId="0" applyFont="1" applyBorder="1"/>
    <xf numFmtId="0" fontId="1" fillId="0" borderId="174" xfId="0" applyFont="1" applyBorder="1"/>
    <xf numFmtId="0" fontId="1" fillId="0" borderId="182" xfId="0" applyFont="1" applyBorder="1"/>
    <xf numFmtId="0" fontId="1" fillId="0" borderId="183" xfId="0" applyFont="1" applyBorder="1"/>
    <xf numFmtId="0" fontId="1" fillId="0" borderId="175" xfId="0" applyFont="1" applyBorder="1" applyAlignment="1">
      <alignment wrapText="1"/>
    </xf>
    <xf numFmtId="0" fontId="1" fillId="0" borderId="173" xfId="0" applyFont="1" applyBorder="1" applyAlignment="1">
      <alignment wrapText="1"/>
    </xf>
    <xf numFmtId="0" fontId="1" fillId="0" borderId="174" xfId="0" applyFont="1" applyBorder="1" applyAlignment="1">
      <alignment wrapText="1"/>
    </xf>
    <xf numFmtId="0" fontId="38" fillId="0" borderId="0" xfId="0" applyFont="1"/>
    <xf numFmtId="0" fontId="0" fillId="0" borderId="184" xfId="0" applyBorder="1" applyAlignment="1">
      <alignment horizontal="center"/>
    </xf>
    <xf numFmtId="0" fontId="0" fillId="0" borderId="185" xfId="0" applyBorder="1" applyAlignment="1">
      <alignment horizontal="center"/>
    </xf>
    <xf numFmtId="0" fontId="0" fillId="0" borderId="186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179" xfId="0" applyBorder="1" applyAlignment="1">
      <alignment horizontal="center"/>
    </xf>
    <xf numFmtId="0" fontId="17" fillId="12" borderId="151" xfId="0" applyFont="1" applyFill="1" applyBorder="1" applyAlignment="1">
      <alignment horizontal="center" wrapText="1"/>
    </xf>
    <xf numFmtId="0" fontId="17" fillId="12" borderId="126" xfId="0" applyFont="1" applyFill="1" applyBorder="1" applyAlignment="1">
      <alignment horizontal="center" wrapText="1"/>
    </xf>
    <xf numFmtId="0" fontId="39" fillId="2" borderId="140" xfId="3" applyFont="1" applyFill="1" applyBorder="1" applyAlignment="1">
      <alignment horizontal="left" vertical="center" wrapText="1"/>
    </xf>
    <xf numFmtId="0" fontId="39" fillId="2" borderId="141" xfId="3" applyFont="1" applyFill="1" applyBorder="1" applyAlignment="1">
      <alignment horizontal="left" vertical="center"/>
    </xf>
    <xf numFmtId="0" fontId="39" fillId="2" borderId="141" xfId="3" applyFont="1" applyFill="1" applyBorder="1" applyAlignment="1">
      <alignment horizontal="center" vertical="center"/>
    </xf>
    <xf numFmtId="0" fontId="39" fillId="2" borderId="142" xfId="3" applyFont="1" applyFill="1" applyBorder="1" applyAlignment="1">
      <alignment horizontal="center" vertical="center"/>
    </xf>
    <xf numFmtId="0" fontId="4" fillId="5" borderId="87" xfId="0" applyFont="1" applyFill="1" applyBorder="1" applyAlignment="1" applyProtection="1">
      <alignment horizontal="left"/>
      <protection locked="0"/>
    </xf>
    <xf numFmtId="0" fontId="17" fillId="0" borderId="0" xfId="3" applyFont="1"/>
    <xf numFmtId="0" fontId="32" fillId="0" borderId="0" xfId="3" applyFont="1"/>
    <xf numFmtId="0" fontId="17" fillId="0" borderId="0" xfId="3" applyFont="1" applyAlignment="1">
      <alignment horizontal="center" vertical="top"/>
    </xf>
    <xf numFmtId="0" fontId="1" fillId="0" borderId="0" xfId="3" applyAlignment="1">
      <alignment vertical="top"/>
    </xf>
    <xf numFmtId="0" fontId="17" fillId="0" borderId="0" xfId="3" applyFont="1" applyAlignment="1">
      <alignment horizontal="center"/>
    </xf>
    <xf numFmtId="0" fontId="32" fillId="0" borderId="0" xfId="3" quotePrefix="1" applyFont="1" applyAlignment="1">
      <alignment horizontal="left"/>
    </xf>
    <xf numFmtId="0" fontId="1" fillId="0" borderId="24" xfId="3" applyBorder="1" applyAlignment="1">
      <alignment horizontal="center"/>
    </xf>
    <xf numFmtId="0" fontId="1" fillId="0" borderId="49" xfId="3" applyBorder="1" applyAlignment="1">
      <alignment horizontal="center"/>
    </xf>
    <xf numFmtId="0" fontId="17" fillId="0" borderId="7" xfId="3" applyFont="1" applyBorder="1"/>
    <xf numFmtId="0" fontId="17" fillId="0" borderId="1" xfId="3" applyFont="1" applyBorder="1" applyProtection="1">
      <protection locked="0"/>
    </xf>
    <xf numFmtId="0" fontId="1" fillId="0" borderId="0" xfId="3" applyAlignment="1" applyProtection="1">
      <alignment horizontal="left" vertical="top"/>
      <protection locked="0"/>
    </xf>
    <xf numFmtId="0" fontId="1" fillId="0" borderId="4" xfId="3" applyBorder="1" applyAlignment="1" applyProtection="1">
      <alignment horizontal="left" vertical="top"/>
      <protection locked="0"/>
    </xf>
    <xf numFmtId="0" fontId="1" fillId="0" borderId="5" xfId="3" applyBorder="1" applyAlignment="1" applyProtection="1">
      <alignment horizontal="left" vertical="top"/>
      <protection locked="0"/>
    </xf>
    <xf numFmtId="0" fontId="1" fillId="0" borderId="6" xfId="3" applyBorder="1" applyAlignment="1" applyProtection="1">
      <alignment horizontal="left" vertical="top"/>
      <protection locked="0"/>
    </xf>
    <xf numFmtId="0" fontId="1" fillId="0" borderId="7" xfId="3" applyBorder="1" applyAlignment="1" applyProtection="1">
      <alignment horizontal="left" vertical="top"/>
      <protection locked="0"/>
    </xf>
    <xf numFmtId="0" fontId="1" fillId="0" borderId="8" xfId="3" applyBorder="1" applyAlignment="1" applyProtection="1">
      <alignment horizontal="left" vertical="top"/>
      <protection locked="0"/>
    </xf>
    <xf numFmtId="0" fontId="1" fillId="0" borderId="2" xfId="3" applyBorder="1"/>
    <xf numFmtId="0" fontId="1" fillId="0" borderId="1" xfId="3" applyBorder="1" applyProtection="1">
      <protection locked="0"/>
    </xf>
    <xf numFmtId="0" fontId="1" fillId="0" borderId="6" xfId="3" applyBorder="1" applyProtection="1">
      <protection locked="0"/>
    </xf>
    <xf numFmtId="0" fontId="1" fillId="0" borderId="29" xfId="3" applyBorder="1"/>
    <xf numFmtId="0" fontId="1" fillId="0" borderId="0" xfId="3" applyAlignment="1">
      <alignment horizontal="right"/>
    </xf>
    <xf numFmtId="0" fontId="41" fillId="0" borderId="0" xfId="3" applyFont="1"/>
    <xf numFmtId="0" fontId="17" fillId="17" borderId="99" xfId="3" applyFont="1" applyFill="1" applyBorder="1" applyAlignment="1">
      <alignment horizontal="center"/>
    </xf>
    <xf numFmtId="1" fontId="17" fillId="17" borderId="34" xfId="3" applyNumberFormat="1" applyFont="1" applyFill="1" applyBorder="1" applyAlignment="1">
      <alignment horizontal="center" vertical="center" wrapText="1"/>
    </xf>
    <xf numFmtId="1" fontId="17" fillId="17" borderId="39" xfId="3" applyNumberFormat="1" applyFont="1" applyFill="1" applyBorder="1" applyAlignment="1">
      <alignment horizontal="center" vertical="center" wrapText="1"/>
    </xf>
    <xf numFmtId="0" fontId="17" fillId="17" borderId="36" xfId="3" applyFont="1" applyFill="1" applyBorder="1" applyAlignment="1">
      <alignment horizontal="center" vertical="center" wrapText="1"/>
    </xf>
    <xf numFmtId="1" fontId="17" fillId="17" borderId="99" xfId="3" applyNumberFormat="1" applyFont="1" applyFill="1" applyBorder="1" applyAlignment="1">
      <alignment horizontal="center" vertical="center" wrapText="1"/>
    </xf>
    <xf numFmtId="0" fontId="17" fillId="17" borderId="34" xfId="3" applyFont="1" applyFill="1" applyBorder="1" applyAlignment="1">
      <alignment horizontal="center" vertical="center" wrapText="1"/>
    </xf>
    <xf numFmtId="0" fontId="17" fillId="17" borderId="99" xfId="3" applyFont="1" applyFill="1" applyBorder="1" applyAlignment="1">
      <alignment horizontal="center" vertical="center" wrapText="1"/>
    </xf>
    <xf numFmtId="0" fontId="17" fillId="17" borderId="2" xfId="3" applyFont="1" applyFill="1" applyBorder="1" applyAlignment="1">
      <alignment horizontal="center" vertical="center" wrapText="1"/>
    </xf>
    <xf numFmtId="0" fontId="17" fillId="17" borderId="106" xfId="3" applyFont="1" applyFill="1" applyBorder="1" applyAlignment="1">
      <alignment horizontal="center" vertical="center" wrapText="1"/>
    </xf>
    <xf numFmtId="1" fontId="17" fillId="17" borderId="1" xfId="3" applyNumberFormat="1" applyFont="1" applyFill="1" applyBorder="1" applyAlignment="1">
      <alignment horizontal="center" vertical="center" wrapText="1"/>
    </xf>
    <xf numFmtId="0" fontId="17" fillId="17" borderId="35" xfId="3" applyFont="1" applyFill="1" applyBorder="1" applyAlignment="1">
      <alignment horizontal="center" vertical="center" wrapText="1"/>
    </xf>
    <xf numFmtId="1" fontId="45" fillId="18" borderId="4" xfId="3" applyNumberFormat="1" applyFont="1" applyFill="1" applyBorder="1" applyAlignment="1">
      <alignment horizontal="left"/>
    </xf>
    <xf numFmtId="1" fontId="45" fillId="18" borderId="0" xfId="3" applyNumberFormat="1" applyFont="1" applyFill="1" applyAlignment="1">
      <alignment horizontal="left"/>
    </xf>
    <xf numFmtId="0" fontId="35" fillId="18" borderId="0" xfId="3" applyFont="1" applyFill="1"/>
    <xf numFmtId="0" fontId="46" fillId="0" borderId="34" xfId="3" applyFont="1" applyBorder="1" applyAlignment="1">
      <alignment horizontal="center"/>
    </xf>
    <xf numFmtId="0" fontId="46" fillId="0" borderId="36" xfId="3" applyFont="1" applyBorder="1" applyAlignment="1">
      <alignment horizontal="center"/>
    </xf>
    <xf numFmtId="0" fontId="46" fillId="0" borderId="99" xfId="3" applyFont="1" applyBorder="1" applyAlignment="1">
      <alignment horizontal="center"/>
    </xf>
    <xf numFmtId="0" fontId="46" fillId="18" borderId="35" xfId="3" applyFont="1" applyFill="1" applyBorder="1" applyAlignment="1">
      <alignment horizontal="center"/>
    </xf>
    <xf numFmtId="0" fontId="46" fillId="18" borderId="99" xfId="3" applyFont="1" applyFill="1" applyBorder="1" applyAlignment="1">
      <alignment horizontal="center"/>
    </xf>
    <xf numFmtId="1" fontId="45" fillId="18" borderId="34" xfId="3" applyNumberFormat="1" applyFont="1" applyFill="1" applyBorder="1" applyAlignment="1">
      <alignment horizontal="left"/>
    </xf>
    <xf numFmtId="1" fontId="45" fillId="18" borderId="35" xfId="3" applyNumberFormat="1" applyFont="1" applyFill="1" applyBorder="1" applyAlignment="1">
      <alignment horizontal="left"/>
    </xf>
    <xf numFmtId="0" fontId="35" fillId="18" borderId="36" xfId="3" applyFont="1" applyFill="1" applyBorder="1"/>
    <xf numFmtId="0" fontId="46" fillId="0" borderId="35" xfId="3" applyFont="1" applyBorder="1" applyAlignment="1">
      <alignment horizontal="center"/>
    </xf>
    <xf numFmtId="1" fontId="1" fillId="10" borderId="69" xfId="3" applyNumberFormat="1" applyFill="1" applyBorder="1" applyAlignment="1" applyProtection="1">
      <alignment horizontal="center" vertical="center" wrapText="1"/>
      <protection locked="0"/>
    </xf>
    <xf numFmtId="0" fontId="1" fillId="10" borderId="60" xfId="3" applyFill="1" applyBorder="1" applyAlignment="1" applyProtection="1">
      <alignment horizontal="center" vertical="center" wrapText="1"/>
      <protection locked="0"/>
    </xf>
    <xf numFmtId="0" fontId="1" fillId="10" borderId="68" xfId="3" applyFill="1" applyBorder="1" applyAlignment="1" applyProtection="1">
      <alignment horizontal="center" vertical="center" wrapText="1"/>
      <protection locked="0"/>
    </xf>
    <xf numFmtId="0" fontId="1" fillId="10" borderId="191" xfId="3" applyFill="1" applyBorder="1" applyAlignment="1" applyProtection="1">
      <alignment horizontal="center" vertical="center" wrapText="1"/>
      <protection locked="0"/>
    </xf>
    <xf numFmtId="0" fontId="1" fillId="10" borderId="9" xfId="3" applyFill="1" applyBorder="1" applyAlignment="1" applyProtection="1">
      <alignment horizontal="center" vertical="center" wrapText="1"/>
      <protection locked="0"/>
    </xf>
    <xf numFmtId="1" fontId="37" fillId="10" borderId="60" xfId="3" applyNumberFormat="1" applyFont="1" applyFill="1" applyBorder="1" applyAlignment="1" applyProtection="1">
      <alignment horizontal="center" vertical="center" wrapText="1"/>
      <protection locked="0"/>
    </xf>
    <xf numFmtId="1" fontId="37" fillId="10" borderId="42" xfId="3" applyNumberFormat="1" applyFont="1" applyFill="1" applyBorder="1" applyAlignment="1" applyProtection="1">
      <alignment horizontal="center" vertical="center" wrapText="1"/>
      <protection locked="0"/>
    </xf>
    <xf numFmtId="0" fontId="37" fillId="10" borderId="68" xfId="3" applyFont="1" applyFill="1" applyBorder="1" applyAlignment="1" applyProtection="1">
      <alignment horizontal="center" vertical="center" wrapText="1"/>
      <protection locked="0"/>
    </xf>
    <xf numFmtId="1" fontId="37" fillId="10" borderId="69" xfId="3" applyNumberFormat="1" applyFont="1" applyFill="1" applyBorder="1" applyAlignment="1" applyProtection="1">
      <alignment horizontal="center" vertical="center" wrapText="1"/>
      <protection locked="0"/>
    </xf>
    <xf numFmtId="0" fontId="37" fillId="10" borderId="60" xfId="3" applyFont="1" applyFill="1" applyBorder="1" applyAlignment="1" applyProtection="1">
      <alignment horizontal="center" vertical="center" wrapText="1"/>
      <protection locked="0"/>
    </xf>
    <xf numFmtId="0" fontId="37" fillId="10" borderId="191" xfId="3" applyFont="1" applyFill="1" applyBorder="1" applyAlignment="1" applyProtection="1">
      <alignment horizontal="center" vertical="center" wrapText="1"/>
      <protection locked="0"/>
    </xf>
    <xf numFmtId="0" fontId="37" fillId="10" borderId="9" xfId="3" applyFont="1" applyFill="1" applyBorder="1" applyAlignment="1" applyProtection="1">
      <alignment horizontal="center" vertical="center" wrapText="1"/>
      <protection locked="0"/>
    </xf>
    <xf numFmtId="1" fontId="1" fillId="10" borderId="24" xfId="3" applyNumberFormat="1" applyFill="1" applyBorder="1" applyAlignment="1" applyProtection="1">
      <alignment horizontal="center" vertical="center" wrapText="1"/>
      <protection locked="0"/>
    </xf>
    <xf numFmtId="1" fontId="1" fillId="10" borderId="29" xfId="3" applyNumberFormat="1" applyFill="1" applyBorder="1" applyAlignment="1" applyProtection="1">
      <alignment horizontal="center" vertical="center" wrapText="1"/>
      <protection locked="0"/>
    </xf>
    <xf numFmtId="0" fontId="1" fillId="10" borderId="30" xfId="3" applyFill="1" applyBorder="1" applyAlignment="1" applyProtection="1">
      <alignment horizontal="center" vertical="center" wrapText="1"/>
      <protection locked="0"/>
    </xf>
    <xf numFmtId="0" fontId="1" fillId="10" borderId="24" xfId="3" applyFill="1" applyBorder="1" applyAlignment="1" applyProtection="1">
      <alignment horizontal="center" vertical="center" wrapText="1"/>
      <protection locked="0"/>
    </xf>
    <xf numFmtId="0" fontId="1" fillId="10" borderId="101" xfId="3" applyFill="1" applyBorder="1" applyAlignment="1" applyProtection="1">
      <alignment horizontal="center" vertical="center" wrapText="1"/>
      <protection locked="0"/>
    </xf>
    <xf numFmtId="0" fontId="1" fillId="10" borderId="69" xfId="3" applyFill="1" applyBorder="1" applyAlignment="1" applyProtection="1">
      <alignment horizontal="center" vertical="center" wrapText="1"/>
      <protection locked="0"/>
    </xf>
    <xf numFmtId="1" fontId="1" fillId="10" borderId="60" xfId="3" applyNumberFormat="1" applyFill="1" applyBorder="1" applyAlignment="1" applyProtection="1">
      <alignment horizontal="center" vertical="center" wrapText="1"/>
      <protection locked="0"/>
    </xf>
    <xf numFmtId="1" fontId="1" fillId="10" borderId="42" xfId="3" applyNumberFormat="1" applyFill="1" applyBorder="1" applyAlignment="1" applyProtection="1">
      <alignment horizontal="center" vertical="center" wrapText="1"/>
      <protection locked="0"/>
    </xf>
    <xf numFmtId="1" fontId="1" fillId="10" borderId="26" xfId="3" applyNumberFormat="1" applyFill="1" applyBorder="1" applyAlignment="1" applyProtection="1">
      <alignment horizontal="center" vertical="center" wrapText="1"/>
      <protection locked="0"/>
    </xf>
    <xf numFmtId="1" fontId="1" fillId="10" borderId="31" xfId="3" applyNumberFormat="1" applyFill="1" applyBorder="1" applyAlignment="1" applyProtection="1">
      <alignment horizontal="center" vertical="center" wrapText="1"/>
      <protection locked="0"/>
    </xf>
    <xf numFmtId="0" fontId="1" fillId="10" borderId="32" xfId="3" applyFill="1" applyBorder="1" applyAlignment="1" applyProtection="1">
      <alignment horizontal="left" vertical="center" wrapText="1"/>
      <protection locked="0"/>
    </xf>
    <xf numFmtId="1" fontId="1" fillId="10" borderId="135" xfId="3" applyNumberFormat="1" applyFill="1" applyBorder="1" applyAlignment="1" applyProtection="1">
      <alignment horizontal="center" vertical="center" wrapText="1"/>
      <protection locked="0"/>
    </xf>
    <xf numFmtId="0" fontId="1" fillId="10" borderId="26" xfId="3" applyFill="1" applyBorder="1" applyAlignment="1" applyProtection="1">
      <alignment horizontal="center" vertical="center" wrapText="1"/>
      <protection locked="0"/>
    </xf>
    <xf numFmtId="0" fontId="1" fillId="10" borderId="32" xfId="3" applyFill="1" applyBorder="1" applyAlignment="1" applyProtection="1">
      <alignment horizontal="center" vertical="center" wrapText="1"/>
      <protection locked="0"/>
    </xf>
    <xf numFmtId="0" fontId="1" fillId="10" borderId="102" xfId="3" applyFill="1" applyBorder="1" applyAlignment="1" applyProtection="1">
      <alignment horizontal="center" vertical="center" wrapText="1"/>
      <protection locked="0"/>
    </xf>
    <xf numFmtId="0" fontId="48" fillId="0" borderId="0" xfId="3" applyFont="1" applyAlignment="1">
      <alignment horizontal="left"/>
    </xf>
    <xf numFmtId="0" fontId="49" fillId="0" borderId="0" xfId="3" applyFont="1"/>
    <xf numFmtId="3" fontId="35" fillId="0" borderId="0" xfId="3" applyNumberFormat="1" applyFont="1"/>
    <xf numFmtId="0" fontId="41" fillId="0" borderId="0" xfId="3" applyFont="1" applyAlignment="1">
      <alignment horizontal="right"/>
    </xf>
    <xf numFmtId="0" fontId="50" fillId="0" borderId="0" xfId="3" applyFont="1"/>
    <xf numFmtId="0" fontId="1" fillId="0" borderId="0" xfId="3" quotePrefix="1"/>
    <xf numFmtId="0" fontId="51" fillId="19" borderId="29" xfId="3" applyFont="1" applyFill="1" applyBorder="1" applyAlignment="1">
      <alignment horizontal="center"/>
    </xf>
    <xf numFmtId="0" fontId="1" fillId="0" borderId="57" xfId="3" applyBorder="1"/>
    <xf numFmtId="0" fontId="1" fillId="0" borderId="42" xfId="3" applyBorder="1"/>
    <xf numFmtId="0" fontId="1" fillId="0" borderId="29" xfId="3" applyBorder="1" applyAlignment="1">
      <alignment horizontal="left" vertical="top" wrapText="1"/>
    </xf>
    <xf numFmtId="0" fontId="1" fillId="0" borderId="78" xfId="3" applyBorder="1"/>
    <xf numFmtId="0" fontId="52" fillId="0" borderId="0" xfId="3" applyFont="1"/>
    <xf numFmtId="0" fontId="53" fillId="0" borderId="0" xfId="3" applyFont="1"/>
    <xf numFmtId="0" fontId="51" fillId="19" borderId="0" xfId="3" applyFont="1" applyFill="1" applyAlignment="1">
      <alignment horizontal="center"/>
    </xf>
    <xf numFmtId="0" fontId="1" fillId="0" borderId="100" xfId="3" applyBorder="1"/>
    <xf numFmtId="0" fontId="1" fillId="0" borderId="101" xfId="3" applyBorder="1"/>
    <xf numFmtId="0" fontId="1" fillId="0" borderId="102" xfId="3" applyBorder="1"/>
    <xf numFmtId="0" fontId="1" fillId="0" borderId="48" xfId="3" applyBorder="1" applyAlignment="1">
      <alignment horizontal="left"/>
    </xf>
    <xf numFmtId="0" fontId="37" fillId="0" borderId="0" xfId="3" applyFont="1"/>
    <xf numFmtId="0" fontId="1" fillId="3" borderId="84" xfId="3" applyFill="1" applyBorder="1" applyAlignment="1" applyProtection="1">
      <alignment horizontal="center"/>
      <protection locked="0"/>
    </xf>
    <xf numFmtId="0" fontId="1" fillId="3" borderId="163" xfId="3" applyFill="1" applyBorder="1" applyAlignment="1" applyProtection="1">
      <alignment horizontal="center"/>
      <protection locked="0"/>
    </xf>
    <xf numFmtId="10" fontId="1" fillId="6" borderId="86" xfId="2" applyNumberFormat="1" applyFont="1" applyFill="1" applyBorder="1" applyAlignment="1" applyProtection="1">
      <alignment horizontal="center" vertical="center"/>
    </xf>
    <xf numFmtId="0" fontId="0" fillId="0" borderId="0" xfId="3" applyFont="1" applyAlignment="1">
      <alignment horizontal="center"/>
    </xf>
    <xf numFmtId="0" fontId="41" fillId="2" borderId="132" xfId="3" quotePrefix="1" applyFont="1" applyFill="1" applyBorder="1" applyAlignment="1">
      <alignment horizontal="center" vertical="center" wrapText="1"/>
    </xf>
    <xf numFmtId="0" fontId="41" fillId="16" borderId="124" xfId="3" applyFont="1" applyFill="1" applyBorder="1"/>
    <xf numFmtId="0" fontId="1" fillId="3" borderId="82" xfId="3" applyFill="1" applyBorder="1" applyAlignment="1" applyProtection="1">
      <alignment horizontal="center"/>
      <protection locked="0"/>
    </xf>
    <xf numFmtId="3" fontId="1" fillId="3" borderId="84" xfId="3" applyNumberFormat="1" applyFill="1" applyBorder="1" applyAlignment="1" applyProtection="1">
      <alignment horizontal="center"/>
      <protection locked="0"/>
    </xf>
    <xf numFmtId="3" fontId="1" fillId="3" borderId="82" xfId="3" applyNumberFormat="1" applyFill="1" applyBorder="1" applyAlignment="1" applyProtection="1">
      <alignment horizontal="center"/>
      <protection locked="0"/>
    </xf>
    <xf numFmtId="0" fontId="1" fillId="0" borderId="0" xfId="3" applyAlignment="1">
      <alignment horizontal="center" vertical="center"/>
    </xf>
    <xf numFmtId="0" fontId="17" fillId="17" borderId="179" xfId="3" applyFont="1" applyFill="1" applyBorder="1" applyAlignment="1">
      <alignment horizontal="center" vertical="center" wrapText="1"/>
    </xf>
    <xf numFmtId="0" fontId="17" fillId="17" borderId="1" xfId="3" applyFont="1" applyFill="1" applyBorder="1" applyAlignment="1">
      <alignment horizontal="center" vertical="center" wrapText="1"/>
    </xf>
    <xf numFmtId="1" fontId="1" fillId="10" borderId="82" xfId="3" applyNumberFormat="1" applyFill="1" applyBorder="1" applyAlignment="1" applyProtection="1">
      <alignment horizontal="center" vertical="center" wrapText="1"/>
      <protection locked="0"/>
    </xf>
    <xf numFmtId="1" fontId="1" fillId="10" borderId="152" xfId="3" applyNumberFormat="1" applyFill="1" applyBorder="1" applyAlignment="1" applyProtection="1">
      <alignment horizontal="center" vertical="center" wrapText="1"/>
      <protection locked="0"/>
    </xf>
    <xf numFmtId="0" fontId="1" fillId="10" borderId="187" xfId="3" applyFill="1" applyBorder="1" applyAlignment="1" applyProtection="1">
      <alignment horizontal="center" vertical="center" wrapText="1"/>
      <protection locked="0"/>
    </xf>
    <xf numFmtId="1" fontId="1" fillId="10" borderId="200" xfId="3" applyNumberFormat="1" applyFill="1" applyBorder="1" applyAlignment="1" applyProtection="1">
      <alignment horizontal="center" vertical="center" wrapText="1"/>
      <protection locked="0"/>
    </xf>
    <xf numFmtId="0" fontId="1" fillId="10" borderId="201" xfId="3" applyFill="1" applyBorder="1" applyAlignment="1" applyProtection="1">
      <alignment horizontal="center" vertical="center" wrapText="1"/>
      <protection locked="0"/>
    </xf>
    <xf numFmtId="0" fontId="1" fillId="10" borderId="202" xfId="3" applyFill="1" applyBorder="1" applyAlignment="1" applyProtection="1">
      <alignment horizontal="center" vertical="center" wrapText="1"/>
      <protection locked="0"/>
    </xf>
    <xf numFmtId="0" fontId="1" fillId="10" borderId="200" xfId="3" applyFill="1" applyBorder="1" applyAlignment="1" applyProtection="1">
      <alignment horizontal="center" vertical="center" wrapText="1"/>
      <protection locked="0"/>
    </xf>
    <xf numFmtId="1" fontId="1" fillId="10" borderId="84" xfId="3" applyNumberFormat="1" applyFill="1" applyBorder="1" applyAlignment="1" applyProtection="1">
      <alignment horizontal="center" vertical="center" wrapText="1"/>
      <protection locked="0"/>
    </xf>
    <xf numFmtId="1" fontId="1" fillId="10" borderId="86" xfId="3" applyNumberFormat="1" applyFill="1" applyBorder="1" applyAlignment="1" applyProtection="1">
      <alignment horizontal="center" vertical="center" wrapText="1"/>
      <protection locked="0"/>
    </xf>
    <xf numFmtId="1" fontId="1" fillId="10" borderId="131" xfId="3" applyNumberFormat="1" applyFill="1" applyBorder="1" applyAlignment="1" applyProtection="1">
      <alignment horizontal="center" vertical="center" wrapText="1"/>
      <protection locked="0"/>
    </xf>
    <xf numFmtId="0" fontId="1" fillId="10" borderId="177" xfId="3" applyFill="1" applyBorder="1" applyAlignment="1" applyProtection="1">
      <alignment horizontal="left" vertical="center" wrapText="1"/>
      <protection locked="0"/>
    </xf>
    <xf numFmtId="1" fontId="1" fillId="10" borderId="205" xfId="3" applyNumberFormat="1" applyFill="1" applyBorder="1" applyAlignment="1" applyProtection="1">
      <alignment horizontal="center" vertical="center" wrapText="1"/>
      <protection locked="0"/>
    </xf>
    <xf numFmtId="0" fontId="1" fillId="10" borderId="178" xfId="3" applyFill="1" applyBorder="1" applyAlignment="1" applyProtection="1">
      <alignment horizontal="center" vertical="center" wrapText="1"/>
      <protection locked="0"/>
    </xf>
    <xf numFmtId="0" fontId="1" fillId="10" borderId="177" xfId="3" applyFill="1" applyBorder="1" applyAlignment="1" applyProtection="1">
      <alignment horizontal="center" vertical="center" wrapText="1"/>
      <protection locked="0"/>
    </xf>
    <xf numFmtId="0" fontId="1" fillId="10" borderId="206" xfId="3" applyFill="1" applyBorder="1" applyAlignment="1" applyProtection="1">
      <alignment horizontal="center" vertical="center" wrapText="1"/>
      <protection locked="0"/>
    </xf>
    <xf numFmtId="0" fontId="1" fillId="10" borderId="205" xfId="3" applyFill="1" applyBorder="1" applyAlignment="1" applyProtection="1">
      <alignment horizontal="center" vertical="center" wrapText="1"/>
      <protection locked="0"/>
    </xf>
    <xf numFmtId="0" fontId="46" fillId="0" borderId="1" xfId="3" applyFont="1" applyBorder="1" applyAlignment="1">
      <alignment horizontal="center"/>
    </xf>
    <xf numFmtId="0" fontId="46" fillId="0" borderId="3" xfId="3" applyFont="1" applyBorder="1" applyAlignment="1">
      <alignment horizontal="center"/>
    </xf>
    <xf numFmtId="0" fontId="46" fillId="0" borderId="106" xfId="3" applyFont="1" applyBorder="1" applyAlignment="1">
      <alignment horizontal="center"/>
    </xf>
    <xf numFmtId="0" fontId="46" fillId="18" borderId="2" xfId="3" applyFont="1" applyFill="1" applyBorder="1" applyAlignment="1">
      <alignment horizontal="center"/>
    </xf>
    <xf numFmtId="0" fontId="46" fillId="18" borderId="106" xfId="3" applyFont="1" applyFill="1" applyBorder="1" applyAlignment="1">
      <alignment horizontal="center"/>
    </xf>
    <xf numFmtId="0" fontId="4" fillId="0" borderId="26" xfId="0" applyFont="1" applyBorder="1" applyAlignment="1">
      <alignment horizontal="center" vertical="center"/>
    </xf>
    <xf numFmtId="0" fontId="5" fillId="2" borderId="125" xfId="0" applyFont="1" applyFill="1" applyBorder="1" applyAlignment="1">
      <alignment horizontal="center"/>
    </xf>
    <xf numFmtId="0" fontId="5" fillId="2" borderId="126" xfId="0" applyFont="1" applyFill="1" applyBorder="1" applyAlignment="1">
      <alignment horizontal="center"/>
    </xf>
    <xf numFmtId="0" fontId="4" fillId="0" borderId="120" xfId="3" applyFont="1" applyBorder="1" applyAlignment="1">
      <alignment horizontal="center"/>
    </xf>
    <xf numFmtId="0" fontId="4" fillId="0" borderId="39" xfId="8" applyFont="1" applyBorder="1" applyAlignment="1">
      <alignment vertical="center" wrapText="1"/>
    </xf>
    <xf numFmtId="1" fontId="4" fillId="7" borderId="51" xfId="0" applyNumberFormat="1" applyFont="1" applyFill="1" applyBorder="1" applyAlignment="1">
      <alignment horizontal="right"/>
    </xf>
    <xf numFmtId="10" fontId="4" fillId="20" borderId="216" xfId="0" applyNumberFormat="1" applyFont="1" applyFill="1" applyBorder="1" applyAlignment="1" applyProtection="1">
      <alignment horizontal="right"/>
      <protection locked="0"/>
    </xf>
    <xf numFmtId="0" fontId="4" fillId="0" borderId="122" xfId="3" applyFont="1" applyBorder="1" applyAlignment="1">
      <alignment horizontal="center"/>
    </xf>
    <xf numFmtId="0" fontId="4" fillId="0" borderId="82" xfId="3" applyFont="1" applyBorder="1" applyAlignment="1">
      <alignment horizontal="center"/>
    </xf>
    <xf numFmtId="0" fontId="4" fillId="0" borderId="84" xfId="3" applyFont="1" applyBorder="1" applyAlignment="1">
      <alignment horizontal="center"/>
    </xf>
    <xf numFmtId="0" fontId="4" fillId="0" borderId="86" xfId="3" applyFont="1" applyBorder="1" applyAlignment="1">
      <alignment horizontal="center"/>
    </xf>
    <xf numFmtId="0" fontId="0" fillId="0" borderId="217" xfId="0" applyBorder="1" applyAlignment="1">
      <alignment horizontal="center"/>
    </xf>
    <xf numFmtId="0" fontId="17" fillId="12" borderId="37" xfId="0" applyFont="1" applyFill="1" applyBorder="1" applyAlignment="1">
      <alignment horizontal="center" wrapText="1"/>
    </xf>
    <xf numFmtId="0" fontId="17" fillId="12" borderId="115" xfId="0" applyFont="1" applyFill="1" applyBorder="1" applyAlignment="1">
      <alignment horizontal="center" wrapText="1"/>
    </xf>
    <xf numFmtId="0" fontId="17" fillId="12" borderId="3" xfId="0" applyFont="1" applyFill="1" applyBorder="1" applyAlignment="1">
      <alignment horizontal="center" wrapText="1"/>
    </xf>
    <xf numFmtId="0" fontId="34" fillId="13" borderId="116" xfId="0" applyFont="1" applyFill="1" applyBorder="1"/>
    <xf numFmtId="0" fontId="34" fillId="13" borderId="118" xfId="0" applyFont="1" applyFill="1" applyBorder="1"/>
    <xf numFmtId="0" fontId="34" fillId="13" borderId="119" xfId="0" applyFont="1" applyFill="1" applyBorder="1"/>
    <xf numFmtId="0" fontId="34" fillId="13" borderId="121" xfId="0" applyFont="1" applyFill="1" applyBorder="1"/>
    <xf numFmtId="0" fontId="34" fillId="13" borderId="123" xfId="0" applyFont="1" applyFill="1" applyBorder="1"/>
    <xf numFmtId="0" fontId="34" fillId="13" borderId="114" xfId="0" applyFont="1" applyFill="1" applyBorder="1"/>
    <xf numFmtId="0" fontId="0" fillId="0" borderId="218" xfId="0" applyBorder="1" applyAlignment="1">
      <alignment horizontal="center"/>
    </xf>
    <xf numFmtId="0" fontId="0" fillId="0" borderId="219" xfId="0" applyBorder="1" applyAlignment="1">
      <alignment horizontal="center"/>
    </xf>
    <xf numFmtId="0" fontId="1" fillId="0" borderId="152" xfId="0" applyFont="1" applyBorder="1"/>
    <xf numFmtId="3" fontId="4" fillId="3" borderId="82" xfId="7" applyNumberFormat="1" applyFont="1" applyFill="1" applyBorder="1" applyAlignment="1" applyProtection="1">
      <alignment horizontal="right"/>
      <protection locked="0"/>
    </xf>
    <xf numFmtId="3" fontId="4" fillId="3" borderId="84" xfId="7" applyNumberFormat="1" applyFont="1" applyFill="1" applyBorder="1" applyAlignment="1" applyProtection="1">
      <alignment horizontal="right"/>
      <protection locked="0"/>
    </xf>
    <xf numFmtId="0" fontId="17" fillId="12" borderId="180" xfId="3" applyFont="1" applyFill="1" applyBorder="1" applyAlignment="1">
      <alignment horizontal="center"/>
    </xf>
    <xf numFmtId="0" fontId="17" fillId="12" borderId="162" xfId="0" applyFont="1" applyFill="1" applyBorder="1" applyAlignment="1">
      <alignment horizontal="center" wrapText="1"/>
    </xf>
    <xf numFmtId="0" fontId="17" fillId="12" borderId="136" xfId="0" applyFont="1" applyFill="1" applyBorder="1" applyAlignment="1">
      <alignment horizontal="center" wrapText="1"/>
    </xf>
    <xf numFmtId="0" fontId="1" fillId="13" borderId="222" xfId="0" applyFont="1" applyFill="1" applyBorder="1"/>
    <xf numFmtId="0" fontId="1" fillId="13" borderId="112" xfId="0" applyFont="1" applyFill="1" applyBorder="1"/>
    <xf numFmtId="0" fontId="1" fillId="13" borderId="225" xfId="0" applyFont="1" applyFill="1" applyBorder="1"/>
    <xf numFmtId="0" fontId="1" fillId="13" borderId="220" xfId="0" applyFont="1" applyFill="1" applyBorder="1"/>
    <xf numFmtId="0" fontId="17" fillId="12" borderId="7" xfId="0" applyFont="1" applyFill="1" applyBorder="1" applyAlignment="1">
      <alignment horizontal="center" wrapText="1"/>
    </xf>
    <xf numFmtId="0" fontId="1" fillId="15" borderId="9" xfId="0" applyFont="1" applyFill="1" applyBorder="1"/>
    <xf numFmtId="0" fontId="1" fillId="13" borderId="9" xfId="0" applyFont="1" applyFill="1" applyBorder="1"/>
    <xf numFmtId="0" fontId="1" fillId="15" borderId="0" xfId="0" applyFont="1" applyFill="1"/>
    <xf numFmtId="0" fontId="1" fillId="13" borderId="35" xfId="0" applyFont="1" applyFill="1" applyBorder="1"/>
    <xf numFmtId="0" fontId="1" fillId="3" borderId="121" xfId="0" applyFont="1" applyFill="1" applyBorder="1" applyAlignment="1" applyProtection="1">
      <alignment horizontal="left"/>
      <protection locked="0"/>
    </xf>
    <xf numFmtId="0" fontId="1" fillId="3" borderId="114" xfId="0" applyFont="1" applyFill="1" applyBorder="1" applyAlignment="1" applyProtection="1">
      <alignment horizontal="left"/>
      <protection locked="0"/>
    </xf>
    <xf numFmtId="0" fontId="36" fillId="0" borderId="1" xfId="0" applyFont="1" applyBorder="1" applyProtection="1">
      <protection locked="0"/>
    </xf>
    <xf numFmtId="0" fontId="36" fillId="0" borderId="2" xfId="0" applyFont="1" applyBorder="1" applyProtection="1">
      <protection locked="0"/>
    </xf>
    <xf numFmtId="0" fontId="36" fillId="0" borderId="4" xfId="0" applyFont="1" applyBorder="1" applyProtection="1">
      <protection locked="0"/>
    </xf>
    <xf numFmtId="0" fontId="36" fillId="0" borderId="6" xfId="0" applyFont="1" applyBorder="1" applyProtection="1">
      <protection locked="0"/>
    </xf>
    <xf numFmtId="0" fontId="36" fillId="0" borderId="7" xfId="0" applyFont="1" applyBorder="1" applyProtection="1">
      <protection locked="0"/>
    </xf>
    <xf numFmtId="1" fontId="4" fillId="6" borderId="84" xfId="0" applyNumberFormat="1" applyFont="1" applyFill="1" applyBorder="1" applyAlignment="1">
      <alignment horizontal="right"/>
    </xf>
    <xf numFmtId="0" fontId="1" fillId="0" borderId="4" xfId="3" applyBorder="1" applyProtection="1">
      <protection locked="0"/>
    </xf>
    <xf numFmtId="0" fontId="17" fillId="0" borderId="0" xfId="0" applyFont="1" applyAlignment="1">
      <alignment horizontal="left"/>
    </xf>
    <xf numFmtId="0" fontId="1" fillId="3" borderId="30" xfId="3" applyFill="1" applyBorder="1" applyAlignment="1" applyProtection="1">
      <alignment horizontal="left"/>
      <protection locked="0"/>
    </xf>
    <xf numFmtId="0" fontId="1" fillId="3" borderId="58" xfId="3" applyFill="1" applyBorder="1" applyAlignment="1" applyProtection="1">
      <alignment horizontal="left"/>
      <protection locked="0"/>
    </xf>
    <xf numFmtId="0" fontId="1" fillId="3" borderId="132" xfId="3" applyFill="1" applyBorder="1" applyAlignment="1" applyProtection="1">
      <alignment horizontal="left"/>
      <protection locked="0"/>
    </xf>
    <xf numFmtId="0" fontId="1" fillId="3" borderId="28" xfId="3" applyFill="1" applyBorder="1" applyAlignment="1" applyProtection="1">
      <alignment horizontal="left"/>
      <protection locked="0"/>
    </xf>
    <xf numFmtId="0" fontId="1" fillId="3" borderId="83" xfId="3" applyFill="1" applyBorder="1" applyAlignment="1" applyProtection="1">
      <alignment horizontal="left"/>
      <protection locked="0"/>
    </xf>
    <xf numFmtId="2" fontId="1" fillId="8" borderId="84" xfId="0" applyNumberFormat="1" applyFont="1" applyFill="1" applyBorder="1" applyAlignment="1" applyProtection="1">
      <alignment horizontal="right"/>
      <protection locked="0"/>
    </xf>
    <xf numFmtId="0" fontId="1" fillId="3" borderId="130" xfId="3" applyFill="1" applyBorder="1" applyAlignment="1" applyProtection="1">
      <alignment horizontal="left"/>
      <protection locked="0"/>
    </xf>
    <xf numFmtId="0" fontId="4" fillId="0" borderId="0" xfId="0" applyFont="1" applyAlignment="1">
      <alignment vertical="top" wrapText="1"/>
    </xf>
    <xf numFmtId="0" fontId="55" fillId="0" borderId="0" xfId="0" quotePrefix="1" applyFont="1"/>
    <xf numFmtId="0" fontId="1" fillId="0" borderId="4" xfId="0" applyFont="1" applyBorder="1" applyProtection="1">
      <protection locked="0"/>
    </xf>
    <xf numFmtId="1" fontId="4" fillId="0" borderId="0" xfId="3" applyNumberFormat="1" applyFont="1" applyAlignment="1">
      <alignment horizontal="center"/>
    </xf>
    <xf numFmtId="165" fontId="1" fillId="6" borderId="24" xfId="7" applyNumberFormat="1" applyFont="1" applyFill="1" applyBorder="1" applyAlignment="1">
      <alignment horizontal="right"/>
    </xf>
    <xf numFmtId="165" fontId="1" fillId="6" borderId="26" xfId="7" applyNumberFormat="1" applyFont="1" applyFill="1" applyBorder="1" applyAlignment="1">
      <alignment horizontal="right"/>
    </xf>
    <xf numFmtId="0" fontId="1" fillId="3" borderId="32" xfId="3" applyFill="1" applyBorder="1" applyAlignment="1" applyProtection="1">
      <alignment horizontal="left"/>
      <protection locked="0"/>
    </xf>
    <xf numFmtId="3" fontId="1" fillId="0" borderId="0" xfId="3" applyNumberFormat="1"/>
    <xf numFmtId="2" fontId="15" fillId="0" borderId="0" xfId="3" applyNumberFormat="1" applyFont="1"/>
    <xf numFmtId="2" fontId="1" fillId="0" borderId="0" xfId="3" applyNumberFormat="1" applyAlignment="1" applyProtection="1">
      <alignment horizontal="right"/>
      <protection locked="0"/>
    </xf>
    <xf numFmtId="0" fontId="1" fillId="0" borderId="0" xfId="3" applyAlignment="1" applyProtection="1">
      <alignment horizontal="left"/>
      <protection locked="0"/>
    </xf>
    <xf numFmtId="0" fontId="56" fillId="2" borderId="1" xfId="0" applyFont="1" applyFill="1" applyBorder="1" applyAlignment="1">
      <alignment horizontal="center" vertical="center"/>
    </xf>
    <xf numFmtId="0" fontId="1" fillId="0" borderId="116" xfId="0" applyFont="1" applyBorder="1"/>
    <xf numFmtId="0" fontId="1" fillId="0" borderId="123" xfId="0" applyFont="1" applyBorder="1"/>
    <xf numFmtId="0" fontId="1" fillId="0" borderId="118" xfId="0" applyFont="1" applyBorder="1"/>
    <xf numFmtId="0" fontId="55" fillId="0" borderId="0" xfId="0" applyFont="1"/>
    <xf numFmtId="2" fontId="4" fillId="8" borderId="23" xfId="3" applyNumberFormat="1" applyFont="1" applyFill="1" applyBorder="1" applyAlignment="1" applyProtection="1">
      <alignment horizontal="right"/>
      <protection locked="0"/>
    </xf>
    <xf numFmtId="10" fontId="4" fillId="8" borderId="24" xfId="3" applyNumberFormat="1" applyFont="1" applyFill="1" applyBorder="1" applyAlignment="1" applyProtection="1">
      <alignment horizontal="right"/>
      <protection locked="0"/>
    </xf>
    <xf numFmtId="0" fontId="4" fillId="5" borderId="234" xfId="0" applyFont="1" applyFill="1" applyBorder="1" applyAlignment="1" applyProtection="1">
      <alignment horizontal="left"/>
      <protection locked="0"/>
    </xf>
    <xf numFmtId="1" fontId="4" fillId="9" borderId="6" xfId="0" applyNumberFormat="1" applyFont="1" applyFill="1" applyBorder="1" applyAlignment="1">
      <alignment horizontal="right"/>
    </xf>
    <xf numFmtId="0" fontId="4" fillId="5" borderId="47" xfId="0" applyFont="1" applyFill="1" applyBorder="1" applyAlignment="1" applyProtection="1">
      <alignment horizontal="left"/>
      <protection locked="0"/>
    </xf>
    <xf numFmtId="0" fontId="4" fillId="0" borderId="60" xfId="0" applyFont="1" applyBorder="1" applyAlignment="1">
      <alignment horizontal="center" wrapText="1"/>
    </xf>
    <xf numFmtId="0" fontId="4" fillId="0" borderId="24" xfId="0" applyFont="1" applyBorder="1" applyAlignment="1">
      <alignment horizontal="center" wrapText="1"/>
    </xf>
    <xf numFmtId="0" fontId="4" fillId="0" borderId="178" xfId="0" applyFont="1" applyBorder="1" applyAlignment="1">
      <alignment horizontal="center" wrapText="1"/>
    </xf>
    <xf numFmtId="0" fontId="4" fillId="8" borderId="101" xfId="0" applyFont="1" applyFill="1" applyBorder="1" applyAlignment="1">
      <alignment horizontal="center"/>
    </xf>
    <xf numFmtId="2" fontId="4" fillId="8" borderId="101" xfId="0" applyNumberFormat="1" applyFont="1" applyFill="1" applyBorder="1" applyAlignment="1">
      <alignment horizontal="center"/>
    </xf>
    <xf numFmtId="1" fontId="4" fillId="8" borderId="101" xfId="0" applyNumberFormat="1" applyFont="1" applyFill="1" applyBorder="1" applyAlignment="1">
      <alignment horizontal="center"/>
    </xf>
    <xf numFmtId="10" fontId="4" fillId="8" borderId="102" xfId="0" applyNumberFormat="1" applyFont="1" applyFill="1" applyBorder="1" applyAlignment="1">
      <alignment horizontal="center"/>
    </xf>
    <xf numFmtId="0" fontId="0" fillId="8" borderId="101" xfId="0" applyFill="1" applyBorder="1" applyAlignment="1">
      <alignment horizontal="center"/>
    </xf>
    <xf numFmtId="10" fontId="0" fillId="8" borderId="101" xfId="2" applyNumberFormat="1" applyFont="1" applyFill="1" applyBorder="1" applyAlignment="1">
      <alignment horizontal="center"/>
    </xf>
    <xf numFmtId="2" fontId="0" fillId="8" borderId="101" xfId="0" applyNumberFormat="1" applyFill="1" applyBorder="1" applyAlignment="1">
      <alignment horizontal="center"/>
    </xf>
    <xf numFmtId="2" fontId="1" fillId="8" borderId="101" xfId="0" applyNumberFormat="1" applyFont="1" applyFill="1" applyBorder="1" applyAlignment="1">
      <alignment horizontal="center"/>
    </xf>
    <xf numFmtId="2" fontId="1" fillId="8" borderId="102" xfId="0" applyNumberFormat="1" applyFont="1" applyFill="1" applyBorder="1" applyAlignment="1">
      <alignment horizontal="center"/>
    </xf>
    <xf numFmtId="2" fontId="0" fillId="8" borderId="102" xfId="0" applyNumberFormat="1" applyFill="1" applyBorder="1" applyAlignment="1">
      <alignment horizontal="center"/>
    </xf>
    <xf numFmtId="0" fontId="0" fillId="8" borderId="191" xfId="0" applyFill="1" applyBorder="1" applyAlignment="1">
      <alignment horizontal="center"/>
    </xf>
    <xf numFmtId="1" fontId="1" fillId="3" borderId="23" xfId="0" applyNumberFormat="1" applyFont="1" applyFill="1" applyBorder="1" applyAlignment="1" applyProtection="1">
      <alignment horizontal="right"/>
      <protection locked="0"/>
    </xf>
    <xf numFmtId="0" fontId="1" fillId="3" borderId="28" xfId="0" applyFont="1" applyFill="1" applyBorder="1" applyAlignment="1" applyProtection="1">
      <alignment horizontal="left"/>
      <protection locked="0"/>
    </xf>
    <xf numFmtId="1" fontId="1" fillId="3" borderId="24" xfId="0" applyNumberFormat="1" applyFont="1" applyFill="1" applyBorder="1" applyAlignment="1" applyProtection="1">
      <alignment horizontal="right"/>
      <protection locked="0"/>
    </xf>
    <xf numFmtId="0" fontId="1" fillId="3" borderId="30" xfId="0" applyFont="1" applyFill="1" applyBorder="1" applyAlignment="1" applyProtection="1">
      <alignment horizontal="left"/>
      <protection locked="0"/>
    </xf>
    <xf numFmtId="1" fontId="1" fillId="6" borderId="24" xfId="0" applyNumberFormat="1" applyFont="1" applyFill="1" applyBorder="1" applyAlignment="1">
      <alignment horizontal="right"/>
    </xf>
    <xf numFmtId="1" fontId="1" fillId="3" borderId="26" xfId="0" applyNumberFormat="1" applyFont="1" applyFill="1" applyBorder="1" applyAlignment="1" applyProtection="1">
      <alignment horizontal="right"/>
      <protection locked="0"/>
    </xf>
    <xf numFmtId="0" fontId="1" fillId="3" borderId="32" xfId="0" applyFont="1" applyFill="1" applyBorder="1" applyAlignment="1" applyProtection="1">
      <alignment horizontal="left"/>
      <protection locked="0"/>
    </xf>
    <xf numFmtId="1" fontId="1" fillId="6" borderId="26" xfId="0" applyNumberFormat="1" applyFont="1" applyFill="1" applyBorder="1" applyAlignment="1">
      <alignment horizontal="right"/>
    </xf>
    <xf numFmtId="1" fontId="1" fillId="3" borderId="60" xfId="0" applyNumberFormat="1" applyFont="1" applyFill="1" applyBorder="1" applyAlignment="1" applyProtection="1">
      <alignment horizontal="right"/>
      <protection locked="0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9" fillId="0" borderId="0" xfId="0" applyFont="1" applyAlignment="1">
      <alignment vertical="center" wrapText="1"/>
    </xf>
    <xf numFmtId="0" fontId="1" fillId="3" borderId="58" xfId="0" applyFont="1" applyFill="1" applyBorder="1" applyAlignment="1" applyProtection="1">
      <alignment horizontal="left"/>
      <protection locked="0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8" xfId="0" applyFont="1" applyBorder="1" applyProtection="1">
      <protection locked="0"/>
    </xf>
    <xf numFmtId="9" fontId="0" fillId="0" borderId="0" xfId="2" applyFont="1"/>
    <xf numFmtId="1" fontId="0" fillId="0" borderId="0" xfId="0" applyNumberFormat="1"/>
    <xf numFmtId="0" fontId="19" fillId="2" borderId="6" xfId="0" applyFont="1" applyFill="1" applyBorder="1" applyAlignment="1">
      <alignment horizontal="left"/>
    </xf>
    <xf numFmtId="0" fontId="4" fillId="0" borderId="49" xfId="0" applyFont="1" applyBorder="1" applyAlignment="1">
      <alignment horizontal="center"/>
    </xf>
    <xf numFmtId="0" fontId="4" fillId="0" borderId="54" xfId="0" applyFont="1" applyBorder="1" applyAlignment="1">
      <alignment wrapText="1"/>
    </xf>
    <xf numFmtId="0" fontId="4" fillId="0" borderId="54" xfId="0" applyFont="1" applyBorder="1" applyAlignment="1">
      <alignment horizontal="center"/>
    </xf>
    <xf numFmtId="0" fontId="4" fillId="0" borderId="55" xfId="0" applyFont="1" applyBorder="1" applyAlignment="1">
      <alignment horizontal="center"/>
    </xf>
    <xf numFmtId="0" fontId="1" fillId="0" borderId="9" xfId="0" applyFont="1" applyBorder="1"/>
    <xf numFmtId="0" fontId="6" fillId="2" borderId="49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66" xfId="0" applyFont="1" applyFill="1" applyBorder="1" applyAlignment="1">
      <alignment horizontal="center"/>
    </xf>
    <xf numFmtId="0" fontId="6" fillId="2" borderId="235" xfId="0" applyFont="1" applyFill="1" applyBorder="1" applyAlignment="1">
      <alignment horizontal="center"/>
    </xf>
    <xf numFmtId="0" fontId="6" fillId="2" borderId="67" xfId="0" applyFont="1" applyFill="1" applyBorder="1" applyAlignment="1">
      <alignment horizontal="center"/>
    </xf>
    <xf numFmtId="0" fontId="6" fillId="2" borderId="54" xfId="0" applyFont="1" applyFill="1" applyBorder="1" applyAlignment="1">
      <alignment horizontal="center"/>
    </xf>
    <xf numFmtId="0" fontId="4" fillId="0" borderId="236" xfId="0" applyFont="1" applyBorder="1"/>
    <xf numFmtId="0" fontId="4" fillId="0" borderId="69" xfId="0" applyFont="1" applyBorder="1"/>
    <xf numFmtId="0" fontId="1" fillId="3" borderId="23" xfId="3" applyFill="1" applyBorder="1" applyAlignment="1" applyProtection="1">
      <alignment horizontal="center"/>
      <protection locked="0"/>
    </xf>
    <xf numFmtId="0" fontId="1" fillId="3" borderId="24" xfId="3" applyFill="1" applyBorder="1" applyAlignment="1" applyProtection="1">
      <alignment horizontal="center"/>
      <protection locked="0"/>
    </xf>
    <xf numFmtId="3" fontId="1" fillId="3" borderId="24" xfId="3" applyNumberFormat="1" applyFill="1" applyBorder="1" applyAlignment="1" applyProtection="1">
      <alignment horizontal="center"/>
      <protection locked="0"/>
    </xf>
    <xf numFmtId="10" fontId="1" fillId="6" borderId="24" xfId="2" applyNumberFormat="1" applyFont="1" applyFill="1" applyBorder="1" applyAlignment="1" applyProtection="1">
      <alignment horizontal="center" vertical="center"/>
    </xf>
    <xf numFmtId="10" fontId="1" fillId="6" borderId="26" xfId="2" applyNumberFormat="1" applyFont="1" applyFill="1" applyBorder="1" applyAlignment="1" applyProtection="1">
      <alignment horizontal="center" vertical="center"/>
    </xf>
    <xf numFmtId="0" fontId="1" fillId="0" borderId="237" xfId="3" applyBorder="1"/>
    <xf numFmtId="0" fontId="41" fillId="16" borderId="99" xfId="3" applyFont="1" applyFill="1" applyBorder="1"/>
    <xf numFmtId="0" fontId="41" fillId="0" borderId="0" xfId="3" applyFont="1" applyAlignment="1">
      <alignment horizontal="left" indent="1"/>
    </xf>
    <xf numFmtId="0" fontId="13" fillId="2" borderId="147" xfId="3" applyFont="1" applyFill="1" applyBorder="1" applyAlignment="1">
      <alignment horizontal="center"/>
    </xf>
    <xf numFmtId="0" fontId="41" fillId="2" borderId="238" xfId="3" applyFont="1" applyFill="1" applyBorder="1"/>
    <xf numFmtId="0" fontId="13" fillId="2" borderId="239" xfId="3" applyFont="1" applyFill="1" applyBorder="1" applyAlignment="1">
      <alignment horizontal="center"/>
    </xf>
    <xf numFmtId="0" fontId="1" fillId="0" borderId="26" xfId="3" applyBorder="1" applyAlignment="1">
      <alignment horizontal="center"/>
    </xf>
    <xf numFmtId="0" fontId="1" fillId="0" borderId="31" xfId="3" applyBorder="1"/>
    <xf numFmtId="0" fontId="1" fillId="0" borderId="54" xfId="3" applyBorder="1"/>
    <xf numFmtId="0" fontId="13" fillId="2" borderId="59" xfId="3" applyFont="1" applyFill="1" applyBorder="1" applyAlignment="1">
      <alignment horizontal="center"/>
    </xf>
    <xf numFmtId="0" fontId="41" fillId="2" borderId="240" xfId="3" applyFont="1" applyFill="1" applyBorder="1"/>
    <xf numFmtId="0" fontId="41" fillId="2" borderId="241" xfId="3" applyFont="1" applyFill="1" applyBorder="1"/>
    <xf numFmtId="0" fontId="13" fillId="2" borderId="105" xfId="3" applyFont="1" applyFill="1" applyBorder="1" applyAlignment="1">
      <alignment horizontal="center"/>
    </xf>
    <xf numFmtId="0" fontId="1" fillId="0" borderId="60" xfId="3" applyBorder="1" applyAlignment="1">
      <alignment horizontal="center"/>
    </xf>
    <xf numFmtId="0" fontId="1" fillId="0" borderId="79" xfId="3" applyBorder="1"/>
    <xf numFmtId="0" fontId="4" fillId="0" borderId="242" xfId="0" applyFont="1" applyBorder="1"/>
    <xf numFmtId="0" fontId="4" fillId="0" borderId="74" xfId="0" applyFont="1" applyBorder="1"/>
    <xf numFmtId="2" fontId="4" fillId="5" borderId="24" xfId="3" applyNumberFormat="1" applyFont="1" applyFill="1" applyBorder="1" applyAlignment="1" applyProtection="1">
      <alignment horizontal="right"/>
      <protection locked="0"/>
    </xf>
    <xf numFmtId="0" fontId="4" fillId="0" borderId="23" xfId="3" applyFont="1" applyBorder="1" applyAlignment="1">
      <alignment horizontal="center"/>
    </xf>
    <xf numFmtId="0" fontId="4" fillId="0" borderId="27" xfId="3" applyFont="1" applyBorder="1" applyAlignment="1">
      <alignment wrapText="1"/>
    </xf>
    <xf numFmtId="0" fontId="4" fillId="0" borderId="27" xfId="3" applyFont="1" applyBorder="1" applyAlignment="1">
      <alignment horizontal="center"/>
    </xf>
    <xf numFmtId="0" fontId="4" fillId="0" borderId="28" xfId="3" applyFont="1" applyBorder="1" applyAlignment="1">
      <alignment horizontal="center"/>
    </xf>
    <xf numFmtId="0" fontId="4" fillId="0" borderId="31" xfId="3" applyFont="1" applyBorder="1" applyAlignment="1">
      <alignment wrapText="1"/>
    </xf>
    <xf numFmtId="0" fontId="4" fillId="0" borderId="32" xfId="3" applyFont="1" applyBorder="1" applyAlignment="1">
      <alignment horizontal="center"/>
    </xf>
    <xf numFmtId="0" fontId="9" fillId="2" borderId="22" xfId="0" applyFont="1" applyFill="1" applyBorder="1" applyAlignment="1">
      <alignment horizontal="center"/>
    </xf>
    <xf numFmtId="0" fontId="6" fillId="2" borderId="6" xfId="3" applyFont="1" applyFill="1" applyBorder="1" applyAlignment="1">
      <alignment horizontal="center"/>
    </xf>
    <xf numFmtId="0" fontId="9" fillId="2" borderId="47" xfId="3" applyFont="1" applyFill="1" applyBorder="1" applyAlignment="1">
      <alignment horizontal="center"/>
    </xf>
    <xf numFmtId="0" fontId="9" fillId="2" borderId="47" xfId="0" applyFont="1" applyFill="1" applyBorder="1" applyAlignment="1">
      <alignment horizontal="center"/>
    </xf>
    <xf numFmtId="0" fontId="4" fillId="0" borderId="0" xfId="3" applyFont="1" applyAlignment="1">
      <alignment vertical="center"/>
    </xf>
    <xf numFmtId="0" fontId="18" fillId="2" borderId="99" xfId="0" quotePrefix="1" applyFont="1" applyFill="1" applyBorder="1" applyAlignment="1">
      <alignment horizontal="center"/>
    </xf>
    <xf numFmtId="0" fontId="6" fillId="2" borderId="40" xfId="3" applyFont="1" applyFill="1" applyBorder="1" applyAlignment="1">
      <alignment horizontal="center" vertical="center"/>
    </xf>
    <xf numFmtId="0" fontId="0" fillId="0" borderId="68" xfId="3" applyFont="1" applyBorder="1" applyAlignment="1">
      <alignment horizontal="center"/>
    </xf>
    <xf numFmtId="0" fontId="0" fillId="0" borderId="30" xfId="3" applyFont="1" applyBorder="1" applyAlignment="1">
      <alignment horizontal="center"/>
    </xf>
    <xf numFmtId="0" fontId="0" fillId="0" borderId="32" xfId="3" applyFont="1" applyBorder="1" applyAlignment="1">
      <alignment horizontal="center"/>
    </xf>
    <xf numFmtId="0" fontId="0" fillId="0" borderId="0" xfId="3" applyFont="1"/>
    <xf numFmtId="0" fontId="0" fillId="0" borderId="237" xfId="3" applyFont="1" applyBorder="1" applyAlignment="1">
      <alignment horizontal="center" vertical="center"/>
    </xf>
    <xf numFmtId="0" fontId="0" fillId="0" borderId="78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41" fillId="2" borderId="238" xfId="3" applyFont="1" applyFill="1" applyBorder="1" applyAlignment="1">
      <alignment horizontal="center" vertical="center"/>
    </xf>
    <xf numFmtId="0" fontId="0" fillId="0" borderId="29" xfId="3" applyFont="1" applyBorder="1" applyAlignment="1">
      <alignment horizontal="center" vertical="center"/>
    </xf>
    <xf numFmtId="0" fontId="0" fillId="0" borderId="31" xfId="3" applyFont="1" applyBorder="1" applyAlignment="1">
      <alignment horizontal="center" vertical="center"/>
    </xf>
    <xf numFmtId="0" fontId="41" fillId="0" borderId="0" xfId="3" applyFont="1" applyAlignment="1">
      <alignment horizontal="center" vertical="center"/>
    </xf>
    <xf numFmtId="0" fontId="41" fillId="2" borderId="241" xfId="3" applyFont="1" applyFill="1" applyBorder="1" applyAlignment="1">
      <alignment horizontal="center" vertical="center"/>
    </xf>
    <xf numFmtId="0" fontId="0" fillId="0" borderId="42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7" xfId="0" applyBorder="1"/>
    <xf numFmtId="0" fontId="37" fillId="0" borderId="2" xfId="0" applyFont="1" applyBorder="1" applyProtection="1">
      <protection locked="0"/>
    </xf>
    <xf numFmtId="0" fontId="37" fillId="0" borderId="3" xfId="0" applyFont="1" applyBorder="1" applyProtection="1">
      <protection locked="0"/>
    </xf>
    <xf numFmtId="0" fontId="37" fillId="0" borderId="4" xfId="0" applyFont="1" applyBorder="1" applyProtection="1">
      <protection locked="0"/>
    </xf>
    <xf numFmtId="0" fontId="37" fillId="0" borderId="5" xfId="0" applyFont="1" applyBorder="1" applyProtection="1">
      <protection locked="0"/>
    </xf>
    <xf numFmtId="0" fontId="37" fillId="0" borderId="7" xfId="0" applyFont="1" applyBorder="1" applyProtection="1">
      <protection locked="0"/>
    </xf>
    <xf numFmtId="0" fontId="37" fillId="0" borderId="8" xfId="0" applyFont="1" applyBorder="1" applyProtection="1">
      <protection locked="0"/>
    </xf>
    <xf numFmtId="0" fontId="27" fillId="0" borderId="9" xfId="0" applyFont="1" applyBorder="1"/>
    <xf numFmtId="3" fontId="39" fillId="0" borderId="0" xfId="3" applyNumberFormat="1" applyFont="1" applyAlignment="1">
      <alignment horizontal="center"/>
    </xf>
    <xf numFmtId="10" fontId="39" fillId="0" borderId="99" xfId="9" applyNumberFormat="1" applyFont="1" applyBorder="1" applyProtection="1"/>
    <xf numFmtId="10" fontId="39" fillId="0" borderId="0" xfId="9" applyNumberFormat="1" applyFont="1" applyBorder="1" applyProtection="1"/>
    <xf numFmtId="1" fontId="39" fillId="0" borderId="99" xfId="9" applyNumberFormat="1" applyFont="1" applyBorder="1" applyProtection="1"/>
    <xf numFmtId="1" fontId="39" fillId="0" borderId="0" xfId="9" applyNumberFormat="1" applyFont="1" applyBorder="1" applyProtection="1"/>
    <xf numFmtId="0" fontId="7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57" fillId="0" borderId="0" xfId="0" applyFont="1"/>
    <xf numFmtId="0" fontId="7" fillId="0" borderId="9" xfId="0" applyFont="1" applyBorder="1" applyAlignment="1">
      <alignment horizontal="center"/>
    </xf>
    <xf numFmtId="0" fontId="11" fillId="0" borderId="9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6" fillId="2" borderId="125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4" fillId="0" borderId="127" xfId="0" quotePrefix="1" applyFont="1" applyBorder="1" applyAlignment="1">
      <alignment horizontal="center"/>
    </xf>
    <xf numFmtId="0" fontId="4" fillId="0" borderId="243" xfId="0" applyFont="1" applyBorder="1" applyAlignment="1">
      <alignment horizontal="center"/>
    </xf>
    <xf numFmtId="1" fontId="4" fillId="5" borderId="120" xfId="0" applyNumberFormat="1" applyFont="1" applyFill="1" applyBorder="1" applyAlignment="1" applyProtection="1">
      <alignment horizontal="right"/>
      <protection locked="0"/>
    </xf>
    <xf numFmtId="0" fontId="4" fillId="0" borderId="127" xfId="0" applyFont="1" applyBorder="1" applyAlignment="1">
      <alignment horizontal="center"/>
    </xf>
    <xf numFmtId="0" fontId="4" fillId="0" borderId="146" xfId="0" applyFont="1" applyBorder="1"/>
    <xf numFmtId="0" fontId="4" fillId="0" borderId="33" xfId="0" applyFont="1" applyBorder="1" applyAlignment="1">
      <alignment horizontal="center"/>
    </xf>
    <xf numFmtId="1" fontId="4" fillId="3" borderId="122" xfId="0" applyNumberFormat="1" applyFont="1" applyFill="1" applyBorder="1" applyAlignment="1" applyProtection="1">
      <alignment horizontal="right"/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right"/>
    </xf>
    <xf numFmtId="0" fontId="6" fillId="2" borderId="35" xfId="0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0" fontId="4" fillId="4" borderId="23" xfId="0" applyFont="1" applyFill="1" applyBorder="1" applyAlignment="1">
      <alignment horizontal="center"/>
    </xf>
    <xf numFmtId="0" fontId="4" fillId="4" borderId="24" xfId="0" applyFont="1" applyFill="1" applyBorder="1" applyAlignment="1">
      <alignment horizontal="center"/>
    </xf>
    <xf numFmtId="0" fontId="4" fillId="4" borderId="26" xfId="0" applyFont="1" applyFill="1" applyBorder="1" applyAlignment="1">
      <alignment horizontal="center"/>
    </xf>
    <xf numFmtId="0" fontId="4" fillId="4" borderId="60" xfId="0" applyFont="1" applyFill="1" applyBorder="1" applyAlignment="1">
      <alignment horizontal="center"/>
    </xf>
    <xf numFmtId="1" fontId="4" fillId="3" borderId="60" xfId="0" applyNumberFormat="1" applyFont="1" applyFill="1" applyBorder="1" applyAlignment="1" applyProtection="1">
      <alignment horizontal="right"/>
      <protection locked="0"/>
    </xf>
    <xf numFmtId="0" fontId="58" fillId="0" borderId="0" xfId="0" applyFont="1"/>
    <xf numFmtId="0" fontId="6" fillId="2" borderId="2" xfId="0" applyFont="1" applyFill="1" applyBorder="1" applyAlignment="1">
      <alignment horizontal="center"/>
    </xf>
    <xf numFmtId="1" fontId="1" fillId="3" borderId="151" xfId="0" applyNumberFormat="1" applyFont="1" applyFill="1" applyBorder="1" applyAlignment="1" applyProtection="1">
      <alignment horizontal="right"/>
      <protection locked="0"/>
    </xf>
    <xf numFmtId="1" fontId="4" fillId="8" borderId="24" xfId="0" applyNumberFormat="1" applyFont="1" applyFill="1" applyBorder="1" applyAlignment="1" applyProtection="1">
      <alignment horizontal="right"/>
      <protection locked="0"/>
    </xf>
    <xf numFmtId="1" fontId="4" fillId="8" borderId="26" xfId="0" applyNumberFormat="1" applyFont="1" applyFill="1" applyBorder="1" applyAlignment="1" applyProtection="1">
      <alignment horizontal="right"/>
      <protection locked="0"/>
    </xf>
    <xf numFmtId="0" fontId="16" fillId="0" borderId="31" xfId="0" applyFont="1" applyBorder="1"/>
    <xf numFmtId="0" fontId="4" fillId="0" borderId="60" xfId="0" applyFont="1" applyBorder="1" applyAlignment="1">
      <alignment horizontal="center" vertical="center"/>
    </xf>
    <xf numFmtId="0" fontId="0" fillId="0" borderId="29" xfId="0" applyBorder="1" applyAlignment="1">
      <alignment horizontal="center" wrapText="1"/>
    </xf>
    <xf numFmtId="0" fontId="0" fillId="0" borderId="23" xfId="0" applyBorder="1"/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4" xfId="0" applyBorder="1"/>
    <xf numFmtId="0" fontId="0" fillId="0" borderId="30" xfId="0" applyBorder="1" applyAlignment="1">
      <alignment horizontal="center" wrapText="1"/>
    </xf>
    <xf numFmtId="0" fontId="0" fillId="0" borderId="26" xfId="0" applyBorder="1"/>
    <xf numFmtId="0" fontId="0" fillId="0" borderId="31" xfId="0" applyBorder="1" applyAlignment="1">
      <alignment horizontal="center" wrapText="1"/>
    </xf>
    <xf numFmtId="0" fontId="0" fillId="0" borderId="32" xfId="0" applyBorder="1" applyAlignment="1">
      <alignment horizontal="center" wrapText="1"/>
    </xf>
    <xf numFmtId="0" fontId="1" fillId="0" borderId="184" xfId="0" applyFont="1" applyBorder="1" applyAlignment="1">
      <alignment horizontal="center"/>
    </xf>
    <xf numFmtId="0" fontId="1" fillId="0" borderId="24" xfId="0" applyFont="1" applyBorder="1"/>
    <xf numFmtId="0" fontId="6" fillId="2" borderId="38" xfId="3" applyFont="1" applyFill="1" applyBorder="1" applyAlignment="1">
      <alignment horizontal="left" vertical="center" wrapText="1"/>
    </xf>
    <xf numFmtId="0" fontId="6" fillId="2" borderId="39" xfId="3" applyFont="1" applyFill="1" applyBorder="1" applyAlignment="1">
      <alignment horizontal="left" vertical="center"/>
    </xf>
    <xf numFmtId="0" fontId="6" fillId="2" borderId="39" xfId="3" applyFont="1" applyFill="1" applyBorder="1" applyAlignment="1">
      <alignment horizontal="center" vertical="center" wrapText="1"/>
    </xf>
    <xf numFmtId="0" fontId="6" fillId="2" borderId="39" xfId="3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1" fillId="2" borderId="151" xfId="3" quotePrefix="1" applyFont="1" applyFill="1" applyBorder="1" applyAlignment="1">
      <alignment horizontal="center" vertical="center" wrapText="1"/>
    </xf>
    <xf numFmtId="0" fontId="1" fillId="0" borderId="0" xfId="3" applyAlignment="1">
      <alignment vertical="center"/>
    </xf>
    <xf numFmtId="2" fontId="4" fillId="9" borderId="147" xfId="0" applyNumberFormat="1" applyFont="1" applyFill="1" applyBorder="1" applyAlignment="1">
      <alignment horizontal="right"/>
    </xf>
    <xf numFmtId="2" fontId="1" fillId="3" borderId="151" xfId="0" applyNumberFormat="1" applyFont="1" applyFill="1" applyBorder="1" applyAlignment="1" applyProtection="1">
      <alignment horizontal="right"/>
      <protection locked="0"/>
    </xf>
    <xf numFmtId="2" fontId="4" fillId="5" borderId="76" xfId="2" applyNumberFormat="1" applyFont="1" applyFill="1" applyBorder="1" applyAlignment="1" applyProtection="1">
      <alignment horizontal="right"/>
      <protection locked="0"/>
    </xf>
    <xf numFmtId="4" fontId="4" fillId="3" borderId="151" xfId="7" applyNumberFormat="1" applyFont="1" applyFill="1" applyBorder="1" applyAlignment="1" applyProtection="1">
      <alignment horizontal="right"/>
      <protection locked="0"/>
    </xf>
    <xf numFmtId="2" fontId="4" fillId="3" borderId="23" xfId="7" applyNumberFormat="1" applyFont="1" applyFill="1" applyBorder="1" applyAlignment="1" applyProtection="1">
      <alignment horizontal="right"/>
      <protection locked="0"/>
    </xf>
    <xf numFmtId="2" fontId="4" fillId="3" borderId="24" xfId="7" applyNumberFormat="1" applyFont="1" applyFill="1" applyBorder="1" applyAlignment="1" applyProtection="1">
      <alignment horizontal="right"/>
      <protection locked="0"/>
    </xf>
    <xf numFmtId="4" fontId="4" fillId="3" borderId="24" xfId="7" applyNumberFormat="1" applyFont="1" applyFill="1" applyBorder="1" applyAlignment="1" applyProtection="1">
      <alignment horizontal="right"/>
      <protection locked="0"/>
    </xf>
    <xf numFmtId="4" fontId="4" fillId="3" borderId="26" xfId="7" applyNumberFormat="1" applyFont="1" applyFill="1" applyBorder="1" applyAlignment="1" applyProtection="1">
      <alignment horizontal="right"/>
      <protection locked="0"/>
    </xf>
    <xf numFmtId="2" fontId="1" fillId="3" borderId="56" xfId="3" applyNumberFormat="1" applyFill="1" applyBorder="1" applyAlignment="1" applyProtection="1">
      <alignment horizontal="right"/>
      <protection locked="0"/>
    </xf>
    <xf numFmtId="2" fontId="4" fillId="3" borderId="23" xfId="7" quotePrefix="1" applyNumberFormat="1" applyFont="1" applyFill="1" applyBorder="1" applyAlignment="1" applyProtection="1">
      <alignment horizontal="right"/>
      <protection locked="0"/>
    </xf>
    <xf numFmtId="2" fontId="1" fillId="3" borderId="56" xfId="0" applyNumberFormat="1" applyFont="1" applyFill="1" applyBorder="1" applyAlignment="1" applyProtection="1">
      <alignment horizontal="right"/>
      <protection locked="0"/>
    </xf>
    <xf numFmtId="1" fontId="4" fillId="13" borderId="23" xfId="0" applyNumberFormat="1" applyFont="1" applyFill="1" applyBorder="1"/>
    <xf numFmtId="1" fontId="4" fillId="13" borderId="60" xfId="0" applyNumberFormat="1" applyFont="1" applyFill="1" applyBorder="1"/>
    <xf numFmtId="1" fontId="4" fillId="14" borderId="60" xfId="0" applyNumberFormat="1" applyFont="1" applyFill="1" applyBorder="1"/>
    <xf numFmtId="1" fontId="4" fillId="14" borderId="24" xfId="0" applyNumberFormat="1" applyFont="1" applyFill="1" applyBorder="1"/>
    <xf numFmtId="1" fontId="4" fillId="13" borderId="24" xfId="0" applyNumberFormat="1" applyFont="1" applyFill="1" applyBorder="1"/>
    <xf numFmtId="1" fontId="1" fillId="14" borderId="24" xfId="0" applyNumberFormat="1" applyFont="1" applyFill="1" applyBorder="1"/>
    <xf numFmtId="10" fontId="4" fillId="5" borderId="24" xfId="2" applyNumberFormat="1" applyFont="1" applyFill="1" applyBorder="1" applyAlignment="1" applyProtection="1">
      <alignment horizontal="right"/>
      <protection locked="0"/>
    </xf>
    <xf numFmtId="1" fontId="1" fillId="13" borderId="24" xfId="0" applyNumberFormat="1" applyFont="1" applyFill="1" applyBorder="1"/>
    <xf numFmtId="1" fontId="1" fillId="14" borderId="24" xfId="0" applyNumberFormat="1" applyFont="1" applyFill="1" applyBorder="1" applyAlignment="1">
      <alignment horizontal="right"/>
    </xf>
    <xf numFmtId="1" fontId="1" fillId="13" borderId="23" xfId="0" applyNumberFormat="1" applyFont="1" applyFill="1" applyBorder="1"/>
    <xf numFmtId="2" fontId="4" fillId="5" borderId="84" xfId="0" applyNumberFormat="1" applyFont="1" applyFill="1" applyBorder="1" applyAlignment="1" applyProtection="1">
      <alignment horizontal="right"/>
      <protection locked="0"/>
    </xf>
    <xf numFmtId="2" fontId="4" fillId="5" borderId="38" xfId="0" applyNumberFormat="1" applyFont="1" applyFill="1" applyBorder="1" applyAlignment="1" applyProtection="1">
      <alignment horizontal="right"/>
      <protection locked="0"/>
    </xf>
    <xf numFmtId="2" fontId="4" fillId="7" borderId="84" xfId="0" applyNumberFormat="1" applyFont="1" applyFill="1" applyBorder="1" applyAlignment="1">
      <alignment horizontal="right"/>
    </xf>
    <xf numFmtId="2" fontId="4" fillId="5" borderId="86" xfId="0" applyNumberFormat="1" applyFont="1" applyFill="1" applyBorder="1" applyAlignment="1" applyProtection="1">
      <alignment horizontal="right"/>
      <protection locked="0"/>
    </xf>
    <xf numFmtId="1" fontId="4" fillId="8" borderId="100" xfId="0" applyNumberFormat="1" applyFont="1" applyFill="1" applyBorder="1" applyAlignment="1">
      <alignment horizontal="center"/>
    </xf>
    <xf numFmtId="1" fontId="1" fillId="13" borderId="120" xfId="0" applyNumberFormat="1" applyFont="1" applyFill="1" applyBorder="1"/>
    <xf numFmtId="1" fontId="1" fillId="15" borderId="120" xfId="0" applyNumberFormat="1" applyFont="1" applyFill="1" applyBorder="1"/>
    <xf numFmtId="1" fontId="1" fillId="13" borderId="143" xfId="0" applyNumberFormat="1" applyFont="1" applyFill="1" applyBorder="1"/>
    <xf numFmtId="1" fontId="1" fillId="14" borderId="140" xfId="0" applyNumberFormat="1" applyFont="1" applyFill="1" applyBorder="1"/>
    <xf numFmtId="1" fontId="1" fillId="13" borderId="116" xfId="0" applyNumberFormat="1" applyFont="1" applyFill="1" applyBorder="1"/>
    <xf numFmtId="1" fontId="1" fillId="15" borderId="116" xfId="0" applyNumberFormat="1" applyFont="1" applyFill="1" applyBorder="1"/>
    <xf numFmtId="1" fontId="1" fillId="13" borderId="144" xfId="0" applyNumberFormat="1" applyFont="1" applyFill="1" applyBorder="1"/>
    <xf numFmtId="1" fontId="1" fillId="13" borderId="141" xfId="0" applyNumberFormat="1" applyFont="1" applyFill="1" applyBorder="1"/>
    <xf numFmtId="1" fontId="1" fillId="13" borderId="92" xfId="0" applyNumberFormat="1" applyFont="1" applyFill="1" applyBorder="1"/>
    <xf numFmtId="1" fontId="1" fillId="15" borderId="92" xfId="0" applyNumberFormat="1" applyFont="1" applyFill="1" applyBorder="1"/>
    <xf numFmtId="9" fontId="1" fillId="15" borderId="116" xfId="2" applyFont="1" applyFill="1" applyBorder="1"/>
    <xf numFmtId="1" fontId="1" fillId="13" borderId="160" xfId="0" applyNumberFormat="1" applyFont="1" applyFill="1" applyBorder="1"/>
    <xf numFmtId="1" fontId="1" fillId="13" borderId="223" xfId="0" applyNumberFormat="1" applyFont="1" applyFill="1" applyBorder="1"/>
    <xf numFmtId="1" fontId="1" fillId="14" borderId="224" xfId="0" applyNumberFormat="1" applyFont="1" applyFill="1" applyBorder="1"/>
    <xf numFmtId="1" fontId="1" fillId="13" borderId="97" xfId="0" applyNumberFormat="1" applyFont="1" applyFill="1" applyBorder="1"/>
    <xf numFmtId="1" fontId="1" fillId="14" borderId="225" xfId="0" applyNumberFormat="1" applyFont="1" applyFill="1" applyBorder="1"/>
    <xf numFmtId="10" fontId="1" fillId="14" borderId="108" xfId="2" applyNumberFormat="1" applyFont="1" applyFill="1" applyBorder="1"/>
    <xf numFmtId="10" fontId="1" fillId="14" borderId="141" xfId="2" applyNumberFormat="1" applyFont="1" applyFill="1" applyBorder="1"/>
    <xf numFmtId="1" fontId="34" fillId="13" borderId="49" xfId="0" applyNumberFormat="1" applyFont="1" applyFill="1" applyBorder="1"/>
    <xf numFmtId="1" fontId="34" fillId="13" borderId="94" xfId="0" applyNumberFormat="1" applyFont="1" applyFill="1" applyBorder="1"/>
    <xf numFmtId="1" fontId="34" fillId="13" borderId="54" xfId="0" applyNumberFormat="1" applyFont="1" applyFill="1" applyBorder="1"/>
    <xf numFmtId="1" fontId="34" fillId="13" borderId="117" xfId="0" applyNumberFormat="1" applyFont="1" applyFill="1" applyBorder="1"/>
    <xf numFmtId="1" fontId="34" fillId="13" borderId="120" xfId="0" applyNumberFormat="1" applyFont="1" applyFill="1" applyBorder="1"/>
    <xf numFmtId="1" fontId="34" fillId="13" borderId="122" xfId="0" applyNumberFormat="1" applyFont="1" applyFill="1" applyBorder="1"/>
    <xf numFmtId="1" fontId="34" fillId="13" borderId="29" xfId="0" applyNumberFormat="1" applyFont="1" applyFill="1" applyBorder="1"/>
    <xf numFmtId="0" fontId="34" fillId="13" borderId="29" xfId="0" applyFont="1" applyFill="1" applyBorder="1"/>
    <xf numFmtId="1" fontId="34" fillId="13" borderId="23" xfId="0" applyNumberFormat="1" applyFont="1" applyFill="1" applyBorder="1"/>
    <xf numFmtId="0" fontId="34" fillId="13" borderId="27" xfId="0" applyFont="1" applyFill="1" applyBorder="1"/>
    <xf numFmtId="1" fontId="34" fillId="13" borderId="27" xfId="0" applyNumberFormat="1" applyFont="1" applyFill="1" applyBorder="1"/>
    <xf numFmtId="0" fontId="34" fillId="13" borderId="28" xfId="0" applyFont="1" applyFill="1" applyBorder="1"/>
    <xf numFmtId="1" fontId="34" fillId="13" borderId="24" xfId="0" applyNumberFormat="1" applyFont="1" applyFill="1" applyBorder="1"/>
    <xf numFmtId="0" fontId="34" fillId="13" borderId="30" xfId="0" applyFont="1" applyFill="1" applyBorder="1"/>
    <xf numFmtId="1" fontId="34" fillId="13" borderId="26" xfId="0" applyNumberFormat="1" applyFont="1" applyFill="1" applyBorder="1"/>
    <xf numFmtId="0" fontId="34" fillId="13" borderId="31" xfId="0" applyFont="1" applyFill="1" applyBorder="1"/>
    <xf numFmtId="1" fontId="34" fillId="13" borderId="31" xfId="0" applyNumberFormat="1" applyFont="1" applyFill="1" applyBorder="1"/>
    <xf numFmtId="0" fontId="34" fillId="13" borderId="32" xfId="0" applyFont="1" applyFill="1" applyBorder="1"/>
    <xf numFmtId="1" fontId="1" fillId="3" borderId="82" xfId="3" applyNumberFormat="1" applyFill="1" applyBorder="1" applyAlignment="1" applyProtection="1">
      <alignment horizontal="center"/>
      <protection locked="0"/>
    </xf>
    <xf numFmtId="1" fontId="1" fillId="3" borderId="84" xfId="3" applyNumberFormat="1" applyFill="1" applyBorder="1" applyAlignment="1" applyProtection="1">
      <alignment horizontal="center"/>
      <protection locked="0"/>
    </xf>
    <xf numFmtId="1" fontId="1" fillId="3" borderId="163" xfId="3" applyNumberFormat="1" applyFill="1" applyBorder="1" applyAlignment="1" applyProtection="1">
      <alignment horizontal="center"/>
      <protection locked="0"/>
    </xf>
    <xf numFmtId="1" fontId="1" fillId="3" borderId="23" xfId="3" applyNumberFormat="1" applyFill="1" applyBorder="1" applyAlignment="1" applyProtection="1">
      <alignment horizontal="center"/>
      <protection locked="0"/>
    </xf>
    <xf numFmtId="1" fontId="1" fillId="3" borderId="24" xfId="3" applyNumberFormat="1" applyFill="1" applyBorder="1" applyAlignment="1" applyProtection="1">
      <alignment horizontal="center"/>
      <protection locked="0"/>
    </xf>
    <xf numFmtId="0" fontId="0" fillId="0" borderId="23" xfId="0" applyBorder="1" applyAlignment="1">
      <alignment horizontal="center"/>
    </xf>
    <xf numFmtId="0" fontId="0" fillId="0" borderId="27" xfId="0" applyBorder="1"/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17" fillId="12" borderId="244" xfId="0" applyFont="1" applyFill="1" applyBorder="1" applyAlignment="1">
      <alignment horizontal="center" wrapText="1"/>
    </xf>
    <xf numFmtId="0" fontId="17" fillId="12" borderId="98" xfId="0" applyFont="1" applyFill="1" applyBorder="1" applyAlignment="1">
      <alignment horizontal="center" wrapText="1"/>
    </xf>
    <xf numFmtId="2" fontId="0" fillId="14" borderId="26" xfId="0" applyNumberFormat="1" applyFill="1" applyBorder="1"/>
    <xf numFmtId="0" fontId="0" fillId="13" borderId="32" xfId="0" applyFill="1" applyBorder="1"/>
    <xf numFmtId="10" fontId="1" fillId="14" borderId="116" xfId="2" applyNumberFormat="1" applyFont="1" applyFill="1" applyBorder="1"/>
    <xf numFmtId="10" fontId="1" fillId="14" borderId="144" xfId="2" applyNumberFormat="1" applyFont="1" applyFill="1" applyBorder="1"/>
    <xf numFmtId="1" fontId="0" fillId="15" borderId="120" xfId="0" applyNumberFormat="1" applyFill="1" applyBorder="1"/>
    <xf numFmtId="0" fontId="4" fillId="13" borderId="23" xfId="0" applyFont="1" applyFill="1" applyBorder="1"/>
    <xf numFmtId="0" fontId="4" fillId="13" borderId="60" xfId="0" applyFont="1" applyFill="1" applyBorder="1"/>
    <xf numFmtId="0" fontId="4" fillId="14" borderId="60" xfId="0" applyFont="1" applyFill="1" applyBorder="1"/>
    <xf numFmtId="0" fontId="4" fillId="14" borderId="24" xfId="0" applyFont="1" applyFill="1" applyBorder="1"/>
    <xf numFmtId="0" fontId="4" fillId="13" borderId="24" xfId="0" applyFont="1" applyFill="1" applyBorder="1"/>
    <xf numFmtId="168" fontId="4" fillId="3" borderId="24" xfId="0" applyNumberFormat="1" applyFont="1" applyFill="1" applyBorder="1" applyAlignment="1" applyProtection="1">
      <alignment horizontal="right"/>
      <protection locked="0"/>
    </xf>
    <xf numFmtId="0" fontId="0" fillId="14" borderId="24" xfId="0" applyFill="1" applyBorder="1"/>
    <xf numFmtId="10" fontId="4" fillId="5" borderId="24" xfId="0" applyNumberFormat="1" applyFont="1" applyFill="1" applyBorder="1" applyAlignment="1" applyProtection="1">
      <alignment horizontal="right"/>
      <protection locked="0"/>
    </xf>
    <xf numFmtId="0" fontId="4" fillId="13" borderId="24" xfId="0" applyFont="1" applyFill="1" applyBorder="1" applyAlignment="1">
      <alignment horizontal="right"/>
    </xf>
    <xf numFmtId="0" fontId="0" fillId="13" borderId="24" xfId="0" applyFill="1" applyBorder="1" applyAlignment="1">
      <alignment horizontal="right"/>
    </xf>
    <xf numFmtId="0" fontId="0" fillId="14" borderId="24" xfId="0" applyFill="1" applyBorder="1" applyAlignment="1">
      <alignment horizontal="right"/>
    </xf>
    <xf numFmtId="0" fontId="0" fillId="13" borderId="26" xfId="0" applyFill="1" applyBorder="1" applyAlignment="1">
      <alignment horizontal="right"/>
    </xf>
    <xf numFmtId="0" fontId="4" fillId="13" borderId="84" xfId="0" applyFont="1" applyFill="1" applyBorder="1"/>
    <xf numFmtId="0" fontId="4" fillId="14" borderId="84" xfId="0" applyFont="1" applyFill="1" applyBorder="1"/>
    <xf numFmtId="167" fontId="4" fillId="13" borderId="86" xfId="0" applyNumberFormat="1" applyFont="1" applyFill="1" applyBorder="1"/>
    <xf numFmtId="0" fontId="0" fillId="13" borderId="23" xfId="0" applyFill="1" applyBorder="1"/>
    <xf numFmtId="3" fontId="4" fillId="9" borderId="147" xfId="0" applyNumberFormat="1" applyFont="1" applyFill="1" applyBorder="1" applyAlignment="1">
      <alignment horizontal="right"/>
    </xf>
    <xf numFmtId="2" fontId="1" fillId="5" borderId="109" xfId="0" applyNumberFormat="1" applyFont="1" applyFill="1" applyBorder="1" applyAlignment="1" applyProtection="1">
      <alignment horizontal="right"/>
      <protection locked="0"/>
    </xf>
    <xf numFmtId="2" fontId="1" fillId="3" borderId="23" xfId="7" quotePrefix="1" applyNumberFormat="1" applyFont="1" applyFill="1" applyBorder="1" applyAlignment="1" applyProtection="1">
      <alignment horizontal="right"/>
      <protection locked="0"/>
    </xf>
    <xf numFmtId="2" fontId="1" fillId="8" borderId="24" xfId="7" applyNumberFormat="1" applyFont="1" applyFill="1" applyBorder="1" applyAlignment="1" applyProtection="1">
      <alignment horizontal="right"/>
      <protection locked="0"/>
    </xf>
    <xf numFmtId="2" fontId="1" fillId="9" borderId="117" xfId="0" applyNumberFormat="1" applyFont="1" applyFill="1" applyBorder="1" applyAlignment="1">
      <alignment horizontal="right"/>
    </xf>
    <xf numFmtId="0" fontId="1" fillId="5" borderId="119" xfId="0" applyFont="1" applyFill="1" applyBorder="1" applyAlignment="1" applyProtection="1">
      <alignment horizontal="left"/>
      <protection locked="0"/>
    </xf>
    <xf numFmtId="1" fontId="1" fillId="3" borderId="120" xfId="4" applyNumberFormat="1" applyFont="1" applyFill="1" applyBorder="1" applyAlignment="1" applyProtection="1">
      <alignment horizontal="right"/>
      <protection locked="0"/>
    </xf>
    <xf numFmtId="10" fontId="1" fillId="3" borderId="120" xfId="4" applyNumberFormat="1" applyFont="1" applyFill="1" applyBorder="1" applyAlignment="1" applyProtection="1">
      <alignment horizontal="right"/>
      <protection locked="0"/>
    </xf>
    <xf numFmtId="10" fontId="1" fillId="9" borderId="120" xfId="2" applyNumberFormat="1" applyFont="1" applyFill="1" applyBorder="1" applyAlignment="1">
      <alignment horizontal="right"/>
    </xf>
    <xf numFmtId="0" fontId="1" fillId="5" borderId="121" xfId="0" applyFont="1" applyFill="1" applyBorder="1" applyAlignment="1" applyProtection="1">
      <alignment horizontal="left"/>
      <protection locked="0"/>
    </xf>
    <xf numFmtId="10" fontId="1" fillId="3" borderId="122" xfId="4" applyNumberFormat="1" applyFont="1" applyFill="1" applyBorder="1" applyAlignment="1" applyProtection="1">
      <alignment horizontal="right"/>
      <protection locked="0"/>
    </xf>
    <xf numFmtId="0" fontId="1" fillId="0" borderId="0" xfId="3" applyAlignment="1">
      <alignment wrapText="1"/>
    </xf>
    <xf numFmtId="3" fontId="27" fillId="10" borderId="101" xfId="3" applyNumberFormat="1" applyFont="1" applyFill="1" applyBorder="1" applyAlignment="1" applyProtection="1">
      <alignment horizontal="center" vertical="center"/>
      <protection locked="0"/>
    </xf>
    <xf numFmtId="3" fontId="1" fillId="10" borderId="101" xfId="3" applyNumberFormat="1" applyFill="1" applyBorder="1" applyAlignment="1" applyProtection="1">
      <alignment horizontal="center" vertical="center"/>
      <protection locked="0"/>
    </xf>
    <xf numFmtId="1" fontId="4" fillId="3" borderId="23" xfId="7" applyNumberFormat="1" applyFont="1" applyFill="1" applyBorder="1" applyAlignment="1" applyProtection="1">
      <alignment horizontal="right"/>
      <protection locked="0"/>
    </xf>
    <xf numFmtId="1" fontId="4" fillId="3" borderId="86" xfId="3" applyNumberFormat="1" applyFont="1" applyFill="1" applyBorder="1" applyAlignment="1" applyProtection="1">
      <alignment horizontal="right"/>
      <protection locked="0"/>
    </xf>
    <xf numFmtId="1" fontId="1" fillId="8" borderId="24" xfId="7" applyNumberFormat="1" applyFont="1" applyFill="1" applyBorder="1" applyAlignment="1">
      <alignment horizontal="right"/>
    </xf>
    <xf numFmtId="4" fontId="4" fillId="3" borderId="84" xfId="7" applyNumberFormat="1" applyFont="1" applyFill="1" applyBorder="1" applyAlignment="1" applyProtection="1">
      <alignment horizontal="right"/>
      <protection locked="0"/>
    </xf>
    <xf numFmtId="4" fontId="4" fillId="3" borderId="86" xfId="7" applyNumberFormat="1" applyFont="1" applyFill="1" applyBorder="1" applyAlignment="1" applyProtection="1">
      <alignment horizontal="right"/>
      <protection locked="0"/>
    </xf>
    <xf numFmtId="0" fontId="4" fillId="3" borderId="161" xfId="0" applyFont="1" applyFill="1" applyBorder="1" applyAlignment="1" applyProtection="1">
      <alignment horizontal="left"/>
      <protection locked="0"/>
    </xf>
    <xf numFmtId="0" fontId="36" fillId="5" borderId="77" xfId="0" applyFont="1" applyFill="1" applyBorder="1" applyAlignment="1" applyProtection="1">
      <alignment horizontal="left"/>
      <protection locked="0"/>
    </xf>
    <xf numFmtId="167" fontId="4" fillId="13" borderId="26" xfId="0" applyNumberFormat="1" applyFont="1" applyFill="1" applyBorder="1" applyAlignment="1">
      <alignment horizontal="right" vertical="center"/>
    </xf>
    <xf numFmtId="167" fontId="4" fillId="13" borderId="24" xfId="0" applyNumberFormat="1" applyFont="1" applyFill="1" applyBorder="1" applyAlignment="1">
      <alignment horizontal="right"/>
    </xf>
    <xf numFmtId="3" fontId="1" fillId="10" borderId="200" xfId="3" applyNumberFormat="1" applyFill="1" applyBorder="1" applyAlignment="1" applyProtection="1">
      <alignment horizontal="center" vertical="center"/>
      <protection locked="0"/>
    </xf>
    <xf numFmtId="3" fontId="37" fillId="10" borderId="9" xfId="3" applyNumberFormat="1" applyFont="1" applyFill="1" applyBorder="1" applyAlignment="1" applyProtection="1">
      <alignment horizontal="center" vertical="center"/>
      <protection locked="0"/>
    </xf>
    <xf numFmtId="3" fontId="1" fillId="10" borderId="9" xfId="3" applyNumberFormat="1" applyFill="1" applyBorder="1" applyAlignment="1" applyProtection="1">
      <alignment horizontal="center" vertical="center"/>
      <protection locked="0"/>
    </xf>
    <xf numFmtId="3" fontId="1" fillId="10" borderId="69" xfId="3" applyNumberFormat="1" applyFill="1" applyBorder="1" applyAlignment="1" applyProtection="1">
      <alignment horizontal="center" vertical="center"/>
      <protection locked="0"/>
    </xf>
    <xf numFmtId="3" fontId="1" fillId="10" borderId="135" xfId="3" applyNumberFormat="1" applyFill="1" applyBorder="1" applyAlignment="1" applyProtection="1">
      <alignment horizontal="center" vertical="center"/>
      <protection locked="0"/>
    </xf>
    <xf numFmtId="3" fontId="1" fillId="10" borderId="202" xfId="3" applyNumberFormat="1" applyFill="1" applyBorder="1" applyAlignment="1" applyProtection="1">
      <alignment horizontal="center" vertical="center"/>
      <protection locked="0"/>
    </xf>
    <xf numFmtId="3" fontId="1" fillId="10" borderId="203" xfId="3" applyNumberFormat="1" applyFill="1" applyBorder="1" applyAlignment="1" applyProtection="1">
      <alignment horizontal="center" vertical="center"/>
      <protection locked="0"/>
    </xf>
    <xf numFmtId="3" fontId="47" fillId="10" borderId="191" xfId="3" applyNumberFormat="1" applyFont="1" applyFill="1" applyBorder="1" applyAlignment="1" applyProtection="1">
      <alignment horizontal="center" vertical="center"/>
      <protection locked="0"/>
    </xf>
    <xf numFmtId="3" fontId="1" fillId="10" borderId="204" xfId="3" applyNumberFormat="1" applyFill="1" applyBorder="1" applyAlignment="1" applyProtection="1">
      <alignment horizontal="center" vertical="center"/>
      <protection locked="0"/>
    </xf>
    <xf numFmtId="3" fontId="1" fillId="10" borderId="191" xfId="3" applyNumberFormat="1" applyFill="1" applyBorder="1" applyAlignment="1" applyProtection="1">
      <alignment horizontal="center" vertical="center"/>
      <protection locked="0"/>
    </xf>
    <xf numFmtId="3" fontId="1" fillId="10" borderId="205" xfId="3" applyNumberFormat="1" applyFill="1" applyBorder="1" applyAlignment="1" applyProtection="1">
      <alignment horizontal="center" vertical="center"/>
      <protection locked="0"/>
    </xf>
    <xf numFmtId="3" fontId="1" fillId="10" borderId="206" xfId="3" applyNumberFormat="1" applyFill="1" applyBorder="1" applyAlignment="1" applyProtection="1">
      <alignment horizontal="center" vertical="center"/>
      <protection locked="0"/>
    </xf>
    <xf numFmtId="3" fontId="1" fillId="10" borderId="207" xfId="3" applyNumberFormat="1" applyFill="1" applyBorder="1" applyAlignment="1" applyProtection="1">
      <alignment horizontal="center" vertical="center"/>
      <protection locked="0"/>
    </xf>
    <xf numFmtId="3" fontId="1" fillId="10" borderId="102" xfId="3" applyNumberFormat="1" applyFill="1" applyBorder="1" applyAlignment="1" applyProtection="1">
      <alignment horizontal="center" vertical="center"/>
      <protection locked="0"/>
    </xf>
    <xf numFmtId="3" fontId="39" fillId="0" borderId="0" xfId="3" applyNumberFormat="1" applyFont="1" applyAlignment="1">
      <alignment horizontal="right"/>
    </xf>
    <xf numFmtId="3" fontId="39" fillId="0" borderId="99" xfId="3" applyNumberFormat="1" applyFont="1" applyBorder="1" applyAlignment="1" applyProtection="1">
      <alignment horizontal="right" vertical="center"/>
      <protection locked="0"/>
    </xf>
    <xf numFmtId="3" fontId="39" fillId="0" borderId="99" xfId="3" applyNumberFormat="1" applyFont="1" applyBorder="1" applyProtection="1">
      <protection locked="0"/>
    </xf>
    <xf numFmtId="0" fontId="13" fillId="0" borderId="0" xfId="3" applyFont="1" applyAlignment="1">
      <alignment horizontal="center" vertical="center"/>
    </xf>
    <xf numFmtId="1" fontId="59" fillId="10" borderId="29" xfId="3" applyNumberFormat="1" applyFont="1" applyFill="1" applyBorder="1" applyAlignment="1" applyProtection="1">
      <alignment horizontal="center" vertical="center" wrapText="1"/>
      <protection locked="0"/>
    </xf>
    <xf numFmtId="0" fontId="59" fillId="10" borderId="30" xfId="3" applyFont="1" applyFill="1" applyBorder="1" applyAlignment="1" applyProtection="1">
      <alignment horizontal="center" vertical="center" wrapText="1"/>
      <protection locked="0"/>
    </xf>
    <xf numFmtId="1" fontId="59" fillId="10" borderId="69" xfId="3" applyNumberFormat="1" applyFont="1" applyFill="1" applyBorder="1" applyAlignment="1" applyProtection="1">
      <alignment horizontal="center" vertical="center" wrapText="1"/>
      <protection locked="0"/>
    </xf>
    <xf numFmtId="0" fontId="59" fillId="10" borderId="24" xfId="3" applyFont="1" applyFill="1" applyBorder="1" applyAlignment="1" applyProtection="1">
      <alignment horizontal="center" vertical="center" wrapText="1"/>
      <protection locked="0"/>
    </xf>
    <xf numFmtId="0" fontId="59" fillId="10" borderId="101" xfId="3" applyFont="1" applyFill="1" applyBorder="1" applyAlignment="1" applyProtection="1">
      <alignment horizontal="center" vertical="center" wrapText="1"/>
      <protection locked="0"/>
    </xf>
    <xf numFmtId="0" fontId="59" fillId="10" borderId="69" xfId="3" applyFont="1" applyFill="1" applyBorder="1" applyAlignment="1" applyProtection="1">
      <alignment horizontal="center" vertical="center" wrapText="1"/>
      <protection locked="0"/>
    </xf>
    <xf numFmtId="3" fontId="59" fillId="10" borderId="9" xfId="3" applyNumberFormat="1" applyFont="1" applyFill="1" applyBorder="1" applyAlignment="1" applyProtection="1">
      <alignment horizontal="center" vertical="center"/>
      <protection locked="0"/>
    </xf>
    <xf numFmtId="1" fontId="59" fillId="10" borderId="24" xfId="3" applyNumberFormat="1" applyFont="1" applyFill="1" applyBorder="1" applyAlignment="1" applyProtection="1">
      <alignment horizontal="center" vertical="center" wrapText="1"/>
      <protection locked="0"/>
    </xf>
    <xf numFmtId="3" fontId="59" fillId="10" borderId="101" xfId="3" applyNumberFormat="1" applyFont="1" applyFill="1" applyBorder="1" applyAlignment="1" applyProtection="1">
      <alignment horizontal="center" vertical="center"/>
      <protection locked="0"/>
    </xf>
    <xf numFmtId="3" fontId="59" fillId="10" borderId="204" xfId="3" applyNumberFormat="1" applyFont="1" applyFill="1" applyBorder="1" applyAlignment="1" applyProtection="1">
      <alignment horizontal="center" vertical="center"/>
      <protection locked="0"/>
    </xf>
    <xf numFmtId="0" fontId="59" fillId="0" borderId="0" xfId="3" applyFont="1"/>
    <xf numFmtId="1" fontId="4" fillId="5" borderId="82" xfId="0" applyNumberFormat="1" applyFont="1" applyFill="1" applyBorder="1" applyAlignment="1">
      <alignment horizontal="right"/>
    </xf>
    <xf numFmtId="0" fontId="4" fillId="5" borderId="83" xfId="0" applyFont="1" applyFill="1" applyBorder="1" applyAlignment="1">
      <alignment horizontal="left"/>
    </xf>
    <xf numFmtId="0" fontId="4" fillId="0" borderId="229" xfId="3" applyFont="1" applyBorder="1" applyAlignment="1">
      <alignment horizontal="center"/>
    </xf>
    <xf numFmtId="0" fontId="4" fillId="0" borderId="116" xfId="3" applyFont="1" applyBorder="1"/>
    <xf numFmtId="0" fontId="4" fillId="4" borderId="116" xfId="3" applyFont="1" applyFill="1" applyBorder="1" applyAlignment="1">
      <alignment horizontal="center"/>
    </xf>
    <xf numFmtId="0" fontId="4" fillId="4" borderId="230" xfId="3" applyFont="1" applyFill="1" applyBorder="1" applyAlignment="1">
      <alignment horizontal="center"/>
    </xf>
    <xf numFmtId="1" fontId="4" fillId="21" borderId="120" xfId="0" applyNumberFormat="1" applyFont="1" applyFill="1" applyBorder="1" applyAlignment="1">
      <alignment horizontal="right"/>
    </xf>
    <xf numFmtId="164" fontId="4" fillId="5" borderId="121" xfId="0" applyNumberFormat="1" applyFont="1" applyFill="1" applyBorder="1" applyAlignment="1">
      <alignment horizontal="right"/>
    </xf>
    <xf numFmtId="164" fontId="4" fillId="8" borderId="120" xfId="0" applyNumberFormat="1" applyFont="1" applyFill="1" applyBorder="1" applyAlignment="1">
      <alignment horizontal="right"/>
    </xf>
    <xf numFmtId="1" fontId="4" fillId="5" borderId="120" xfId="0" applyNumberFormat="1" applyFont="1" applyFill="1" applyBorder="1" applyAlignment="1">
      <alignment horizontal="right"/>
    </xf>
    <xf numFmtId="0" fontId="4" fillId="0" borderId="231" xfId="3" applyFont="1" applyBorder="1" applyAlignment="1">
      <alignment horizontal="center"/>
    </xf>
    <xf numFmtId="0" fontId="4" fillId="0" borderId="232" xfId="3" applyFont="1" applyBorder="1"/>
    <xf numFmtId="0" fontId="4" fillId="0" borderId="232" xfId="3" applyFont="1" applyBorder="1" applyAlignment="1">
      <alignment horizontal="center"/>
    </xf>
    <xf numFmtId="0" fontId="4" fillId="0" borderId="233" xfId="3" applyFont="1" applyBorder="1" applyAlignment="1">
      <alignment horizontal="center"/>
    </xf>
    <xf numFmtId="1" fontId="4" fillId="5" borderId="122" xfId="0" applyNumberFormat="1" applyFont="1" applyFill="1" applyBorder="1" applyAlignment="1">
      <alignment horizontal="right"/>
    </xf>
    <xf numFmtId="164" fontId="4" fillId="5" borderId="114" xfId="0" applyNumberFormat="1" applyFont="1" applyFill="1" applyBorder="1" applyAlignment="1">
      <alignment horizontal="right"/>
    </xf>
    <xf numFmtId="0" fontId="4" fillId="4" borderId="23" xfId="0" applyFont="1" applyFill="1" applyBorder="1" applyAlignment="1">
      <alignment horizontal="center" vertical="center"/>
    </xf>
    <xf numFmtId="0" fontId="4" fillId="4" borderId="70" xfId="0" applyFont="1" applyFill="1" applyBorder="1" applyAlignment="1">
      <alignment horizontal="center"/>
    </xf>
    <xf numFmtId="1" fontId="4" fillId="5" borderId="50" xfId="0" applyNumberFormat="1" applyFont="1" applyFill="1" applyBorder="1" applyAlignment="1">
      <alignment horizontal="right"/>
    </xf>
    <xf numFmtId="0" fontId="4" fillId="5" borderId="45" xfId="0" applyFont="1" applyFill="1" applyBorder="1" applyAlignment="1">
      <alignment horizontal="left"/>
    </xf>
    <xf numFmtId="0" fontId="4" fillId="0" borderId="41" xfId="0" applyFont="1" applyBorder="1" applyAlignment="1">
      <alignment horizontal="center"/>
    </xf>
    <xf numFmtId="1" fontId="4" fillId="5" borderId="51" xfId="0" applyNumberFormat="1" applyFont="1" applyFill="1" applyBorder="1" applyAlignment="1">
      <alignment horizontal="right"/>
    </xf>
    <xf numFmtId="0" fontId="4" fillId="5" borderId="46" xfId="0" applyFont="1" applyFill="1" applyBorder="1" applyAlignment="1">
      <alignment horizontal="left"/>
    </xf>
    <xf numFmtId="0" fontId="36" fillId="0" borderId="29" xfId="0" applyFont="1" applyBorder="1"/>
    <xf numFmtId="1" fontId="4" fillId="5" borderId="75" xfId="0" applyNumberFormat="1" applyFont="1" applyFill="1" applyBorder="1" applyAlignment="1">
      <alignment horizontal="right"/>
    </xf>
    <xf numFmtId="0" fontId="4" fillId="4" borderId="26" xfId="0" applyFont="1" applyFill="1" applyBorder="1" applyAlignment="1">
      <alignment horizontal="center" vertical="center"/>
    </xf>
    <xf numFmtId="0" fontId="36" fillId="4" borderId="155" xfId="0" applyFont="1" applyFill="1" applyBorder="1"/>
    <xf numFmtId="0" fontId="4" fillId="4" borderId="71" xfId="0" applyFont="1" applyFill="1" applyBorder="1" applyAlignment="1">
      <alignment horizontal="center"/>
    </xf>
    <xf numFmtId="1" fontId="4" fillId="3" borderId="53" xfId="0" applyNumberFormat="1" applyFont="1" applyFill="1" applyBorder="1" applyAlignment="1">
      <alignment horizontal="right"/>
    </xf>
    <xf numFmtId="0" fontId="4" fillId="3" borderId="47" xfId="0" applyFont="1" applyFill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36" fillId="0" borderId="0" xfId="0" applyFont="1"/>
    <xf numFmtId="0" fontId="5" fillId="2" borderId="1" xfId="0" applyFont="1" applyFill="1" applyBorder="1" applyAlignment="1">
      <alignment horizontal="center" vertical="center"/>
    </xf>
    <xf numFmtId="0" fontId="54" fillId="2" borderId="2" xfId="0" applyFont="1" applyFill="1" applyBorder="1"/>
    <xf numFmtId="0" fontId="36" fillId="4" borderId="27" xfId="0" applyFont="1" applyFill="1" applyBorder="1"/>
    <xf numFmtId="0" fontId="4" fillId="0" borderId="60" xfId="8" applyFont="1" applyBorder="1" applyAlignment="1">
      <alignment horizontal="center" vertical="center"/>
    </xf>
    <xf numFmtId="0" fontId="36" fillId="0" borderId="42" xfId="8" applyFont="1" applyBorder="1"/>
    <xf numFmtId="1" fontId="4" fillId="5" borderId="52" xfId="0" applyNumberFormat="1" applyFont="1" applyFill="1" applyBorder="1" applyAlignment="1">
      <alignment horizontal="right"/>
    </xf>
    <xf numFmtId="0" fontId="4" fillId="5" borderId="61" xfId="0" applyFont="1" applyFill="1" applyBorder="1" applyAlignment="1">
      <alignment horizontal="left"/>
    </xf>
    <xf numFmtId="1" fontId="4" fillId="3" borderId="51" xfId="0" applyNumberFormat="1" applyFont="1" applyFill="1" applyBorder="1" applyAlignment="1">
      <alignment horizontal="right"/>
    </xf>
    <xf numFmtId="0" fontId="4" fillId="3" borderId="46" xfId="0" applyFont="1" applyFill="1" applyBorder="1" applyAlignment="1">
      <alignment horizontal="left"/>
    </xf>
    <xf numFmtId="0" fontId="10" fillId="0" borderId="0" xfId="0" applyFont="1"/>
    <xf numFmtId="0" fontId="0" fillId="2" borderId="158" xfId="0" applyFill="1" applyBorder="1"/>
    <xf numFmtId="0" fontId="0" fillId="2" borderId="159" xfId="0" applyFill="1" applyBorder="1"/>
    <xf numFmtId="0" fontId="4" fillId="4" borderId="161" xfId="0" applyFont="1" applyFill="1" applyBorder="1" applyAlignment="1">
      <alignment horizontal="center"/>
    </xf>
    <xf numFmtId="1" fontId="4" fillId="3" borderId="82" xfId="0" applyNumberFormat="1" applyFont="1" applyFill="1" applyBorder="1" applyAlignment="1">
      <alignment horizontal="right"/>
    </xf>
    <xf numFmtId="0" fontId="4" fillId="3" borderId="154" xfId="0" applyFont="1" applyFill="1" applyBorder="1" applyAlignment="1">
      <alignment horizontal="left"/>
    </xf>
    <xf numFmtId="1" fontId="4" fillId="3" borderId="84" xfId="0" applyNumberFormat="1" applyFont="1" applyFill="1" applyBorder="1" applyAlignment="1">
      <alignment horizontal="right"/>
    </xf>
    <xf numFmtId="0" fontId="4" fillId="3" borderId="121" xfId="0" applyFont="1" applyFill="1" applyBorder="1" applyAlignment="1">
      <alignment horizontal="left"/>
    </xf>
    <xf numFmtId="1" fontId="4" fillId="3" borderId="86" xfId="0" applyNumberFormat="1" applyFont="1" applyFill="1" applyBorder="1" applyAlignment="1">
      <alignment horizontal="right"/>
    </xf>
    <xf numFmtId="0" fontId="4" fillId="3" borderId="87" xfId="0" applyFont="1" applyFill="1" applyBorder="1" applyAlignment="1">
      <alignment horizontal="left"/>
    </xf>
    <xf numFmtId="0" fontId="1" fillId="2" borderId="162" xfId="0" applyFont="1" applyFill="1" applyBorder="1" applyAlignment="1">
      <alignment horizontal="center"/>
    </xf>
    <xf numFmtId="0" fontId="9" fillId="2" borderId="43" xfId="0" applyFont="1" applyFill="1" applyBorder="1"/>
    <xf numFmtId="0" fontId="0" fillId="2" borderId="35" xfId="0" applyFill="1" applyBorder="1" applyAlignment="1">
      <alignment horizontal="center"/>
    </xf>
    <xf numFmtId="0" fontId="0" fillId="2" borderId="136" xfId="0" applyFill="1" applyBorder="1" applyAlignment="1">
      <alignment horizontal="center"/>
    </xf>
    <xf numFmtId="0" fontId="4" fillId="4" borderId="160" xfId="0" applyFont="1" applyFill="1" applyBorder="1" applyAlignment="1">
      <alignment horizontal="center"/>
    </xf>
    <xf numFmtId="0" fontId="4" fillId="0" borderId="161" xfId="0" applyFont="1" applyBorder="1" applyAlignment="1">
      <alignment horizontal="center"/>
    </xf>
    <xf numFmtId="1" fontId="4" fillId="3" borderId="23" xfId="0" applyNumberFormat="1" applyFont="1" applyFill="1" applyBorder="1" applyAlignment="1">
      <alignment horizontal="right"/>
    </xf>
    <xf numFmtId="0" fontId="4" fillId="3" borderId="28" xfId="0" applyFont="1" applyFill="1" applyBorder="1" applyAlignment="1">
      <alignment horizontal="left"/>
    </xf>
    <xf numFmtId="0" fontId="36" fillId="0" borderId="42" xfId="0" applyFont="1" applyBorder="1"/>
    <xf numFmtId="0" fontId="4" fillId="3" borderId="83" xfId="0" applyFont="1" applyFill="1" applyBorder="1" applyAlignment="1">
      <alignment horizontal="left"/>
    </xf>
    <xf numFmtId="0" fontId="4" fillId="3" borderId="85" xfId="0" applyFont="1" applyFill="1" applyBorder="1" applyAlignment="1">
      <alignment horizontal="left"/>
    </xf>
    <xf numFmtId="0" fontId="4" fillId="4" borderId="86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0" fontId="1" fillId="4" borderId="27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1" fontId="1" fillId="3" borderId="82" xfId="0" applyNumberFormat="1" applyFont="1" applyFill="1" applyBorder="1" applyAlignment="1">
      <alignment horizontal="right"/>
    </xf>
    <xf numFmtId="0" fontId="1" fillId="3" borderId="83" xfId="0" applyFont="1" applyFill="1" applyBorder="1" applyAlignment="1">
      <alignment horizontal="left"/>
    </xf>
    <xf numFmtId="1" fontId="1" fillId="3" borderId="23" xfId="0" applyNumberFormat="1" applyFont="1" applyFill="1" applyBorder="1" applyAlignment="1">
      <alignment horizontal="right"/>
    </xf>
    <xf numFmtId="1" fontId="1" fillId="3" borderId="84" xfId="0" applyNumberFormat="1" applyFont="1" applyFill="1" applyBorder="1" applyAlignment="1">
      <alignment horizontal="right"/>
    </xf>
    <xf numFmtId="0" fontId="1" fillId="3" borderId="85" xfId="0" applyFont="1" applyFill="1" applyBorder="1" applyAlignment="1">
      <alignment horizontal="left"/>
    </xf>
    <xf numFmtId="1" fontId="1" fillId="3" borderId="24" xfId="0" applyNumberFormat="1" applyFont="1" applyFill="1" applyBorder="1" applyAlignment="1">
      <alignment horizontal="right"/>
    </xf>
    <xf numFmtId="0" fontId="1" fillId="0" borderId="131" xfId="0" applyFont="1" applyBorder="1" applyAlignment="1">
      <alignment vertical="center"/>
    </xf>
    <xf numFmtId="1" fontId="1" fillId="3" borderId="86" xfId="0" applyNumberFormat="1" applyFont="1" applyFill="1" applyBorder="1" applyAlignment="1">
      <alignment horizontal="right"/>
    </xf>
    <xf numFmtId="0" fontId="1" fillId="3" borderId="87" xfId="0" applyFont="1" applyFill="1" applyBorder="1" applyAlignment="1">
      <alignment horizontal="left"/>
    </xf>
    <xf numFmtId="1" fontId="1" fillId="3" borderId="26" xfId="0" applyNumberFormat="1" applyFont="1" applyFill="1" applyBorder="1" applyAlignment="1">
      <alignment horizontal="right"/>
    </xf>
    <xf numFmtId="0" fontId="1" fillId="3" borderId="28" xfId="0" applyFont="1" applyFill="1" applyBorder="1" applyAlignment="1">
      <alignment horizontal="left"/>
    </xf>
    <xf numFmtId="0" fontId="1" fillId="3" borderId="30" xfId="0" applyFont="1" applyFill="1" applyBorder="1" applyAlignment="1">
      <alignment horizontal="left"/>
    </xf>
    <xf numFmtId="0" fontId="1" fillId="3" borderId="32" xfId="0" applyFont="1" applyFill="1" applyBorder="1" applyAlignment="1">
      <alignment horizontal="left"/>
    </xf>
    <xf numFmtId="0" fontId="1" fillId="0" borderId="23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1" fontId="1" fillId="3" borderId="60" xfId="0" applyNumberFormat="1" applyFont="1" applyFill="1" applyBorder="1" applyAlignment="1">
      <alignment horizontal="right"/>
    </xf>
    <xf numFmtId="0" fontId="1" fillId="3" borderId="68" xfId="0" applyFont="1" applyFill="1" applyBorder="1" applyAlignment="1">
      <alignment horizontal="left"/>
    </xf>
    <xf numFmtId="0" fontId="1" fillId="0" borderId="2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4" fillId="0" borderId="226" xfId="3" applyFont="1" applyBorder="1" applyAlignment="1">
      <alignment horizontal="center"/>
    </xf>
    <xf numFmtId="0" fontId="4" fillId="0" borderId="227" xfId="3" applyFont="1" applyBorder="1"/>
    <xf numFmtId="0" fontId="4" fillId="4" borderId="227" xfId="3" quotePrefix="1" applyFont="1" applyFill="1" applyBorder="1" applyAlignment="1">
      <alignment horizontal="center"/>
    </xf>
    <xf numFmtId="0" fontId="4" fillId="4" borderId="228" xfId="3" applyFont="1" applyFill="1" applyBorder="1" applyAlignment="1">
      <alignment horizontal="center"/>
    </xf>
    <xf numFmtId="164" fontId="4" fillId="10" borderId="147" xfId="0" applyNumberFormat="1" applyFont="1" applyFill="1" applyBorder="1" applyAlignment="1">
      <alignment horizontal="right"/>
    </xf>
    <xf numFmtId="164" fontId="4" fillId="5" borderId="119" xfId="0" applyNumberFormat="1" applyFont="1" applyFill="1" applyBorder="1" applyAlignment="1">
      <alignment horizontal="right"/>
    </xf>
    <xf numFmtId="2" fontId="4" fillId="5" borderId="100" xfId="0" applyNumberFormat="1" applyFont="1" applyFill="1" applyBorder="1" applyAlignment="1">
      <alignment horizontal="center"/>
    </xf>
    <xf numFmtId="0" fontId="16" fillId="3" borderId="23" xfId="0" applyFont="1" applyFill="1" applyBorder="1"/>
    <xf numFmtId="164" fontId="16" fillId="3" borderId="27" xfId="0" applyNumberFormat="1" applyFont="1" applyFill="1" applyBorder="1" applyAlignment="1">
      <alignment horizontal="right"/>
    </xf>
    <xf numFmtId="2" fontId="16" fillId="3" borderId="27" xfId="0" applyNumberFormat="1" applyFont="1" applyFill="1" applyBorder="1" applyAlignment="1">
      <alignment horizontal="right"/>
    </xf>
    <xf numFmtId="2" fontId="16" fillId="6" borderId="28" xfId="0" applyNumberFormat="1" applyFont="1" applyFill="1" applyBorder="1" applyAlignment="1">
      <alignment horizontal="right"/>
    </xf>
    <xf numFmtId="164" fontId="16" fillId="3" borderId="23" xfId="0" applyNumberFormat="1" applyFont="1" applyFill="1" applyBorder="1" applyAlignment="1">
      <alignment horizontal="right"/>
    </xf>
    <xf numFmtId="164" fontId="16" fillId="6" borderId="28" xfId="0" applyNumberFormat="1" applyFont="1" applyFill="1" applyBorder="1" applyAlignment="1">
      <alignment horizontal="right"/>
    </xf>
    <xf numFmtId="0" fontId="16" fillId="0" borderId="0" xfId="0" applyFont="1" applyAlignment="1">
      <alignment horizontal="center"/>
    </xf>
    <xf numFmtId="0" fontId="16" fillId="3" borderId="24" xfId="0" applyFont="1" applyFill="1" applyBorder="1"/>
    <xf numFmtId="164" fontId="16" fillId="3" borderId="29" xfId="0" applyNumberFormat="1" applyFont="1" applyFill="1" applyBorder="1" applyAlignment="1">
      <alignment horizontal="right"/>
    </xf>
    <xf numFmtId="2" fontId="16" fillId="3" borderId="29" xfId="0" applyNumberFormat="1" applyFont="1" applyFill="1" applyBorder="1" applyAlignment="1">
      <alignment horizontal="right"/>
    </xf>
    <xf numFmtId="2" fontId="16" fillId="6" borderId="30" xfId="0" applyNumberFormat="1" applyFont="1" applyFill="1" applyBorder="1" applyAlignment="1">
      <alignment horizontal="right"/>
    </xf>
    <xf numFmtId="164" fontId="16" fillId="3" borderId="24" xfId="0" applyNumberFormat="1" applyFont="1" applyFill="1" applyBorder="1" applyAlignment="1">
      <alignment horizontal="right"/>
    </xf>
    <xf numFmtId="164" fontId="16" fillId="6" borderId="30" xfId="0" applyNumberFormat="1" applyFont="1" applyFill="1" applyBorder="1" applyAlignment="1">
      <alignment horizontal="right"/>
    </xf>
    <xf numFmtId="0" fontId="16" fillId="3" borderId="56" xfId="0" applyFont="1" applyFill="1" applyBorder="1"/>
    <xf numFmtId="164" fontId="16" fillId="3" borderId="57" xfId="0" applyNumberFormat="1" applyFont="1" applyFill="1" applyBorder="1" applyAlignment="1">
      <alignment horizontal="right"/>
    </xf>
    <xf numFmtId="2" fontId="16" fillId="3" borderId="57" xfId="0" applyNumberFormat="1" applyFont="1" applyFill="1" applyBorder="1" applyAlignment="1">
      <alignment horizontal="right"/>
    </xf>
    <xf numFmtId="2" fontId="16" fillId="6" borderId="58" xfId="0" applyNumberFormat="1" applyFont="1" applyFill="1" applyBorder="1" applyAlignment="1">
      <alignment horizontal="right"/>
    </xf>
    <xf numFmtId="164" fontId="16" fillId="3" borderId="56" xfId="0" applyNumberFormat="1" applyFont="1" applyFill="1" applyBorder="1" applyAlignment="1">
      <alignment horizontal="right"/>
    </xf>
    <xf numFmtId="164" fontId="16" fillId="6" borderId="58" xfId="0" applyNumberFormat="1" applyFont="1" applyFill="1" applyBorder="1" applyAlignment="1">
      <alignment horizontal="right"/>
    </xf>
    <xf numFmtId="2" fontId="16" fillId="3" borderId="24" xfId="0" applyNumberFormat="1" applyFont="1" applyFill="1" applyBorder="1" applyAlignment="1">
      <alignment horizontal="right"/>
    </xf>
    <xf numFmtId="0" fontId="16" fillId="3" borderId="26" xfId="0" applyFont="1" applyFill="1" applyBorder="1"/>
    <xf numFmtId="2" fontId="16" fillId="3" borderId="31" xfId="0" applyNumberFormat="1" applyFont="1" applyFill="1" applyBorder="1" applyAlignment="1">
      <alignment horizontal="right"/>
    </xf>
    <xf numFmtId="2" fontId="16" fillId="6" borderId="32" xfId="0" applyNumberFormat="1" applyFont="1" applyFill="1" applyBorder="1" applyAlignment="1">
      <alignment horizontal="right"/>
    </xf>
    <xf numFmtId="2" fontId="16" fillId="3" borderId="26" xfId="0" applyNumberFormat="1" applyFont="1" applyFill="1" applyBorder="1" applyAlignment="1">
      <alignment horizontal="right"/>
    </xf>
    <xf numFmtId="164" fontId="16" fillId="3" borderId="31" xfId="0" applyNumberFormat="1" applyFont="1" applyFill="1" applyBorder="1" applyAlignment="1">
      <alignment horizontal="right"/>
    </xf>
    <xf numFmtId="164" fontId="16" fillId="6" borderId="32" xfId="0" applyNumberFormat="1" applyFont="1" applyFill="1" applyBorder="1" applyAlignment="1">
      <alignment horizontal="right"/>
    </xf>
    <xf numFmtId="0" fontId="18" fillId="0" borderId="49" xfId="0" applyFont="1" applyBorder="1" applyAlignment="1">
      <alignment horizontal="center"/>
    </xf>
    <xf numFmtId="2" fontId="18" fillId="6" borderId="54" xfId="0" applyNumberFormat="1" applyFont="1" applyFill="1" applyBorder="1" applyAlignment="1">
      <alignment horizontal="right"/>
    </xf>
    <xf numFmtId="2" fontId="18" fillId="6" borderId="55" xfId="0" applyNumberFormat="1" applyFont="1" applyFill="1" applyBorder="1" applyAlignment="1">
      <alignment horizontal="right"/>
    </xf>
    <xf numFmtId="0" fontId="18" fillId="0" borderId="0" xfId="0" applyFont="1" applyAlignment="1">
      <alignment horizontal="center"/>
    </xf>
    <xf numFmtId="164" fontId="18" fillId="6" borderId="48" xfId="0" applyNumberFormat="1" applyFont="1" applyFill="1" applyBorder="1" applyAlignment="1">
      <alignment horizontal="right"/>
    </xf>
    <xf numFmtId="164" fontId="18" fillId="6" borderId="36" xfId="0" applyNumberFormat="1" applyFont="1" applyFill="1" applyBorder="1" applyAlignment="1">
      <alignment horizontal="right"/>
    </xf>
    <xf numFmtId="10" fontId="18" fillId="6" borderId="36" xfId="2" applyNumberFormat="1" applyFont="1" applyFill="1" applyBorder="1" applyAlignment="1" applyProtection="1">
      <alignment horizontal="right"/>
    </xf>
    <xf numFmtId="0" fontId="40" fillId="0" borderId="0" xfId="3" applyFont="1"/>
    <xf numFmtId="0" fontId="41" fillId="0" borderId="0" xfId="3" applyFont="1" applyAlignment="1">
      <alignment horizontal="left"/>
    </xf>
    <xf numFmtId="0" fontId="1" fillId="0" borderId="0" xfId="3" applyAlignment="1">
      <alignment horizontal="left" wrapText="1"/>
    </xf>
    <xf numFmtId="0" fontId="17" fillId="0" borderId="34" xfId="3" applyFont="1" applyBorder="1" applyAlignment="1">
      <alignment horizontal="center" vertical="top" wrapText="1"/>
    </xf>
    <xf numFmtId="0" fontId="17" fillId="0" borderId="99" xfId="3" applyFont="1" applyBorder="1" applyAlignment="1">
      <alignment horizontal="center" wrapText="1"/>
    </xf>
    <xf numFmtId="0" fontId="17" fillId="0" borderId="36" xfId="3" applyFont="1" applyBorder="1" applyAlignment="1">
      <alignment horizontal="center" wrapText="1"/>
    </xf>
    <xf numFmtId="0" fontId="17" fillId="0" borderId="99" xfId="3" applyFont="1" applyBorder="1" applyAlignment="1">
      <alignment horizontal="center" vertical="top" wrapText="1"/>
    </xf>
    <xf numFmtId="0" fontId="17" fillId="2" borderId="1" xfId="3" applyFont="1" applyFill="1" applyBorder="1" applyAlignment="1">
      <alignment horizontal="center" wrapText="1"/>
    </xf>
    <xf numFmtId="0" fontId="41" fillId="2" borderId="3" xfId="3" applyFont="1" applyFill="1" applyBorder="1" applyAlignment="1">
      <alignment wrapText="1"/>
    </xf>
    <xf numFmtId="0" fontId="1" fillId="2" borderId="4" xfId="3" applyFill="1" applyBorder="1" applyAlignment="1">
      <alignment horizontal="center" vertical="center" wrapText="1"/>
    </xf>
    <xf numFmtId="0" fontId="1" fillId="2" borderId="107" xfId="3" applyFill="1" applyBorder="1" applyAlignment="1">
      <alignment horizontal="center" vertical="center" wrapText="1"/>
    </xf>
    <xf numFmtId="0" fontId="1" fillId="2" borderId="179" xfId="3" applyFill="1" applyBorder="1" applyAlignment="1">
      <alignment horizontal="center" vertical="center" wrapText="1"/>
    </xf>
    <xf numFmtId="0" fontId="1" fillId="0" borderId="0" xfId="3" applyAlignment="1">
      <alignment horizontal="center" wrapText="1"/>
    </xf>
    <xf numFmtId="0" fontId="1" fillId="0" borderId="23" xfId="3" applyBorder="1" applyAlignment="1">
      <alignment horizontal="center"/>
    </xf>
    <xf numFmtId="0" fontId="1" fillId="0" borderId="152" xfId="3" applyBorder="1" applyAlignment="1">
      <alignment vertical="top"/>
    </xf>
    <xf numFmtId="1" fontId="1" fillId="3" borderId="152" xfId="3" applyNumberFormat="1" applyFill="1" applyBorder="1" applyAlignment="1">
      <alignment horizontal="center" vertical="center"/>
    </xf>
    <xf numFmtId="1" fontId="1" fillId="6" borderId="193" xfId="3" applyNumberFormat="1" applyFill="1" applyBorder="1" applyAlignment="1">
      <alignment horizontal="center" vertical="center"/>
    </xf>
    <xf numFmtId="0" fontId="1" fillId="0" borderId="0" xfId="3" applyAlignment="1">
      <alignment horizontal="center"/>
    </xf>
    <xf numFmtId="0" fontId="0" fillId="0" borderId="152" xfId="3" applyFont="1" applyBorder="1" applyAlignment="1">
      <alignment vertical="top"/>
    </xf>
    <xf numFmtId="0" fontId="1" fillId="0" borderId="29" xfId="3" applyBorder="1" applyAlignment="1">
      <alignment vertical="top"/>
    </xf>
    <xf numFmtId="1" fontId="1" fillId="3" borderId="29" xfId="3" applyNumberFormat="1" applyFill="1" applyBorder="1" applyAlignment="1">
      <alignment horizontal="center" vertical="center"/>
    </xf>
    <xf numFmtId="1" fontId="1" fillId="6" borderId="78" xfId="3" applyNumberFormat="1" applyFill="1" applyBorder="1" applyAlignment="1">
      <alignment horizontal="center" vertical="center"/>
    </xf>
    <xf numFmtId="0" fontId="1" fillId="0" borderId="24" xfId="3" applyBorder="1" applyAlignment="1">
      <alignment horizontal="center" vertical="top"/>
    </xf>
    <xf numFmtId="0" fontId="1" fillId="0" borderId="188" xfId="3" applyBorder="1" applyAlignment="1">
      <alignment horizontal="center"/>
    </xf>
    <xf numFmtId="0" fontId="1" fillId="0" borderId="189" xfId="3" applyBorder="1" applyAlignment="1">
      <alignment vertical="top"/>
    </xf>
    <xf numFmtId="1" fontId="1" fillId="3" borderId="189" xfId="3" applyNumberFormat="1" applyFill="1" applyBorder="1" applyAlignment="1">
      <alignment horizontal="center" vertical="center"/>
    </xf>
    <xf numFmtId="1" fontId="1" fillId="6" borderId="192" xfId="3" applyNumberFormat="1" applyFill="1" applyBorder="1" applyAlignment="1">
      <alignment horizontal="center" vertical="center"/>
    </xf>
    <xf numFmtId="0" fontId="33" fillId="0" borderId="196" xfId="3" applyFont="1" applyBorder="1" applyAlignment="1">
      <alignment vertical="top" wrapText="1"/>
    </xf>
    <xf numFmtId="1" fontId="1" fillId="3" borderId="196" xfId="3" applyNumberFormat="1" applyFill="1" applyBorder="1" applyAlignment="1">
      <alignment horizontal="center" vertical="center"/>
    </xf>
    <xf numFmtId="1" fontId="1" fillId="6" borderId="197" xfId="3" applyNumberFormat="1" applyFill="1" applyBorder="1" applyAlignment="1">
      <alignment horizontal="center" vertical="center"/>
    </xf>
    <xf numFmtId="0" fontId="33" fillId="0" borderId="54" xfId="3" applyFont="1" applyBorder="1" applyAlignment="1">
      <alignment vertical="top" wrapText="1"/>
    </xf>
    <xf numFmtId="0" fontId="0" fillId="2" borderId="4" xfId="3" applyFont="1" applyFill="1" applyBorder="1" applyAlignment="1">
      <alignment horizontal="center" vertical="center" wrapText="1"/>
    </xf>
    <xf numFmtId="0" fontId="0" fillId="2" borderId="107" xfId="3" applyFont="1" applyFill="1" applyBorder="1" applyAlignment="1">
      <alignment horizontal="center" vertical="center" wrapText="1"/>
    </xf>
    <xf numFmtId="0" fontId="1" fillId="0" borderId="82" xfId="3" applyBorder="1" applyAlignment="1">
      <alignment horizontal="center"/>
    </xf>
    <xf numFmtId="1" fontId="1" fillId="6" borderId="187" xfId="3" applyNumberFormat="1" applyFill="1" applyBorder="1" applyAlignment="1">
      <alignment horizontal="center" vertical="center"/>
    </xf>
    <xf numFmtId="0" fontId="1" fillId="0" borderId="84" xfId="3" applyBorder="1" applyAlignment="1">
      <alignment horizontal="center"/>
    </xf>
    <xf numFmtId="1" fontId="1" fillId="6" borderId="30" xfId="3" applyNumberFormat="1" applyFill="1" applyBorder="1" applyAlignment="1">
      <alignment horizontal="center" vertical="center"/>
    </xf>
    <xf numFmtId="0" fontId="1" fillId="0" borderId="194" xfId="3" applyBorder="1" applyAlignment="1">
      <alignment horizontal="center"/>
    </xf>
    <xf numFmtId="1" fontId="1" fillId="6" borderId="190" xfId="3" applyNumberFormat="1" applyFill="1" applyBorder="1" applyAlignment="1">
      <alignment horizontal="center" vertical="center"/>
    </xf>
    <xf numFmtId="0" fontId="1" fillId="0" borderId="195" xfId="3" applyBorder="1" applyAlignment="1">
      <alignment horizontal="center"/>
    </xf>
    <xf numFmtId="1" fontId="1" fillId="6" borderId="199" xfId="3" applyNumberFormat="1" applyFill="1" applyBorder="1" applyAlignment="1">
      <alignment horizontal="center" vertical="center"/>
    </xf>
    <xf numFmtId="0" fontId="33" fillId="0" borderId="0" xfId="3" applyFont="1" applyAlignment="1">
      <alignment vertical="top" wrapText="1"/>
    </xf>
    <xf numFmtId="0" fontId="1" fillId="2" borderId="208" xfId="3" applyFill="1" applyBorder="1" applyAlignment="1">
      <alignment horizontal="center" vertical="center" wrapText="1"/>
    </xf>
    <xf numFmtId="0" fontId="1" fillId="0" borderId="99" xfId="3" applyBorder="1" applyAlignment="1">
      <alignment horizontal="center"/>
    </xf>
    <xf numFmtId="0" fontId="1" fillId="0" borderId="212" xfId="3" applyBorder="1" applyAlignment="1">
      <alignment vertical="top" wrapText="1"/>
    </xf>
    <xf numFmtId="0" fontId="0" fillId="0" borderId="212" xfId="3" applyFont="1" applyBorder="1" applyAlignment="1">
      <alignment vertical="top" wrapText="1"/>
    </xf>
    <xf numFmtId="0" fontId="1" fillId="0" borderId="214" xfId="3" applyBorder="1" applyAlignment="1">
      <alignment horizontal="center"/>
    </xf>
    <xf numFmtId="0" fontId="33" fillId="0" borderId="172" xfId="3" applyFont="1" applyBorder="1" applyAlignment="1">
      <alignment vertical="top" wrapText="1"/>
    </xf>
    <xf numFmtId="0" fontId="1" fillId="0" borderId="208" xfId="3" applyBorder="1" applyAlignment="1">
      <alignment horizontal="center"/>
    </xf>
    <xf numFmtId="0" fontId="1" fillId="0" borderId="3" xfId="3" applyBorder="1" applyAlignment="1">
      <alignment horizontal="left" vertical="center" wrapText="1"/>
    </xf>
    <xf numFmtId="0" fontId="0" fillId="0" borderId="3" xfId="3" applyFont="1" applyBorder="1" applyAlignment="1">
      <alignment horizontal="left" vertical="center" wrapText="1"/>
    </xf>
    <xf numFmtId="0" fontId="1" fillId="0" borderId="209" xfId="3" applyBorder="1" applyAlignment="1">
      <alignment horizontal="center"/>
    </xf>
    <xf numFmtId="0" fontId="1" fillId="0" borderId="210" xfId="3" applyBorder="1" applyAlignment="1">
      <alignment horizontal="center"/>
    </xf>
    <xf numFmtId="0" fontId="1" fillId="0" borderId="36" xfId="3" applyBorder="1" applyAlignment="1">
      <alignment horizontal="left" vertical="center" wrapText="1"/>
    </xf>
    <xf numFmtId="0" fontId="0" fillId="0" borderId="36" xfId="3" applyFont="1" applyBorder="1" applyAlignment="1">
      <alignment horizontal="left" vertical="center" wrapText="1"/>
    </xf>
    <xf numFmtId="0" fontId="1" fillId="0" borderId="0" xfId="3" applyAlignment="1">
      <alignment horizontal="left" vertical="center" wrapText="1"/>
    </xf>
    <xf numFmtId="0" fontId="42" fillId="0" borderId="0" xfId="3" applyFont="1" applyAlignment="1">
      <alignment vertical="center" wrapText="1"/>
    </xf>
    <xf numFmtId="0" fontId="17" fillId="0" borderId="110" xfId="3" applyFont="1" applyBorder="1"/>
    <xf numFmtId="0" fontId="44" fillId="0" borderId="129" xfId="3" applyFont="1" applyBorder="1" applyAlignment="1">
      <alignment wrapText="1"/>
    </xf>
    <xf numFmtId="0" fontId="1" fillId="0" borderId="129" xfId="3" applyBorder="1"/>
    <xf numFmtId="0" fontId="1" fillId="0" borderId="98" xfId="3" applyBorder="1"/>
    <xf numFmtId="0" fontId="17" fillId="0" borderId="1" xfId="3" applyFont="1" applyBorder="1"/>
    <xf numFmtId="0" fontId="1" fillId="0" borderId="3" xfId="3" applyBorder="1"/>
    <xf numFmtId="0" fontId="1" fillId="0" borderId="111" xfId="3" applyBorder="1" applyAlignment="1">
      <alignment horizontal="left" vertical="top"/>
    </xf>
    <xf numFmtId="0" fontId="1" fillId="0" borderId="0" xfId="3" applyAlignment="1">
      <alignment horizontal="left" vertical="top"/>
    </xf>
    <xf numFmtId="0" fontId="1" fillId="0" borderId="112" xfId="3" applyBorder="1" applyAlignment="1">
      <alignment horizontal="left" vertical="top"/>
    </xf>
    <xf numFmtId="0" fontId="1" fillId="0" borderId="4" xfId="3" applyBorder="1" applyAlignment="1">
      <alignment horizontal="left" vertical="top"/>
    </xf>
    <xf numFmtId="0" fontId="1" fillId="0" borderId="5" xfId="3" applyBorder="1" applyAlignment="1">
      <alignment horizontal="left" vertical="top"/>
    </xf>
    <xf numFmtId="0" fontId="1" fillId="0" borderId="113" xfId="3" applyBorder="1" applyAlignment="1">
      <alignment horizontal="left" vertical="top"/>
    </xf>
    <xf numFmtId="0" fontId="1" fillId="0" borderId="138" xfId="3" applyBorder="1" applyAlignment="1">
      <alignment horizontal="left" vertical="top"/>
    </xf>
    <xf numFmtId="0" fontId="1" fillId="0" borderId="139" xfId="3" applyBorder="1" applyAlignment="1">
      <alignment horizontal="left" vertical="top"/>
    </xf>
    <xf numFmtId="0" fontId="1" fillId="0" borderId="6" xfId="3" applyBorder="1" applyAlignment="1">
      <alignment horizontal="left" vertical="top"/>
    </xf>
    <xf numFmtId="0" fontId="1" fillId="0" borderId="7" xfId="3" applyBorder="1" applyAlignment="1">
      <alignment horizontal="left" vertical="top"/>
    </xf>
    <xf numFmtId="0" fontId="1" fillId="0" borderId="8" xfId="3" applyBorder="1" applyAlignment="1">
      <alignment horizontal="left" vertical="top"/>
    </xf>
    <xf numFmtId="0" fontId="1" fillId="0" borderId="1" xfId="3" applyBorder="1"/>
    <xf numFmtId="0" fontId="4" fillId="0" borderId="2" xfId="3" applyFont="1" applyBorder="1"/>
    <xf numFmtId="0" fontId="1" fillId="0" borderId="5" xfId="3" applyBorder="1"/>
    <xf numFmtId="0" fontId="1" fillId="0" borderId="6" xfId="3" applyBorder="1"/>
    <xf numFmtId="0" fontId="1" fillId="0" borderId="7" xfId="3" applyBorder="1"/>
    <xf numFmtId="0" fontId="1" fillId="0" borderId="8" xfId="3" applyBorder="1"/>
    <xf numFmtId="1" fontId="4" fillId="5" borderId="84" xfId="0" applyNumberFormat="1" applyFont="1" applyFill="1" applyBorder="1" applyAlignment="1">
      <alignment horizontal="right"/>
    </xf>
    <xf numFmtId="0" fontId="4" fillId="5" borderId="85" xfId="0" applyFont="1" applyFill="1" applyBorder="1" applyAlignment="1">
      <alignment horizontal="left"/>
    </xf>
    <xf numFmtId="1" fontId="1" fillId="10" borderId="82" xfId="3" applyNumberFormat="1" applyFill="1" applyBorder="1" applyAlignment="1" applyProtection="1">
      <alignment horizontal="center"/>
      <protection locked="0"/>
    </xf>
    <xf numFmtId="1" fontId="1" fillId="10" borderId="82" xfId="3" quotePrefix="1" applyNumberFormat="1" applyFill="1" applyBorder="1" applyAlignment="1" applyProtection="1">
      <alignment horizontal="center"/>
      <protection locked="0"/>
    </xf>
    <xf numFmtId="1" fontId="1" fillId="10" borderId="84" xfId="3" quotePrefix="1" applyNumberFormat="1" applyFill="1" applyBorder="1" applyAlignment="1" applyProtection="1">
      <alignment horizontal="center"/>
      <protection locked="0"/>
    </xf>
    <xf numFmtId="0" fontId="1" fillId="10" borderId="82" xfId="3" quotePrefix="1" applyFill="1" applyBorder="1" applyAlignment="1" applyProtection="1">
      <alignment horizontal="center"/>
      <protection locked="0"/>
    </xf>
    <xf numFmtId="0" fontId="1" fillId="10" borderId="84" xfId="3" quotePrefix="1" applyFill="1" applyBorder="1" applyAlignment="1" applyProtection="1">
      <alignment horizontal="center"/>
      <protection locked="0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0" fillId="0" borderId="4" xfId="0" applyBorder="1"/>
    <xf numFmtId="0" fontId="4" fillId="0" borderId="5" xfId="0" applyFont="1" applyBorder="1"/>
    <xf numFmtId="0" fontId="4" fillId="0" borderId="4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164" fontId="4" fillId="10" borderId="23" xfId="0" applyNumberFormat="1" applyFont="1" applyFill="1" applyBorder="1" applyAlignment="1">
      <alignment horizontal="right"/>
    </xf>
    <xf numFmtId="164" fontId="4" fillId="5" borderId="28" xfId="0" applyNumberFormat="1" applyFont="1" applyFill="1" applyBorder="1" applyAlignment="1">
      <alignment horizontal="right"/>
    </xf>
    <xf numFmtId="1" fontId="4" fillId="21" borderId="24" xfId="0" quotePrefix="1" applyNumberFormat="1" applyFont="1" applyFill="1" applyBorder="1" applyAlignment="1">
      <alignment horizontal="right"/>
    </xf>
    <xf numFmtId="1" fontId="4" fillId="21" borderId="30" xfId="0" quotePrefix="1" applyNumberFormat="1" applyFont="1" applyFill="1" applyBorder="1" applyAlignment="1">
      <alignment horizontal="right"/>
    </xf>
    <xf numFmtId="1" fontId="4" fillId="21" borderId="26" xfId="0" quotePrefix="1" applyNumberFormat="1" applyFont="1" applyFill="1" applyBorder="1" applyAlignment="1">
      <alignment horizontal="right"/>
    </xf>
    <xf numFmtId="1" fontId="4" fillId="21" borderId="32" xfId="0" quotePrefix="1" applyNumberFormat="1" applyFont="1" applyFill="1" applyBorder="1" applyAlignment="1">
      <alignment horizontal="right"/>
    </xf>
    <xf numFmtId="10" fontId="1" fillId="0" borderId="0" xfId="0" applyNumberFormat="1" applyFont="1"/>
    <xf numFmtId="10" fontId="0" fillId="0" borderId="0" xfId="0" applyNumberFormat="1"/>
    <xf numFmtId="167" fontId="1" fillId="0" borderId="0" xfId="0" applyNumberFormat="1" applyFont="1"/>
    <xf numFmtId="167" fontId="0" fillId="0" borderId="0" xfId="0" applyNumberFormat="1"/>
    <xf numFmtId="0" fontId="4" fillId="3" borderId="40" xfId="0" applyFont="1" applyFill="1" applyBorder="1" applyAlignment="1" applyProtection="1">
      <alignment horizontal="left"/>
      <protection locked="0"/>
    </xf>
    <xf numFmtId="0" fontId="60" fillId="0" borderId="0" xfId="0" applyFont="1"/>
    <xf numFmtId="14" fontId="4" fillId="0" borderId="7" xfId="0" applyNumberFormat="1" applyFont="1" applyBorder="1"/>
    <xf numFmtId="14" fontId="1" fillId="0" borderId="0" xfId="3" quotePrefix="1" applyNumberFormat="1" applyAlignment="1">
      <alignment horizontal="left" vertical="top"/>
    </xf>
    <xf numFmtId="0" fontId="0" fillId="0" borderId="2" xfId="0" applyBorder="1"/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0" fillId="0" borderId="0" xfId="0" applyProtection="1">
      <protection locked="0"/>
    </xf>
    <xf numFmtId="0" fontId="1" fillId="5" borderId="47" xfId="0" applyFont="1" applyFill="1" applyBorder="1" applyAlignment="1" applyProtection="1">
      <alignment horizontal="left"/>
      <protection locked="0"/>
    </xf>
    <xf numFmtId="2" fontId="59" fillId="22" borderId="24" xfId="0" applyNumberFormat="1" applyFont="1" applyFill="1" applyBorder="1" applyAlignment="1">
      <alignment horizontal="right" vertical="center" wrapText="1"/>
    </xf>
    <xf numFmtId="164" fontId="4" fillId="5" borderId="142" xfId="0" applyNumberFormat="1" applyFont="1" applyFill="1" applyBorder="1" applyAlignment="1" applyProtection="1">
      <alignment horizontal="left"/>
      <protection locked="0"/>
    </xf>
    <xf numFmtId="164" fontId="4" fillId="5" borderId="119" xfId="0" applyNumberFormat="1" applyFont="1" applyFill="1" applyBorder="1" applyAlignment="1" applyProtection="1">
      <alignment horizontal="left"/>
      <protection locked="0"/>
    </xf>
    <xf numFmtId="0" fontId="4" fillId="5" borderId="121" xfId="0" applyFont="1" applyFill="1" applyBorder="1" applyAlignment="1" applyProtection="1">
      <alignment horizontal="left"/>
      <protection locked="0"/>
    </xf>
    <xf numFmtId="0" fontId="4" fillId="5" borderId="245" xfId="0" applyFont="1" applyFill="1" applyBorder="1" applyAlignment="1" applyProtection="1">
      <alignment horizontal="left"/>
      <protection locked="0"/>
    </xf>
    <xf numFmtId="2" fontId="4" fillId="9" borderId="23" xfId="0" applyNumberFormat="1" applyFont="1" applyFill="1" applyBorder="1" applyAlignment="1">
      <alignment horizontal="right"/>
    </xf>
    <xf numFmtId="1" fontId="4" fillId="3" borderId="24" xfId="4" applyNumberFormat="1" applyFont="1" applyFill="1" applyBorder="1" applyAlignment="1" applyProtection="1">
      <alignment horizontal="right"/>
      <protection locked="0"/>
    </xf>
    <xf numFmtId="10" fontId="4" fillId="3" borderId="24" xfId="4" applyNumberFormat="1" applyFont="1" applyFill="1" applyBorder="1" applyAlignment="1" applyProtection="1">
      <alignment horizontal="right"/>
      <protection locked="0"/>
    </xf>
    <xf numFmtId="10" fontId="4" fillId="9" borderId="24" xfId="2" applyNumberFormat="1" applyFont="1" applyFill="1" applyBorder="1" applyAlignment="1">
      <alignment horizontal="right"/>
    </xf>
    <xf numFmtId="10" fontId="4" fillId="3" borderId="26" xfId="4" applyNumberFormat="1" applyFont="1" applyFill="1" applyBorder="1" applyAlignment="1" applyProtection="1">
      <alignment horizontal="right"/>
      <protection locked="0"/>
    </xf>
    <xf numFmtId="2" fontId="1" fillId="3" borderId="24" xfId="0" applyNumberFormat="1" applyFont="1" applyFill="1" applyBorder="1" applyAlignment="1" applyProtection="1">
      <alignment horizontal="right"/>
      <protection locked="0"/>
    </xf>
    <xf numFmtId="2" fontId="4" fillId="5" borderId="26" xfId="0" applyNumberFormat="1" applyFont="1" applyFill="1" applyBorder="1" applyAlignment="1" applyProtection="1">
      <alignment horizontal="right"/>
      <protection locked="0"/>
    </xf>
    <xf numFmtId="10" fontId="16" fillId="7" borderId="23" xfId="2" applyNumberFormat="1" applyFont="1" applyFill="1" applyBorder="1" applyAlignment="1">
      <alignment horizontal="right"/>
    </xf>
    <xf numFmtId="10" fontId="16" fillId="6" borderId="26" xfId="2" applyNumberFormat="1" applyFont="1" applyFill="1" applyBorder="1" applyAlignment="1">
      <alignment horizontal="right"/>
    </xf>
    <xf numFmtId="0" fontId="16" fillId="3" borderId="32" xfId="0" applyFont="1" applyFill="1" applyBorder="1" applyAlignment="1" applyProtection="1">
      <alignment horizontal="left"/>
      <protection locked="0"/>
    </xf>
    <xf numFmtId="10" fontId="62" fillId="10" borderId="28" xfId="2" applyNumberFormat="1" applyFont="1" applyFill="1" applyBorder="1" applyProtection="1"/>
    <xf numFmtId="0" fontId="62" fillId="0" borderId="0" xfId="0" applyFont="1"/>
    <xf numFmtId="0" fontId="63" fillId="13" borderId="24" xfId="0" applyFont="1" applyFill="1" applyBorder="1"/>
    <xf numFmtId="0" fontId="63" fillId="13" borderId="96" xfId="0" applyFont="1" applyFill="1" applyBorder="1"/>
    <xf numFmtId="0" fontId="63" fillId="13" borderId="60" xfId="0" applyFont="1" applyFill="1" applyBorder="1"/>
    <xf numFmtId="0" fontId="63" fillId="13" borderId="95" xfId="0" applyFont="1" applyFill="1" applyBorder="1"/>
    <xf numFmtId="164" fontId="62" fillId="10" borderId="24" xfId="2" applyNumberFormat="1" applyFont="1" applyFill="1" applyBorder="1" applyProtection="1"/>
    <xf numFmtId="10" fontId="62" fillId="10" borderId="30" xfId="2" applyNumberFormat="1" applyFont="1" applyFill="1" applyBorder="1" applyProtection="1"/>
    <xf numFmtId="1" fontId="1" fillId="6" borderId="213" xfId="3" applyNumberFormat="1" applyFill="1" applyBorder="1" applyAlignment="1">
      <alignment horizontal="center" vertical="center"/>
    </xf>
    <xf numFmtId="1" fontId="1" fillId="6" borderId="212" xfId="3" applyNumberFormat="1" applyFill="1" applyBorder="1" applyAlignment="1">
      <alignment horizontal="center" vertical="center"/>
    </xf>
    <xf numFmtId="0" fontId="37" fillId="3" borderId="179" xfId="0" applyFont="1" applyFill="1" applyBorder="1" applyAlignment="1">
      <alignment horizontal="center" vertical="center"/>
    </xf>
    <xf numFmtId="1" fontId="1" fillId="6" borderId="215" xfId="3" applyNumberFormat="1" applyFill="1" applyBorder="1" applyAlignment="1">
      <alignment horizontal="center" vertical="center"/>
    </xf>
    <xf numFmtId="1" fontId="1" fillId="6" borderId="172" xfId="3" applyNumberFormat="1" applyFill="1" applyBorder="1" applyAlignment="1">
      <alignment horizontal="center" vertical="center"/>
    </xf>
    <xf numFmtId="0" fontId="37" fillId="3" borderId="211" xfId="0" applyFont="1" applyFill="1" applyBorder="1" applyAlignment="1">
      <alignment horizontal="center" vertical="center"/>
    </xf>
    <xf numFmtId="0" fontId="37" fillId="3" borderId="119" xfId="0" applyFont="1" applyFill="1" applyBorder="1" applyAlignment="1">
      <alignment horizontal="center"/>
    </xf>
    <xf numFmtId="0" fontId="37" fillId="3" borderId="121" xfId="0" applyFont="1" applyFill="1" applyBorder="1" applyAlignment="1">
      <alignment horizontal="center"/>
    </xf>
    <xf numFmtId="0" fontId="1" fillId="3" borderId="198" xfId="3" applyFill="1" applyBorder="1" applyAlignment="1">
      <alignment horizontal="center" vertical="center"/>
    </xf>
    <xf numFmtId="0" fontId="37" fillId="3" borderId="171" xfId="0" applyFont="1" applyFill="1" applyBorder="1" applyAlignment="1">
      <alignment horizontal="center"/>
    </xf>
    <xf numFmtId="1" fontId="1" fillId="6" borderId="1" xfId="3" applyNumberFormat="1" applyFill="1" applyBorder="1" applyAlignment="1">
      <alignment horizontal="center" vertical="center"/>
    </xf>
    <xf numFmtId="0" fontId="37" fillId="3" borderId="179" xfId="0" applyFont="1" applyFill="1" applyBorder="1" applyAlignment="1">
      <alignment horizontal="center"/>
    </xf>
    <xf numFmtId="1" fontId="1" fillId="6" borderId="106" xfId="3" applyNumberFormat="1" applyFill="1" applyBorder="1" applyAlignment="1">
      <alignment horizontal="center" vertical="center" wrapText="1"/>
    </xf>
    <xf numFmtId="0" fontId="37" fillId="3" borderId="211" xfId="0" applyFont="1" applyFill="1" applyBorder="1" applyAlignment="1">
      <alignment horizontal="center"/>
    </xf>
    <xf numFmtId="1" fontId="1" fillId="3" borderId="99" xfId="3" applyNumberFormat="1" applyFill="1" applyBorder="1" applyAlignment="1">
      <alignment horizontal="center" vertical="center" wrapText="1"/>
    </xf>
    <xf numFmtId="0" fontId="37" fillId="3" borderId="186" xfId="0" applyFont="1" applyFill="1" applyBorder="1" applyAlignment="1">
      <alignment horizontal="center"/>
    </xf>
    <xf numFmtId="0" fontId="37" fillId="10" borderId="119" xfId="0" applyFont="1" applyFill="1" applyBorder="1" applyAlignment="1" applyProtection="1">
      <alignment horizontal="center" vertical="center"/>
      <protection locked="0"/>
    </xf>
    <xf numFmtId="0" fontId="37" fillId="3" borderId="121" xfId="0" applyFont="1" applyFill="1" applyBorder="1" applyAlignment="1" applyProtection="1">
      <alignment horizontal="center" vertical="center"/>
      <protection locked="0"/>
    </xf>
    <xf numFmtId="0" fontId="37" fillId="3" borderId="114" xfId="0" applyFont="1" applyFill="1" applyBorder="1" applyAlignment="1" applyProtection="1">
      <alignment horizontal="center" vertical="center"/>
      <protection locked="0"/>
    </xf>
    <xf numFmtId="0" fontId="37" fillId="10" borderId="121" xfId="0" applyFont="1" applyFill="1" applyBorder="1" applyAlignment="1" applyProtection="1">
      <alignment horizontal="center" vertical="center"/>
      <protection locked="0"/>
    </xf>
    <xf numFmtId="0" fontId="37" fillId="3" borderId="119" xfId="0" applyFont="1" applyFill="1" applyBorder="1" applyAlignment="1" applyProtection="1">
      <alignment horizontal="center" vertical="center"/>
      <protection locked="0"/>
    </xf>
    <xf numFmtId="0" fontId="37" fillId="3" borderId="28" xfId="0" applyFont="1" applyFill="1" applyBorder="1" applyAlignment="1" applyProtection="1">
      <alignment horizontal="center" vertical="center"/>
      <protection locked="0"/>
    </xf>
    <xf numFmtId="0" fontId="37" fillId="3" borderId="30" xfId="0" applyFont="1" applyFill="1" applyBorder="1" applyAlignment="1" applyProtection="1">
      <alignment horizontal="center" vertical="center"/>
      <protection locked="0"/>
    </xf>
    <xf numFmtId="0" fontId="37" fillId="3" borderId="32" xfId="0" applyFont="1" applyFill="1" applyBorder="1" applyAlignment="1" applyProtection="1">
      <alignment horizontal="center" vertical="center"/>
      <protection locked="0"/>
    </xf>
    <xf numFmtId="0" fontId="6" fillId="2" borderId="62" xfId="0" applyFont="1" applyFill="1" applyBorder="1" applyAlignment="1">
      <alignment horizontal="center" vertical="center" wrapText="1"/>
    </xf>
    <xf numFmtId="0" fontId="6" fillId="2" borderId="63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2" borderId="64" xfId="0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1" fillId="0" borderId="3" xfId="3" applyBorder="1" applyAlignment="1">
      <alignment horizontal="center" vertical="center" wrapText="1"/>
    </xf>
    <xf numFmtId="0" fontId="1" fillId="0" borderId="4" xfId="3" applyBorder="1" applyAlignment="1">
      <alignment horizontal="center" vertical="center" wrapText="1"/>
    </xf>
    <xf numFmtId="0" fontId="1" fillId="0" borderId="5" xfId="3" applyBorder="1" applyAlignment="1">
      <alignment horizontal="center" vertical="center" wrapText="1"/>
    </xf>
    <xf numFmtId="0" fontId="6" fillId="12" borderId="110" xfId="0" applyFont="1" applyFill="1" applyBorder="1" applyAlignment="1">
      <alignment horizontal="center" vertical="center" wrapText="1"/>
    </xf>
    <xf numFmtId="0" fontId="6" fillId="12" borderId="98" xfId="0" applyFont="1" applyFill="1" applyBorder="1" applyAlignment="1">
      <alignment horizontal="center" vertical="center" wrapText="1"/>
    </xf>
    <xf numFmtId="0" fontId="6" fillId="12" borderId="111" xfId="0" applyFont="1" applyFill="1" applyBorder="1" applyAlignment="1">
      <alignment horizontal="center" vertical="center" wrapText="1"/>
    </xf>
    <xf numFmtId="0" fontId="6" fillId="12" borderId="112" xfId="0" applyFont="1" applyFill="1" applyBorder="1" applyAlignment="1">
      <alignment horizontal="center" vertical="center" wrapText="1"/>
    </xf>
    <xf numFmtId="0" fontId="9" fillId="2" borderId="100" xfId="0" applyFont="1" applyFill="1" applyBorder="1" applyAlignment="1">
      <alignment horizontal="center" vertical="top" wrapText="1"/>
    </xf>
    <xf numFmtId="0" fontId="9" fillId="2" borderId="101" xfId="0" applyFont="1" applyFill="1" applyBorder="1" applyAlignment="1">
      <alignment horizontal="center" vertical="top" wrapText="1"/>
    </xf>
    <xf numFmtId="0" fontId="9" fillId="2" borderId="102" xfId="0" applyFont="1" applyFill="1" applyBorder="1" applyAlignment="1">
      <alignment horizontal="center" vertical="top" wrapText="1"/>
    </xf>
    <xf numFmtId="0" fontId="18" fillId="2" borderId="34" xfId="0" applyFont="1" applyFill="1" applyBorder="1" applyAlignment="1">
      <alignment horizontal="left"/>
    </xf>
    <xf numFmtId="0" fontId="18" fillId="2" borderId="35" xfId="0" applyFont="1" applyFill="1" applyBorder="1" applyAlignment="1">
      <alignment horizontal="left"/>
    </xf>
    <xf numFmtId="0" fontId="18" fillId="2" borderId="36" xfId="0" applyFont="1" applyFill="1" applyBorder="1" applyAlignment="1">
      <alignment horizontal="left"/>
    </xf>
    <xf numFmtId="0" fontId="18" fillId="2" borderId="34" xfId="0" applyFont="1" applyFill="1" applyBorder="1" applyAlignment="1">
      <alignment horizontal="center"/>
    </xf>
    <xf numFmtId="0" fontId="18" fillId="2" borderId="36" xfId="0" applyFont="1" applyFill="1" applyBorder="1" applyAlignment="1">
      <alignment horizontal="center"/>
    </xf>
    <xf numFmtId="0" fontId="4" fillId="11" borderId="59" xfId="0" applyFont="1" applyFill="1" applyBorder="1" applyAlignment="1">
      <alignment horizontal="left"/>
    </xf>
    <xf numFmtId="0" fontId="4" fillId="11" borderId="105" xfId="0" applyFont="1" applyFill="1" applyBorder="1" applyAlignment="1">
      <alignment horizontal="left"/>
    </xf>
    <xf numFmtId="0" fontId="4" fillId="11" borderId="80" xfId="0" applyFont="1" applyFill="1" applyBorder="1" applyAlignment="1">
      <alignment horizontal="left"/>
    </xf>
    <xf numFmtId="0" fontId="4" fillId="11" borderId="96" xfId="0" applyFont="1" applyFill="1" applyBorder="1" applyAlignment="1">
      <alignment horizontal="left"/>
    </xf>
    <xf numFmtId="0" fontId="4" fillId="11" borderId="103" xfId="0" applyFont="1" applyFill="1" applyBorder="1" applyAlignment="1">
      <alignment horizontal="left"/>
    </xf>
    <xf numFmtId="0" fontId="4" fillId="11" borderId="8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left"/>
    </xf>
    <xf numFmtId="0" fontId="19" fillId="2" borderId="2" xfId="0" applyFont="1" applyFill="1" applyBorder="1" applyAlignment="1">
      <alignment horizontal="left"/>
    </xf>
    <xf numFmtId="0" fontId="19" fillId="2" borderId="3" xfId="0" applyFont="1" applyFill="1" applyBorder="1" applyAlignment="1">
      <alignment horizontal="left"/>
    </xf>
    <xf numFmtId="0" fontId="19" fillId="2" borderId="6" xfId="0" applyFont="1" applyFill="1" applyBorder="1" applyAlignment="1">
      <alignment horizontal="left"/>
    </xf>
    <xf numFmtId="0" fontId="19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8" fillId="2" borderId="66" xfId="0" applyFont="1" applyFill="1" applyBorder="1" applyAlignment="1">
      <alignment horizontal="center" vertical="center" wrapText="1"/>
    </xf>
    <xf numFmtId="0" fontId="16" fillId="2" borderId="66" xfId="0" applyFont="1" applyFill="1" applyBorder="1" applyAlignment="1">
      <alignment horizontal="center" vertical="center" wrapText="1"/>
    </xf>
    <xf numFmtId="0" fontId="16" fillId="2" borderId="49" xfId="0" applyFont="1" applyFill="1" applyBorder="1" applyAlignment="1">
      <alignment horizontal="center" vertical="center" wrapText="1"/>
    </xf>
    <xf numFmtId="0" fontId="18" fillId="2" borderId="67" xfId="0" applyFont="1" applyFill="1" applyBorder="1" applyAlignment="1">
      <alignment horizontal="center" vertical="center" wrapText="1"/>
    </xf>
    <xf numFmtId="0" fontId="18" fillId="2" borderId="54" xfId="0" applyFont="1" applyFill="1" applyBorder="1" applyAlignment="1">
      <alignment horizontal="center" vertical="center" wrapText="1"/>
    </xf>
    <xf numFmtId="0" fontId="16" fillId="2" borderId="67" xfId="0" applyFont="1" applyFill="1" applyBorder="1" applyAlignment="1">
      <alignment horizontal="center" vertical="center" wrapText="1"/>
    </xf>
    <xf numFmtId="0" fontId="16" fillId="2" borderId="54" xfId="0" applyFont="1" applyFill="1" applyBorder="1" applyAlignment="1">
      <alignment horizontal="center" vertical="center" wrapText="1"/>
    </xf>
    <xf numFmtId="0" fontId="18" fillId="2" borderId="65" xfId="0" applyFont="1" applyFill="1" applyBorder="1" applyAlignment="1">
      <alignment horizontal="center" vertical="center" wrapText="1"/>
    </xf>
    <xf numFmtId="0" fontId="16" fillId="2" borderId="65" xfId="0" applyFont="1" applyFill="1" applyBorder="1" applyAlignment="1">
      <alignment horizontal="center" vertical="center" wrapText="1"/>
    </xf>
    <xf numFmtId="0" fontId="16" fillId="2" borderId="55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56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16" fillId="2" borderId="58" xfId="0" applyFont="1" applyFill="1" applyBorder="1" applyAlignment="1">
      <alignment horizontal="center" vertical="center" wrapText="1"/>
    </xf>
    <xf numFmtId="0" fontId="1" fillId="0" borderId="144" xfId="0" applyFont="1" applyBorder="1" applyAlignment="1">
      <alignment horizontal="center"/>
    </xf>
    <xf numFmtId="0" fontId="1" fillId="0" borderId="116" xfId="0" applyFont="1" applyBorder="1" applyAlignment="1">
      <alignment horizontal="center"/>
    </xf>
    <xf numFmtId="0" fontId="17" fillId="12" borderId="221" xfId="0" applyFont="1" applyFill="1" applyBorder="1" applyAlignment="1">
      <alignment horizontal="center"/>
    </xf>
    <xf numFmtId="0" fontId="17" fillId="12" borderId="158" xfId="0" applyFont="1" applyFill="1" applyBorder="1" applyAlignment="1">
      <alignment horizontal="center"/>
    </xf>
    <xf numFmtId="0" fontId="17" fillId="12" borderId="159" xfId="0" applyFont="1" applyFill="1" applyBorder="1" applyAlignment="1">
      <alignment horizontal="center"/>
    </xf>
    <xf numFmtId="0" fontId="17" fillId="12" borderId="124" xfId="0" applyFont="1" applyFill="1" applyBorder="1" applyAlignment="1">
      <alignment horizontal="left"/>
    </xf>
    <xf numFmtId="0" fontId="17" fillId="12" borderId="125" xfId="0" applyFont="1" applyFill="1" applyBorder="1" applyAlignment="1">
      <alignment horizontal="left"/>
    </xf>
    <xf numFmtId="0" fontId="17" fillId="12" borderId="126" xfId="0" applyFont="1" applyFill="1" applyBorder="1" applyAlignment="1">
      <alignment horizontal="left"/>
    </xf>
    <xf numFmtId="0" fontId="17" fillId="12" borderId="110" xfId="0" applyFont="1" applyFill="1" applyBorder="1" applyAlignment="1">
      <alignment horizontal="left"/>
    </xf>
    <xf numFmtId="0" fontId="17" fillId="12" borderId="129" xfId="0" applyFont="1" applyFill="1" applyBorder="1" applyAlignment="1">
      <alignment horizontal="left"/>
    </xf>
    <xf numFmtId="0" fontId="17" fillId="12" borderId="98" xfId="0" applyFont="1" applyFill="1" applyBorder="1" applyAlignment="1">
      <alignment horizontal="left"/>
    </xf>
    <xf numFmtId="0" fontId="1" fillId="0" borderId="74" xfId="0" applyFont="1" applyBorder="1" applyAlignment="1">
      <alignment horizontal="center"/>
    </xf>
    <xf numFmtId="0" fontId="1" fillId="0" borderId="133" xfId="0" applyFont="1" applyBorder="1" applyAlignment="1">
      <alignment horizontal="center"/>
    </xf>
    <xf numFmtId="0" fontId="1" fillId="0" borderId="181" xfId="0" applyFont="1" applyBorder="1" applyAlignment="1">
      <alignment horizontal="center"/>
    </xf>
    <xf numFmtId="0" fontId="17" fillId="12" borderId="124" xfId="0" applyFont="1" applyFill="1" applyBorder="1" applyAlignment="1">
      <alignment horizontal="center"/>
    </xf>
    <xf numFmtId="0" fontId="17" fillId="12" borderId="125" xfId="0" applyFont="1" applyFill="1" applyBorder="1" applyAlignment="1">
      <alignment horizontal="center"/>
    </xf>
    <xf numFmtId="0" fontId="17" fillId="12" borderId="126" xfId="0" applyFont="1" applyFill="1" applyBorder="1" applyAlignment="1">
      <alignment horizontal="center"/>
    </xf>
    <xf numFmtId="0" fontId="17" fillId="12" borderId="35" xfId="0" applyFont="1" applyFill="1" applyBorder="1" applyAlignment="1">
      <alignment horizontal="center"/>
    </xf>
    <xf numFmtId="0" fontId="1" fillId="0" borderId="137" xfId="0" applyFont="1" applyBorder="1" applyAlignment="1">
      <alignment horizontal="center"/>
    </xf>
    <xf numFmtId="0" fontId="1" fillId="0" borderId="135" xfId="0" applyFont="1" applyBorder="1" applyAlignment="1">
      <alignment horizontal="center"/>
    </xf>
    <xf numFmtId="0" fontId="1" fillId="0" borderId="134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12" xfId="0" applyFont="1" applyBorder="1" applyAlignment="1">
      <alignment wrapText="1"/>
    </xf>
    <xf numFmtId="0" fontId="43" fillId="0" borderId="129" xfId="3" applyFont="1" applyBorder="1" applyAlignment="1">
      <alignment horizontal="left" vertical="center" wrapText="1"/>
    </xf>
    <xf numFmtId="0" fontId="43" fillId="0" borderId="0" xfId="3" applyFont="1" applyAlignment="1">
      <alignment horizontal="left" vertical="center" wrapText="1"/>
    </xf>
    <xf numFmtId="0" fontId="43" fillId="0" borderId="138" xfId="3" applyFont="1" applyBorder="1" applyAlignment="1">
      <alignment horizontal="left" vertical="center" wrapText="1"/>
    </xf>
    <xf numFmtId="0" fontId="61" fillId="0" borderId="129" xfId="3" applyFont="1" applyBorder="1" applyAlignment="1">
      <alignment horizontal="left" vertical="center" wrapText="1"/>
    </xf>
    <xf numFmtId="0" fontId="41" fillId="2" borderId="124" xfId="3" applyFont="1" applyFill="1" applyBorder="1" applyAlignment="1">
      <alignment horizontal="center"/>
    </xf>
    <xf numFmtId="0" fontId="41" fillId="2" borderId="125" xfId="3" applyFont="1" applyFill="1" applyBorder="1" applyAlignment="1">
      <alignment horizontal="center"/>
    </xf>
    <xf numFmtId="0" fontId="41" fillId="2" borderId="126" xfId="3" applyFont="1" applyFill="1" applyBorder="1" applyAlignment="1">
      <alignment horizontal="center"/>
    </xf>
    <xf numFmtId="0" fontId="43" fillId="0" borderId="2" xfId="3" applyFont="1" applyBorder="1" applyAlignment="1">
      <alignment horizontal="left" vertical="center" wrapText="1"/>
    </xf>
    <xf numFmtId="0" fontId="43" fillId="0" borderId="3" xfId="3" applyFont="1" applyBorder="1" applyAlignment="1">
      <alignment horizontal="left" vertical="center" wrapText="1"/>
    </xf>
    <xf numFmtId="0" fontId="43" fillId="0" borderId="5" xfId="3" applyFont="1" applyBorder="1" applyAlignment="1">
      <alignment horizontal="left" vertical="center" wrapText="1"/>
    </xf>
    <xf numFmtId="0" fontId="43" fillId="0" borderId="7" xfId="3" applyFont="1" applyBorder="1" applyAlignment="1">
      <alignment horizontal="left" vertical="center" wrapText="1"/>
    </xf>
    <xf numFmtId="0" fontId="43" fillId="0" borderId="8" xfId="3" applyFont="1" applyBorder="1" applyAlignment="1">
      <alignment horizontal="left" vertical="center" wrapText="1"/>
    </xf>
    <xf numFmtId="0" fontId="41" fillId="16" borderId="124" xfId="3" applyFont="1" applyFill="1" applyBorder="1" applyAlignment="1">
      <alignment horizontal="left" indent="1"/>
    </xf>
    <xf numFmtId="0" fontId="41" fillId="16" borderId="132" xfId="3" applyFont="1" applyFill="1" applyBorder="1" applyAlignment="1">
      <alignment horizontal="left" indent="1"/>
    </xf>
    <xf numFmtId="0" fontId="41" fillId="2" borderId="34" xfId="3" applyFont="1" applyFill="1" applyBorder="1" applyAlignment="1">
      <alignment horizontal="left"/>
    </xf>
    <xf numFmtId="0" fontId="41" fillId="2" borderId="40" xfId="3" applyFont="1" applyFill="1" applyBorder="1" applyAlignment="1">
      <alignment horizontal="left"/>
    </xf>
    <xf numFmtId="1" fontId="17" fillId="17" borderId="124" xfId="3" quotePrefix="1" applyNumberFormat="1" applyFont="1" applyFill="1" applyBorder="1" applyAlignment="1">
      <alignment horizontal="center" vertical="center" wrapText="1"/>
    </xf>
    <xf numFmtId="1" fontId="17" fillId="17" borderId="125" xfId="3" quotePrefix="1" applyNumberFormat="1" applyFont="1" applyFill="1" applyBorder="1" applyAlignment="1">
      <alignment horizontal="center" vertical="center" wrapText="1"/>
    </xf>
    <xf numFmtId="1" fontId="17" fillId="17" borderId="126" xfId="3" quotePrefix="1" applyNumberFormat="1" applyFont="1" applyFill="1" applyBorder="1" applyAlignment="1">
      <alignment horizontal="center" vertical="center" wrapText="1"/>
    </xf>
    <xf numFmtId="0" fontId="17" fillId="17" borderId="34" xfId="3" applyFont="1" applyFill="1" applyBorder="1" applyAlignment="1">
      <alignment horizontal="center"/>
    </xf>
    <xf numFmtId="0" fontId="17" fillId="17" borderId="36" xfId="3" applyFont="1" applyFill="1" applyBorder="1" applyAlignment="1">
      <alignment horizontal="center"/>
    </xf>
    <xf numFmtId="0" fontId="17" fillId="17" borderId="34" xfId="3" applyFont="1" applyFill="1" applyBorder="1" applyAlignment="1">
      <alignment horizontal="center" vertical="center" wrapText="1"/>
    </xf>
    <xf numFmtId="0" fontId="17" fillId="17" borderId="36" xfId="3" applyFont="1" applyFill="1" applyBorder="1" applyAlignment="1">
      <alignment horizontal="center" vertical="center" wrapText="1"/>
    </xf>
    <xf numFmtId="0" fontId="1" fillId="0" borderId="106" xfId="3" applyBorder="1" applyAlignment="1">
      <alignment horizontal="left" wrapText="1"/>
    </xf>
    <xf numFmtId="0" fontId="1" fillId="0" borderId="191" xfId="3" applyBorder="1" applyAlignment="1">
      <alignment horizontal="left" wrapText="1"/>
    </xf>
    <xf numFmtId="0" fontId="1" fillId="0" borderId="106" xfId="3" applyBorder="1" applyAlignment="1">
      <alignment horizontal="center" wrapText="1"/>
    </xf>
    <xf numFmtId="0" fontId="1" fillId="0" borderId="107" xfId="3" applyBorder="1" applyAlignment="1">
      <alignment horizontal="center" wrapText="1"/>
    </xf>
    <xf numFmtId="0" fontId="1" fillId="0" borderId="48" xfId="3" applyBorder="1" applyAlignment="1">
      <alignment horizontal="center" wrapText="1"/>
    </xf>
    <xf numFmtId="0" fontId="1" fillId="0" borderId="106" xfId="3" applyBorder="1" applyAlignment="1">
      <alignment horizontal="left" vertical="center" wrapText="1"/>
    </xf>
    <xf numFmtId="0" fontId="1" fillId="0" borderId="107" xfId="3" applyBorder="1" applyAlignment="1">
      <alignment horizontal="left" vertical="center" wrapText="1"/>
    </xf>
    <xf numFmtId="0" fontId="1" fillId="0" borderId="48" xfId="3" applyBorder="1" applyAlignment="1">
      <alignment horizontal="left" vertical="center" wrapText="1"/>
    </xf>
    <xf numFmtId="0" fontId="1" fillId="0" borderId="106" xfId="3" applyBorder="1" applyAlignment="1">
      <alignment horizontal="center" vertical="center" wrapText="1"/>
    </xf>
    <xf numFmtId="0" fontId="1" fillId="0" borderId="107" xfId="3" applyBorder="1" applyAlignment="1">
      <alignment horizontal="center" vertical="center" wrapText="1"/>
    </xf>
    <xf numFmtId="0" fontId="1" fillId="0" borderId="48" xfId="3" applyBorder="1" applyAlignment="1">
      <alignment horizontal="center" vertical="center" wrapText="1"/>
    </xf>
    <xf numFmtId="0" fontId="1" fillId="0" borderId="57" xfId="3" applyBorder="1" applyAlignment="1">
      <alignment horizontal="left" vertical="center" wrapText="1"/>
    </xf>
    <xf numFmtId="0" fontId="1" fillId="0" borderId="67" xfId="3" applyBorder="1" applyAlignment="1">
      <alignment horizontal="left" vertical="center" wrapText="1"/>
    </xf>
    <xf numFmtId="0" fontId="1" fillId="0" borderId="42" xfId="3" applyBorder="1" applyAlignment="1">
      <alignment horizontal="left" vertical="center" wrapText="1"/>
    </xf>
    <xf numFmtId="0" fontId="1" fillId="0" borderId="138" xfId="0" applyFont="1" applyBorder="1" applyAlignment="1"/>
    <xf numFmtId="0" fontId="1" fillId="0" borderId="139" xfId="0" applyFont="1" applyBorder="1" applyAlignment="1"/>
    <xf numFmtId="0" fontId="35" fillId="0" borderId="34" xfId="3" applyFont="1" applyBorder="1" applyAlignment="1"/>
    <xf numFmtId="0" fontId="35" fillId="0" borderId="35" xfId="3" applyFont="1" applyBorder="1" applyAlignment="1"/>
    <xf numFmtId="0" fontId="35" fillId="0" borderId="36" xfId="3" applyFont="1" applyBorder="1" applyAlignment="1"/>
  </cellXfs>
  <cellStyles count="10">
    <cellStyle name="%" xfId="6" xr:uid="{E82B0351-35C2-41DE-BD4A-763545440A68}"/>
    <cellStyle name="%_E2" xfId="5" xr:uid="{DD5F9FC3-A5C0-4C5B-A945-BF4FAAD48A35}"/>
    <cellStyle name="Comma" xfId="4" builtinId="3"/>
    <cellStyle name="Comma 2" xfId="7" xr:uid="{FB98439F-144E-4C8B-BBB4-84888E9D6427}"/>
    <cellStyle name="Normal" xfId="0" builtinId="0"/>
    <cellStyle name="Normal 2" xfId="3" xr:uid="{C31BA67D-B07E-45EC-8D28-743F975EE87B}"/>
    <cellStyle name="Normal 3" xfId="8" xr:uid="{E7CCEDB6-F9AD-4C53-AC08-95F9B37F1895}"/>
    <cellStyle name="Normal 4" xfId="1" xr:uid="{00000000-0005-0000-0000-000001000000}"/>
    <cellStyle name="Percent" xfId="2" builtinId="5"/>
    <cellStyle name="Percent 2" xfId="9" xr:uid="{F70E2DBB-05BE-4B89-81B5-43563FB5F7AF}"/>
  </cellStyles>
  <dxfs count="13"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CCFF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33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32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96520</xdr:rowOff>
    </xdr:to>
    <xdr:sp macro="" textlink="">
      <xdr:nvSpPr>
        <xdr:cNvPr id="1029" name="AutoShape 5" descr="data:image/png;base64,iVBORw0KGgoAAAANSUhEUgAAARwAAABnCAYAAADSZv1WAAAAAXNSR0IArs4c6QAAIABJREFUeF7svWeQZNd1Jvg9//KlL1/VXdXVHm2AdvCEIyxJOFGkQEriaLQakjIxG7ERG/Nn/u2P3ZjYjY2NHa1EihJBihRFChQBUSQcRQNDAAS60Y226O5qb8qb9Pn82zjn3peZ3WgazYQ0FIliJKtR6Z6597vf+c53zlUSP0mgANBiJAr9Q+H/RCIfChAr4j/Fs4ASAaCHCkQqkMgnVPk8vz0Rr6Wf9HeSJEiiCCp9j5r+Vb6o850xoGrveV4cToK45+XpZ9MRp8fWeZrfkACJfEf6dT3fy8dDZ6YooIuQQEXM38F/7fnUBDoUaOkxpufVOTHxXfR5Cp0bX8erfugD+VND+aDjotfSp8pHz/v4+vV8DL9d/tC/Y3l96XSu8W3v/f73//L+FfgluAJKEiQ0zxg0CFjopwMccpSHcYRE5ZdBTRQxqSIxsaIEiNWEwUqhSSAnXTrv6CO7k0XClpwscSymNr2GQYgnPf23nEXXmrg02Xou3BVAQ7OUPiEFOz6f90DRe2Zo+p0pxvZO7s4npH9Mf/fiSu8buujKAMTXhR58zASA8sFnIa5HkgiwUxR69CK0BE06p55rQZ9G9+t9oPklmEHvH8I/6wooSZzQeEfQJTQCWPjBayliYgmKABz+IXbDS6wGaEqHEXSX5PSVcpolgjWIyat2Zkr6qqsnOK33NAV/1pT62c9eeQ16MOKfdXFSjJAHfs33is8WIJkCVg/CirO4Ahm67+gcF2FQCo3yjwzYnU+MBVB1fiQqKXQt34edf/5Nff8d/6OugBIltA4Lop8OegICmvQUYBDgJHEi2A+BDlN9lWlGHEci9FFTTiQCE8lZxKotGUnKSug3fZcfAUEUI6RHHCOKE0QxgRughJFkAvQdCYgJ0SMi4ErE8ST0W141YlbphEz/KbmOhEx5mJJp8KnwYSvQVRW6qkFTCApFcEb/1lSVnyfmpaoqYlWBQg/6DI5jZBhHz8sIkd6jafT6LkukK3M1VKTAxEEVs0IZXTEdTPi/xZWjEC29cl2uyDdMMqf3ec7/qKnz/vf+t1wBJUpoChNLEaEKAY2ecgsZm0SxiKBoArDaQKFUJCZ9rBG91wRQcDhFAKEgjBL4YQg/COAFIYNLEEfwwwRuGKHpxmi5Hlw/FM+HEQICEgYyIlCS/zDICP2G/0cAJFf7K9Z2GT5xaCZnODG3RKCRBBgVGrMCcQ6mrvPD0DSh4HB0KUBGk2AjgEdlMqcSmDDACOAhYEmBS1MBXaXPVGEQ8eP3i1AxBS36HJ2+z9ChqZoAJgXQ6XXp3eucG31HN0TtsCcZmQkG9P7P+1fg39YVUJI4TBKFgqduEEMsplc0DqVkI0IiwTqqVQEkiaGi0mii3vQZJHTDhKpp/H7f9+F6Hjw/QBCEkiWpDCApI1FospN2IUkSswhVBx0TzTgxqen/VKHzMLkQDIMYSKqOiMhCMpAOA6CXCYZArxM6kfihf5uGCtMQABUTqiKGKkPHNJwRuhV9Dr1IsBHCBAZBGQoJ4Zn0aSEcEyAmzN4iRFGIKIqQpHqVbkIzMlA1gvUYKiKYWgJbV+GYOhzbhG0aMDUNutTNGNT4knU1IL4GLIBfQ6P6tzUG3z/aX6MroCSRL5Z/5i5yQvYupwQ2qtB4VmoeFlfazF7CMMbM/AIqzRYCohK6A8PKwrAyyNg2TJ1YD4VJIYdDPC1oRSe2kNDEFixD1dRO+EJgQ/9NkzvNR12ZqekCRhq4iUPuspr0FERYIsNCBgzBGFKUUFQVhqXCNKVQG8WSrQCEl4x/coIzU6GvYVYnsZhTcxqLuQmFXAxCQkSn60OMLaIHh4sxwjBCGIXwYgVepCKMFc7YxaEHJfJgKiGypoZ8xkTesZCzTQZDQwVMw0DGNKDTtUkzb504rOe+/RoN3PdP9d/mFVCS0EvESikDqavAhibwSj3CmeklzC5VkWgG+vtLGBrMoNZq4cyFFbiRCt3OwdBNKIrG4QIHaprKq3LgBzxRVUOT4COYSUeFYV2E3qdyWKOpIVQl7AkZUh4jLrIAjk4MIv8gMjfpT6qNUIhEAZNgRxJbZYjFYRIBn6bC0DXWXwgMOUlOr+WUeswgSco6MTj6WtKSWP5WdRBDI3YYxol4RKQ3ibS6yEAliPhvkcjqQRP6FelUYQCdPj8JoSY+h2JFx0J/0UbW0uF6ARqNNr/XsWwUcw6yGQOGLoBHMJ8rr82/zWH4/lH/ulwBJUl85gJJorF+kgqqQtEhLQaYulzB2csryBQsrF4zANMwYVmAAeDyko+FaoAgpgmpwHV9RJRGp8kpQyCagBSxxMQG2PtCE5smL/EYoR8R/dE1nfUMXQ2hgUBHAsxV+Sqhn1yZoeHPleKrkMFlmh6q1GUobBMhGntmCO6iiIElYxnIOiYziCgMocQEC4TDqfYjwCzm0FNI6XwO5BdSFPhRDJ80qJDOUxxHGsilrJEAmBgOXZdY0ZjxRL4LDTEMNYauRLANHX0lB4MlC4amou0KIT0JI3htF5qaoJS3GZR0Frk5Sfi+lvPrMlt/Bc5TiZOAAhyp4dAgJmFYTCkSht0QuLjYQsTqpo5qw4XvNtBXzsC2DWi6xQyn7iqoe2ARmCaJqRss2JJ+4wekYVC4kcDzPBaFSedRVRGSCAYQQ9c0GDpZ7NLVu4exyH+K0Oin6BbMlHozOEJvEgAkwjkhKgtDoBLHsHQVxYKJrK2BSIjf8hiIWFOxdNiWBtskchSLzBh5ZghQFBVhoqDth2i4Ptp+RBDJ2hMxoTAWWTgKtUivoRCOwIhCKQpBKfQi6FJjHwg9/p21DZQLWeRzBnQ1gu8HaNddRF6AXMZEXzGHYsaErZPQLETp94XjX4FZ+Gt0Coqf+IkCvSMadwFHrNHtWMHJC8uYXW5gdnEFJ6dOYurkEcR+HYW8g+HR1TDsHHSniOLAGIr9A9B1A5mMhnzBAvGgtq/A8yMEQYwwIECSmSc2uumCrRBhkW62NDPUiZGkQksAJl5DvwVDSoVU5iws5YiJyIY7VUi/YSxAkIBKI+NiAmYzGUuItI6pIA4DeI0WEIYoOBn0FzMo5TRYlkx/k/dImrLpM4nRtYMI9ZaHWsuDG9E5EYRoiIi1pVoOsbsO+yI2pyEkQGI9SIRSSuRDjQIkUYB2q4G5uRlcPH8WC3NzmLt0me/O7bfejPs/eAeuW7cG5awNx6QQ9H24+TWaq78Sp6qEHFKRkpBmqUTQQGqD8OcYOHp+EYdPXgapKgQiK4szuHTuFFaW5tFo+qhU26i5PhTLRiabAzmTKbPU19+HgYFh5Et90HSTmQxRkHy+hGyhBJ3+xj6bhPUeAioOq9jLkqafSa+QrILCCwYrYkwia0OhCmWY6G+cTmcxVZZbMNsh0Zaeo3NKPxOwdAP5bAa5jM2Mzm3U4bfqcEwTg31FDJboObJgA4FPx9jNjtExuyGl9X3UG200XQ8RHaOidfxEqYZDmk6r3Uaz0YTruRJsCYBDuO063FYdjeoKWo0qPN/j17SaLfitNjTdwOiqYawnkMnlMFAs4rr1E9gyOYqSY0uH9vss51diJv6anISSxAQ4NOWEIMocIQkBlSRdFT4MHLmwgiNTMzCzDtZvWAXLjOHVmwhc0iAsDitmVyqYXlzBSr0Jz3ORxCFnsnTNhJPLw7RtmQpXkMsVkMvlpebjcthFUZyuayL0oJVfAQzdgGmSSGoI/wyLsBTWCGYjkkhpyET2f6koy4yUSLenLEDUOUnPHod8Gdti/YbCJd9tIgk89tFQOEXZIV0Fe3SEoc+Awpk3wPMCNNseGq0W6s022q7H5+KFMVzP5zS4pmmwbJu/g44gCIQ1gEVkJGi1CVganBa3TQW2qfM1MiwHpmXDNDOcLisWMhjoy6BZqcOtNDHSl8Pa0TLylikyae+HVb8mU/VX4zRFliotIGStlXLIVMhJE0OBDw3nln28efAcAkXDhvXrYGgxmvVFfmnOKUG3TTTDGAs1D5VaG6quIGMKTYQmm6pobJqjMIbEUJooMaXWyZsThuz0Y4cyp9EjYdajKCtNmUsXsLjkwonLmfCOF6ZjC+y6j1lQJbDQmW2J10oepyoMCKQZcWaKBOQwABjoYsSBDyUOYRqk35CYLDJSmmHw54SBEImJyYmHCBGJ5QjntCjhMAwCTBMGaTgSDMkqQP4c0rJIRLYM0pAsOBnSvFR4oYK2F6NK3qZGE04mg3I+i6DVgBl7mBjIY1U5B5Ochp0atF+Nwfjrexa9XnTOoPycSyEnwM+9YFd/7i/y2T/3Q/+7XqBEzHDS5LH0mLAWIk6KpItlP8H+dy+j0U4wNjYKTVexXFtm0DBMB5qZQTtRsNRoo1pvMJMg160GyjxpMAwxsYmliFICSvmIeiyRlSJdRSAIe3A0Il0JgwKb/ujFdJSpw7enPkn4YmRJBcdZ4rUyT8UTn42NEp2EebprGiRjoGAJAow4i0VKi0YMizxCIrOGmEQmyuSJ8Ip1aDboJOzC5rIMaYokYZn8hpxV5wMh1iZS4YHvM7hpSgzT1JCxTeTyFkxLR8uPsVhto9Joox2RbydhJkbgB6+F4byBDaNljBQcmMTe+DqkJ9vrUbpqTPSOO2lZuvJPAsQ7RbM9vs8rCzPka37KkEs/85fVitgp6hXrlpzX8qiln6vXFZJOTxml97znv2vOXePmSEepNHFSZJFGG+kVF8fQe3TSm86eNaFdpj/i+stOCVdYSH5Bo2jnhHvqA6866vfe418M3JQwoVxL93/sM5EfntYBtRPg3fNzWKl4KBXKMLNZLDWbcIOYdQZVt+FBxVKjiaWVKgOOSVoMpY2RcKhEXhe2yhHg0GymHwo9CJQodc3+G9JxNASJxz0wNIP0HMEOeLDISnThGI4l0xEZLWZSjAKi3ovxS96ItL2GCMrEEwxw8ifNiqUshNPhPSXzLEhHwjrA9zGJWY9i97CsJeOKedKUpFYkWll0yzwIbOh5Q1WQ01XkbRKkNQ7TCN18MlY2fSzV2miRsK5SpktYmv1mHVbiYd1IAdet6kd/xoIujY1XjLKr6rYkIeRfncBSYr0YvqkxQSw5alpOIl+TDuXuWEvHSXeu9nqfOiH5L6k3qAOIV8wNOYllwiF13KfnLAyg8r+uJhbdaP0XR6Be8tIBEQoF0g/n3KUcu1J3lIkOMXBlXxi6VzzrhZtNusfEPOD7fcWK1xnp4Pf9PAaVWuqFtSWFud4FpTM9OoPspwHOld+lxBEFAh0sF6GKREX+pQAegFOXF3B5bgW6mUGxvx8NT2RoMrYDO2PDS1TMrTSxmAIOARGlvQlIKDRKQYZKB/gkxGRinYXVItJLdE61Z0wgZl+LcClTFos+g+WYtC8D0YzU2C9HRFrdziKzXLFSsOGSiJ5eP2JFFz8MZrJkIr0XFNZ1smB8vBqzFEFtqKaLAIeKTCk80ztiMK9OxKho0lJ4SOwkiuAYOkqOgbxtwNQVfr9Hug5pUIaJABqq7RiVZohay0W92UToeyhkM3DUGGU7wdrhHMb7csiRoE4HQwdLoZXMxnVHfffm9wJr7/MJD9TUUUTPCF92d3CJCSBWsp4Skt5Fll9y1XCUoWNPddgvPhn/xV4p71nXLXoVJHaRo+fKXY3l8r9FS5Xu1ZHWy15Quvo80o+XDvquLZRhXlYxig9ILSpiQRAOfVoIxEf0XGta/DqAI/o58XzoGdcdY136BE/ubreG1Gt3JXNKJwT9lk76ayxkXcDpHRDXOvGrACch3p5O3ZQq9CA5TRyq7r64WMWFhWUkmo7ywBC8IILn+ijYDjKWiUYATFc8LFYbbGpjpsQCKUUUKms4BC4ilSsQLS2ApKtEryd1xzIUjPQ50GMVraYH13V5kguWJD6jW1PUOfJO9XbvKaerL5+gbPfQe/p8FFJ4FoAjetKkQNO5lJxiJ8ZBfqGw0x+MsmNJRIyKPDbkv9EBRUeskW2RMuwUPrXh6MBo2cFQ0QKVbnkuFa968Mh4SKK4Y8ENNSws+ZhdrKFSqSDwWshZBlYN9mEwn8FgTsNwyUDBVqET2FIcRwySAad3KIqjFiFiCqryrDuTomd2dF/UYYTphJDBZxdwerGld0GTup9YgUUIKf/xLwYhv/gHi/U/QUjOss5xiYmePlJA/WkneAVUI5YxgOgvIBz6KXPmWPpqqJKLpLiuNDfE/KDssPDBC6hJ75y4dt1+SWxdTa93L6vif8vvS7vgpbh0LRJz1TAQvKj3eHu/JC0nFgMkPZrev4rT/G8BHLkqpU2eOicnJyrdprlaEzMrVUSGhv6BfvheDDVMkCUxVVHRihTMNkJcXq5jpVnnivBY16BaJtcaEVuJKGvFIZWomKYMkEgiyRWIwpE4RoH8MZIhxVxvFDIjEAs6VW+TPpJivmwV0UMTpc/vGhcjLW1IR4RQncXqIMFMtvrh5mCpPMJFosRYyBiQ8DxnUZ3rpOitosY+jnVEtPJQ7imK4HstxH4TA0UHG1cX0J834fsxKnUPjbbHxkHNtBBBx9JKG8srNQR+C7aRsA9obKCA/qwDM1GR0RRkbaqrEqEl60SsrEsBvXsVZVAsggPx6B1pEp2uJUwSXZfUvvOuzkBOWzteY6pLVtxduX+Zyi3SSR5I0GHO0OmyKICnh8PxnOsF5JQdpaO04zOXPSClPJDqJrzUpJM4BTTyrfeMOQYc+l96HNeCT+I69DnCFiJXzM4U7wKQhILe2LZnqZEKwhVfIGoI0kcvNbsa1SQA9PCra+HYe47+Wh8jX6QkpPxyzN6lZVe00pRayGKjibMLc2gpMSZWr2GgodU9brahUrihWVhyQ1yYX8H8SgWhqiKTLyBXynO9UdsN0WpSKphSyKIgkVLeNMCF3Crbc1Jlte8jI9PWxIho8tPMpsVciLhdZpOCRRqXiludTqqeIIFZW/pGicqpisglF7JkgWumhDdItMVIxaCIywiELCXbkMqKbcpKcYsNroMlIDWQUFuORgOaEmJyTR/WjBUYKOrNEK2Wz207fDpXRYfnUfV9C6oaYbg/i9F+B0VHR97UYZET2w2hJBGLzLouXOGUhqchwwWwVzGcNFQSBL2Xa8jJJvp2dAdxZ5Kl4mU6hLrDUsTaVw0t+TFpaxO+xJ1eSr84B/mXfaVgOMTTU2YiRFkBBt0uSMIQesWCzacvlSwOQbscRAQ53TBUwBQ9T4DTq4ISgxGg1AUJdpHKOSeeS6+dmOIpQxWAw2GQ7PJ49bUSaZ2rGrR1GGa3C8TVt07OEgEl73kybdLU+209VPjn3bCfCThJxMkUsXYLvKcaqc5BSEhrhiF+MnUUBy+ewqqJcWxetRaD2RK0kNZnQgIDdT/B4kqDCw4Nw4JNleMZ0nJEuTVZ/ZcrIZYqHtpBwEYXMvxFxBbk5OcsUBgxk+EiRb5RCU8s1lepdECm0TvKAgEGK8sp9RNytxj8cpDIik++Fr20l14k30dqViRFn04JQyf1HkHTxfUhoBWrDvX8CdCmzBMA29KRy9osmHsNF41qlbWn4dESRVpoeQEsXUMpY8Ok6xEGbFTk6vsg5vKFwRIVbtIKQFXkAfxWi0stck4Wjm2xwExSOxKdyTgRenZWy1smALe7aqUrUndl6g6cDhnuVNZfA1F6B1fv0+nslAKzmEIpd0g1h583Mv+1nk9ZypUZnXSS8zhKhdnORZHHJhGb7hMtjGIK0/SXQNCboGBwkgAgIIZHYBoSdQGn+yVClBXCbPoOEQ4TcEnNUrbDE8SgC07iONLvS+9ALxAKAfoa01l2Q5BfesV97cThPU/+NLi6Equ6YyxleO8FKWY4osWoOHHKSFMGpHMF5AUnEvjCoTfxlR98G/XYxfYtW7F9wyaMF4cwUuhHyS7CgInAjxEFEfc+jkNFlDOEgJXRkMlqaPkJZpYSLKw0QFVciaYi1lT+N/eP4fRyd/Vl0sl4RaBDDIdWBCmmdXoFp4ebKuoyRJIZK/4vvlnyxDpMp2eiyowSr360orC7WaS/iE2Qk5l1IE6RiwedZ7vdYrdz30AeIyNZZB0d7XaIpYUaGpW6rDZX0HYDFIoO1q/uw1A+w6udGwRIKIzhE6OPD+C2lrC4fAHV6gJC14ffCjHctwqb127GYKmfC0ZFmzCNhzLdr47Q/VMi6l4anAqeHC7KDIQYoulkEtdOsMhUNL7WwJR+rVRElyyZWZcwHvxrockv9j1yzvAI6CVrbLdIte9Og6NuJoFxRbJeXvhkc4UelsjXkodM14Qq7olgzunnd6UKOgppUuOjF95+LseRigkDCVOBFEDoIOXrrsDCNBvVo8UwwyFL6XvBJl3Ar+y4ILFNdjdIq6Y7cMGyA1UPpOdEY67LzNIb8IsBDlVo0u4LKcOhG9ALljSi6esUFa+eP4IvvfwPeHPqEIp9RfaQFDNZrB9djVvX7sDO0Y0oZwowVEoz0TU1uJiz7UWCZKoq/FBBpRWj2aYMjcJdAKnTHxnouOKaVnuF/i40FNZ8dOHf4ZAqzWqxGbCLjIJvpD/iQktG3Plr2v2P8+Y9cSmTZdnPhpuDSarNv+UKRGDIHQ4JmOjf1D8nSWAZGvJZC7kctaoQhkDXD7jxWBRQjVQEPU6QNy2sHihiuD/D50PhlB+58KM2Gm4DC7V5TC+exrnLxzC7cAZR5MHSssiZg9iz+U7cvOVWDBUHZJW4YFidHj9ymF6LGQuxXNB9On6m8lK3ogHOiVeFc3BSMxDnzxaAtOmq/ODOgOLm8IJ2i8JYgXq8DEiT5i8bx+HBIefvFYDTGQk0cWkW9DhK5ZhNOwRQeoXc52QOpQWHOluKMSKbyklPl7jmvaG/uHJivsoDITd/WguoGMxaqZuCaDkiWqMokdDUOjuBKN2ax3QE81DujYnkE9yZ4T2hGtNzHgfCcS/artCX8lHJBArNU9E5gnYroR+ai3K3FbrPhBG88HeZ2ZWg83MYTq+Gw93trmBnVNpNjuMEh6sX8NS+7+H5vS/DLufgRm0srCwgo+nYsXoTdoxuxFCmhKFiPwbyA1g9sBoFqwQl0bi1aNMLUWsHaLgh/3dA1dnc0oGcvhRixGj5AYd3ikm1VxFrHRROkWuXUuvkkeHeNapQ94VDWTqIefD3CJZXCGkyxk5RqDN7utqVYDJyMlOjMEJxchDTcYQBO585axcGnD0jwBnoy3OfmnazjWq1zsdrkOjtWLBNFTlTxUDOxnDWQtmkaR1iujqPc3PnMLc8jZXaIhar4rHSmEPVnUeYtJGxKLQqYbg4iQ9sfwC3br4FQ7kydEX0zxFFrNzRrJttuToc4MuRhhO0YkpRWFbbp7v90MCjfIkwi0k6mOoc8k8iRJXkv7P1TsqGumyQbgobNH8x3vGv9ioK1bucredrGY3TUEiW9KTjicFHR8LZRxlMyWwnAzjPUFGfRxYIKekJM6YEX57QEnx48eoIRbRg0T0hT6mBiOrwepiLRu1ueRUMoWiphE+AI8YgfQMHH+kqk/7u0dV6QYDnCS/iYtGhjyY7R7pQpFJ3yku5djCJYXLChFtiig4LbG+hi5CKFd1r2Q2gfgbgRCRIdIIUMVC0NFDksyLAIS9OjLP+Ip49/Ar+/uXnoZVtIKvj/OwFuO0mJgbHMOyU4S41ELsBskYG2yY3Y6J/DfJWDv3lQYwMroKqO/C8CG47hOtGiCPypGgwNQO2TX6WCE1PgWpaSNQYK5U6lpfrXDJgWTanx6lcgGurOhc5BZwubxHNs1JIkhclnQWSGvaynE7Li44iLVY6Sn0HUcgMLCLZkWrEAp8RP2tnMFAu8uSvV+oIvIDba9i2iYypImMr6C9aGC05yOohGo0lvHvuKF4/8hMcu3ACfuyytuNS0abvoxU0ESUuso6NYrYES8lirLQWd+26Hzdt2o0BJw9DoQpz4abm7Bh9AGs6cqhcPQD5tRQQyyFFA4iAkyk3sZK0dfyVECGC1pQdpasoDXx6lyDrQvug1Z3Tdl2nslg0f4l+uuyOQ70rNlqTqzSX8wSIZfpc5C4pQ6SLh2jjxpNdrMcCfJll02rJrKEHaDtjTSBAKgPzbOOaPjK7CmMfLbDLfozLi01UGz5sU8Ng0caqvgxM/tw0fS32L+tlLleny9PnevCns1BwHSJ531TylFGQpGKpHmBuuY4mrf5kso0CDBYtjA0WYJCNRRpqxX2Xe7jRLw7tu+nynsCvm9KXYnfv6qP4SSBJmaSHqbOgc1ZEwUOEKrCctPHK6b34mxefxorSgjmQwcWFGSxXlrF6eARrhlajvlzDqTNnsFKrYmhgBLaWgRapKGeKuH79Nty16w5cN7IJeqwh8hLWKFyPBFkD+YLDk7TSiNH0ItiOxkLzzEwFs/MrfMpmxuEqc6rPkm69LqywDURmvOhmdtyjnQBLgHM6leSsENUB6QooVo4oiRBxwaWPkCrRtQRBHMDQFORsG/15B/2FLNdr1SttJGHM3ficjMlhlqFSiVqCRG1jqXIJF2ZO4szMCZy4cAJnZ8/BjX2U+vtgWhaqtSaajRaarSpUxcf4yBDWjK6B0tbRZ4/h7l0PYNfG3Shnshz6IJab+kjAEVmQHsDpMJ1U8RYTgldGTUNMBbJyoDf9BAsVH/NLbVRrLlw3AKcRuLUpkMtaGOjLYaicQSkjzovfza01KHMnsjAKlX5Iei4aUf8S4Q3fWwJdCdSJAI/0IEXShGQDaYaUxy5mBE060dZEAIfAKxKRBbMWACz+TU36Re1euhpyBpbjkxSeBNhzSMytUxKcnavhxTeO4a2jF1BpBsjYOsYH83jg5o344J4NsLnej74nZbMp4ElBqie9libtRWAsftLgSvSGogVHh0ffO9PEM8+/hkMnLsFTTO53ldFC3HPjWjz2wM0oOybnV4iJMbfi0xJQS4CTdpjohHdXXFE6b3m8PWOhAzjC7ysYQZr9IXJDfwrpdrDjOMKBS4fxlef/DlOVSzAGs6h18YjNAAAgAElEQVSETVyem0Y5m8emNRtgmDamLp7D1KXzIkGYxNBZTjbQbxRww6rNuH3zjdgwPImR/CByVhGxr8Cnvpus08SI6I1E8y0DjmNz6HVhpoJz0/PUp5S/QzMoYyOo7hXUkRW8HiEtZTNpeNV5vexx3ENLxS4LRD2pd4/fYTIUrpb6chwqZW0d/Y6FUsaEqWhwKd3foCpzHdmsCZv6JLPIGGCuNosDJ/fhjUOv4uLKObSUJjx4zJgIYK1MFmGoYG5+mS0DuhailFOxZqQfa4ZGobZ0jGbX4o6dH8Z1E9vhUPP1zrnRStW9X71WgM4F6cT3ss6LtDFFQStKMLPSxrHTszh6ahrnLtcwX/FRb8UIaP1hFyQNp4CbjxFLmxjOY/PkILZvWoV1VK1uKjAUureiGzZXrPLKp4um0L9EFEfgL4GJVCpTNiZBhACYjZpKAqos7Ji4SctPFM7aGqSl0IRlczn1sSbQIZgiBkIsr1ONJ0OOdDYJsEtnF2esYnF9CAJnV1r49svH8PXn9+LckotIt3j8Fs0YN28cxmd/6y7s2TiMrJHmx6SMkHqLeVILAT9dNtP1pgupYkSINrkKl80stwI8+8N38eTfvYhLFR9KbhBNMvKqDXzywW34k089iL4sHQtdgwSmFMHiKISqk51FtOnrkap74FA+cy3Aibl4UwZ+wm7bsUmngBMopDwIPDs9fxpP/egZvHnuEOyxElwzxtR5EjljTIxPor9/CCu1FRw7eQKVepXpO7Vd4CZfXgIrNjDglDGaH8Kg048d67dj94adWFUegxYrcBsNPjkKmxSelDZMy0C16WPqwiKmF+tIVBOaaQO8u4O4eTz1uJZSkkn+nYpRNEhSBtAJBjqLMJ8xbw0jYmYaVSRQU5qbGAt1A+zLmchRsaWuQKduf14M3yMzWQLL0mGZlLOnbF+Axeo8jp07gr3H3uTfrbCGWA/QilrQDZVDQ5/0Ko8EdbIKtFgsL5eyGBkkV7GBsmGjrBdx49rbcPvWBzFcmuCqM16xZLCcBoxCe0kj6J7lWQ6IVKuhiv5zC3W8efgCXn/nDE6eX8FKM4Eba6Az8ShsZHJDVgaDdTIm8bEPEy5KdoLJkRx2bl6FW25Yi21rB9FP3Ql5Ysosl9xh45eJ4jArkV5ekY0j0ZfMpCLbQn262xGwWAtxaaGFxUobfhByk7OxwSwmRwrIWaJrlNAyRForVijIpoXcQIuc9ostXJxtoNEigVVFIWtizXgRg2VqnZvAQCha3REbhMbfuf/MHD73jR/j+wcuwbP7YOTLiAIPWruKEcvH7354B37/kT0YydsiiuYRIJiYELil8VDGVmkolXL6bvkCGVdFEj1SFMzUXfzNtw/g757/CRZ9E7EzgHrLxbDdwu/dvwl/9Ik7ubskXSMTYBsHh+ZRyPMyLTDtBRyWY+TxCW/QNRgO79qQAo5Q/Dqqdap9CcuUGFAz1Wk8++b38Nw7LyE30Q/PiHBk6jiqjQbGVk9g9eoJNJsNnDhxAvVGDQrtW0UrCKMrAaaKJFKQN/LQQxV9ZgE71mzFnk03YN3wOCbKo+jPZlmINjST+9BwditOsNIKcG6mhstzNbSpmwT3qKHnqapcmAIp2mZVIs0GdJwLEnR6JmYaRFJWmrIPRB2J4eQdE30FC4W8zi0qWEj3Q9ix2M6FMjNk9CNabdg67/wQxT4uLl/EoTOHcPjMEZybO4vF5jzaYROZLPUoVuB7Lgve1BOamnctVmqoNF1EqsmhYrGYwchAHv22Ca0dYNDqx30778ctm+5GMTMoDWTi/jD55JQurZ49IaPMSQnVRbg5aJDVvAj7Ty3g2VeP4pX9pzFTCxDrOUDLCeN/3EIUt4QwyMBmQ1Ey0FWLE/CcRwkaSFrzGMzGeOSD2/DxD+3B+rE+bjtCEb2I6kWjMrEEvHf4i6VWzJwUCFLan5Zj/DTw7A3SfsonX0nu5JelWgO3tqVOAHzNCHDoxhrwYh2nZ2p48bVjePXt0ww8ZOcYKFi4//at+NiDOzBSpIUm4n7XQkQRLCdUNFTcGPuOX8azP9iP42cX0WrTfdGxYc0gPvbwHtyxaxQ29VbiijnqmU0T0UQ7SvD2mTn86d++hu+/MwPfGYJVGEDou0jqcxg2Wvj9R3fjDx7bg5EcAU4q2tP1owktp3gXidIYqiMRdK+ZuOA0bqhQ+HLDx9efO4q/efYtzLQ06MUh+L6LsrKMf3//RvzxE3eibJuiO6ZUjrh4mtkUfXWPaCwXeS5V6sy39wZafJ+TWGg4XedpV2vuJnmEe4O+bMVdwSsnfoJvvvEc4oIOX/Nx5vxpbksxPDKGVeMTaHttnDh1CksrS0yvufm4rEfiHTTDhMMDAzoiL4IeKSg6OYz2DeO61Rtw04bt2DS8DkO5IeSdPEydmgpTqhxYqHs4NjWLueUmAkWHZtnQTMJgsZMBhTlpGwxmLITK0iVKu2eKsSJUf95hMyG6rCBDzb8oha0oGCxnMNhHzbmIPQnhOPRCxJ7PvXEMk+qlErSiNurtGmaWL+Ps9GkcPPkOTl2eQjtuw3BImPPRbDdgWQZKhTx/F3l3aKDTCrpSbaAVBMgWixyuBYGHvnwOY6UBGJ6GEWcE9954P3av24OcVZCTWKwaIvtBzCwFHDEAOslQJj3Ct9GKE+w7PY+vv3AI//STc1j0NRj5rGh25ofMYIqZBEMlE+W8xcWyDTfBQjXEUpUyhSRwKtCDJopqAzdvHcTHHtqBW69fg1LOFl06aDLLFiIp6RetPwjOhB+FYShl2+T9UhTQnmc0gAkEaEKKzIwmHiltTfsZ0RnKhmpi5wzRzqS7c0XXRCfGroA0wQClWExSKV0zFu5oXGqotEL88MAZfOHpN/D22QpCrcj3aCir4GP3bcenf+NmTBSpjzRpVyKLmWaL3FjB4csNfOW7+/Hsy/vQpESXZpHLFdsmh/Hpj9+GR26bgEOaXkw9FdjtBiQGQlXBpUoL33ppCn/z3CGcXggQqxkosY+y6eKO7UP4zG/dgT0bBpA35C4inXa7dC1lllJSXt6Sm86XN8YVLW85uyYjALq2dNpkO7nUDPG150/iye/uxWxbQ6ZYQuStoJws4VMPbMMfPXE3L3x8yQlw6DdvFCncz7wTLedVaFCLhATvR8eufcF7eNFhv05XxFHiJGTA6dbbpOGVEMcEKsm+K0jQCOt48/xB/PX3v4mWHUCzgYXFOSwvV5DNFjC6agwEYeenL+LS3AyvsKS56AZxD9I7SYyNYNDOk9QnJqBWD5Eo8KS1NATGnAGsH1iDtcNrMDE2ifWr1mHt6ATymQLml5u4cHkZHmW3dB2JZkK3LG5l0Wi4cFsBp/+oDIAcv3yR6SRUopMknApBlHfBJESWF9ExTJiUCg8DZG0VeUcXXfi4aFQWZnMv4wA1t46LS5fw7tljOHbqGKaXL6MRUA3ZMlrEaHI2crkMA0i1VkE+l2WnMNeEhcLrQXVl1DWQ9vzKFXMszFMHxYFCH0ZKwzADG5P963HvTfdiy+rrkFGpP7SAFOkvlrG7KEhMixh4ynXMeILDnVmo4O9eOoynvn8SZ5YUaHkyEMaI/SoGsip2rBvGzVtX47o1JfTnaKsfoBbEOL/o4cjUIg4cOY/z56ZRMBLcf9NafPTe7bhh/TCcDNXRiQlIgKTSgCFQZ2Dv2vPFAijsgKSDpBEgUXs6fyG3RtBZiKaVW/BUoSVJnsSnLtkde6ZEGQaFvp0lkqqbU17F7xNFm+Ka6Fx/J5zAlJ8Rtgc6ysWmh++8dRJ//vReHF+IgUw/97YedSJ8/J7N+PQjuzFRIC2HGI4UgOVEpqLl16Yq+Ny3DuDVw1MUh4siY8/FDROD+OzjN+GxW1YzwyGxXxjuhHmTvrudxDiz0MKP3p7GvqMXsbBUhWNo2Lq2H/fdtgnb1/XDIV0wzQxypkk081fJ78ZKgeSTEnCYx9B4T7+np30LfTM1+59u+Pjy88fx5HMHMOcZyGSzQHMJ/WoVv/PA9fjDT9yFvgy1ABZfQUXHFDZTFosiCkrj87fGEVQ6Hp4joktDB3DYutKtNRNYItPiKUUVjbCkw1YCTqrl0A32EhfvzB7Dn/3Dl7GMGpyCxVRsbn4BYZhgYGgIum1hfnkZF2em2UFsZTJcqhAGdMPQAQKXChgJfEwTGcdhdb/VaCJuBzATA1ndhh5pGC0O464b78B9t9yLQqaPs1s6deIzdLHHU6xCszS4YYiFpQaWanU+BduwYSq0pQptrSvibrHqShCSvymcsiwRFsRBwPEqpbVpb6icbcHWNTSDFi7MX8KZS2dx9hLpH1M4dXEKy40lOKUsrJyJuttA22/Cdkxkc1k2CLqtJntqeH/ymOi8YIrUfpUycDQ5FZ3CzRB5J4PVg6MoWiXoroXrJ3finl0fxHjfKtaNBHtJa2vETEsrfHpyb9IQKZiFm6h47ehFPPndt/DyoWm01SI0Kw+/2cBYScVHbl+HD928DpvHSihlSfAW6WBai+s+MFd1ceTUDE6evISSreGunWuxfe0Qe4zElj+CLaqx7D1NAKIJrYB7HPU4oXuT7GnI1zXhCaCkxY1bX8sdOFKfFd/Qzh728t1XylVXrKTiFew+FQSeKvqJ0XQ2thZgTAiw2PLwnb2n8fl/2I+p+QCqXQQCjwHniXu34tOP7cGYQw78niBQZkCpnOf1qTr+9FsH8eqRM1AcG5qWQHUb2LmmH3/y0Vvw8J5V3AcpLRMWxyMzXrRDLRJUGyFWak24rgdDVdGXz6C/nCOZUgamYswyv6VzYIImhNsUcMVzEnKlFpsK4MxUZEhEgDPTdPGl5w/hS88fwLxLlpQi0KxhSG/jk/dvw2d/+zZOjMgISuh0rD+JvaSEVVSWHXUKoGk8CnYjdnFKj7gnsPtZgNNJ7KRHzY7kECeWz+C/PvNXOLV0DtlSBrqpYn5xCZV6C4VyGdlCHgtLS5ien+VMkmVZPNmop6+lkQhLtDFGu+nCowusG8jlaCM9A40mtbegOJfSBgn8ehtJO8LqvjHcufsO3L3nTmyZ3IhyocwZA8oS0d5ZumlAMVU0fR8LlTqqtN2LQu09HWgqbbtC3ge6YCHiwGNTEzUIy5i6TGcLCzrtS8U7OlDdlJKg4dcxPXMJ+48dwGtvv4HFyhKCJMByfQWVZgV2zsLgyAAHuiuNCodQJHIXCgU2K/qux/4c2lOcdiSldHLLbSAIfd6lVCHQDKgJe4C+YgGjfUNwFAd5pQ93XH837tx+J/pzpZ4cogAcse+XjITl/WQmKhY8OdloMgHffn0KX3luL45eXgEc8g0ZUJou7toxgs88ej1u2zyMHNdv+RyCkuWAPKZsRlNUNN0AzabL2bdS1kSGt0cW1c6po1V8t3A/CxAR/aMJPGpejIWqh+V6i+vOyNNEP6RnURP7csFBX95E1hAhrhzTUFXKAInGZWK4U38WcbIUXlfbIRartM10iw2XxBrZ/W2aKDoOSgUHpZzBx0tvIy7PXQdkkoCZoaJgoeXj2bfP4S+fOYATMy2oVo53Qx1ygMfv2oZPPrQbAzaBp3BW04JlaAkcU3Clt07X8Wd/fxAvHzyNJOOIbgJeA9dPDuDfP3wz7t4+yqxH6G4iNMoYCQq2ziJyKhfUXeqRJDqMUzRPoG5Qc21OwfcAi5QXql6C2Rp12Wxxy1oloiskkueOZWCglEOJNgPgjKIIe+nOUEJxtu3jr184iC8+tw+zbVrwy0CzjgGthSfu24o//NQH0GcZaIYJ5isulit1+J5HzbmF698kFp/DaH8GfbYw4Upthuc2b5ndMaX+DMDhYSMZDrPYXmVPFcr8hdosnvynv8Vrx96CldORKWawUKlibrkCp5BH38AAZudmMT03B8O0mLl4ns/eacd2kLUsPvnQpzCCBjmYBdAEbbWb4sATYgMaZ64il5AlRtkpYsPYOmxduwnbN23HxomN6C/0MYNhiknhj6Gg5YeYrzRYKCVBNqEWGqrCe1Dx/hTkBk4SZE0dxYyFLN1YgnDZGIyybLPzs7g4fxHHzx/HweMHcfLsSSxXl5Er5JEr5uGHPus3iZqgb6APlmOh0aqj1W5xeEj+GgJQOnfu3UzdDWVrjSim1hQBdMvkAe96bQ5xCHBKmQLMyMJIdhUeuvlhfGDbB1DK5jsdDtl8xrNOAE4aHnfARmp17BMBcKka4alXpvC333sHpxbq0JwcFzTrLRcfvmUCf/z4Ddizrh8mTQhyy6ZOaxZFu02eBI6l3hORGqZjT5so0CRiAi1X1qYf4eJ8FScvLeDEpSrOzLYxV/VRp6p6rsuhrE3MmZBVA3msGytg41gZ68f6MVLKkqeUdR2yF4hVXNj/K+0QF+eqmLo4h5OXl3BhrsqtbWkXDcqUKlGMjGZgIJfD+HAJk6tKmBwtYO1YGUNlRzKEdO81ARgL7RDP7b+Av3x6P969TNcoz723M2rILV23rx0GZYiVhECN9ouPMNxn4fbtY7huzQj2TS3j83+/Hz8+fA6hnYNG9zXyMViwsH1yEGuH8iwfEOBFvoesFmDrmjLu2rUOg1kL89UW9r57Ce+er6LWIv4RYCCn4ubtE9i5dVy4fTn0p00XE87UHjozi1MzVZyYqWG+2ubyIapdpDQ+tZ91zAQjfTbWrMpj40QfNo+PYLy/gCzJYwBmmz6++vxRfOG5vZh1TWTyJUTNKsp6E//uw3vwqY/uwcJ8HQenZnB4ahaXFqq8vxyoXEchILRRymVw3WQZN2wYwsbxIYwOiOtrEpPnjSylW79Xw+kynFTYuYYtnXN/VD8Tg1ppznsrePbt7+HpH3wHiZkg15fDXKWCi7OzsBwH4+PjWKosY25mHqquc3bKbbUREcPRLWRtG7FPLCaBTk3OOduYWsMVZgO+77PPhMIiMlPFtKRRP51YhZWYWD04hkfu/wjuufkODObKnPJjas8TB2h6PqptH/Uw5n2gaDV1bB0Zg+JhUSNiqWKHBspS8YRSgJnlObz8k1fwyls/xrnpc6i0Vpi5BLGPDHXfo/40GYu/p9FqYKWyzPFv32Afs7i22xblEaQHySCINCuiyuSSJnOjldERIeBMV9OlXSvayGYtjAwOwVYthLUQE+V1ePyej+L2bbehYOc7WxCLKnZR49UBGxZFZIJSKnIMCKqC6WaMb712Gl99nlbvJtRsCQZ5KOoruH61jX/3oW146MZ1GCGm2mFKaaN6eWHYqZwGbyKXRP2/RGdD4fim+J4wmwDo0nITLx84x9mwqZkaFloxar6CdkTpdxEGsGaDAAbtOKqL1Z6AZuuaIdx5wxrs2TCCkbIJUxObCbYCBWdmG3h1/1m8eegczi1WsOQGqAUJ2gkNb6HRsGckSWArgGOoyGd0jJQN7No4gPtv2Yjt60ZRMKjoVbh36XgXWqFgOE+/jXenm9DI5e04rE/Q4qTTp1NoQzobdTlwW1g/lsXvPbILv3HHduyfWsRffXMvfnz4PDwrB5V2JOEkRgwL9H4qjRZenahdR1lv4YE96/CZj9+N1WUHP9x/Hl945nW8O91CSLpM1MREH/B7D+/Bbz1wMyc06Lxqboi3jk7j+ZeP4dC5WVSCmK9BK9IRxjaiiA6SdkpJYGoRbC2EowcYLhjYPjGIe3euxx03TGKw7GC24eOvnz2CLzy7D3O+DbtQRuA20O/E+M3792DjeA6v/eQIjk5NY7ERoRVTk3+NxwhHILSoqhGKZojVZQM3bZ/Eo/ftxubVRRTZSiFLR7nm6hoMR6xfPWpy+hoZErItmlZNFahFTew9/w6++NSX0YzbyJSzqDTruDQzzZ8xMTHJeyzNz80LmVNR4bZctFttHuwFuiF042STcPpN/00TlHc6MAwhJLPgbPJ+VfTDHfZokwefCiJVbNu4Bbfvvg3Xb9yGsaFR5OwMdMVgAZPWd2qBWnE9XqkdW2weZ3Ez95SeEr0MUafN55YWMLMwi7ePHMDeQ/tw/vI5Lq40TNLlIzYwGibtNKqxt4jS/bSH1EplhWusiOXQ81SiQMeeKvYURjaatHVOgGKhgHI5D91S4Ieu2Gam7XJjr3zewcSqVbCo4r7qY9PYVvzm/R/H7g27uUxE7HkuUqGiol1kCUiTEp6HHsCRegcZ2qqRgu8dvIAvffcA3jxeQaCXYdkWEr8KBzVsH8/jzp2TuPG6Cawd6+PQhnf2lDIvZ54koLFmI1PygQybKAtC94n0Ddpr6/iFBXznjRN4Ye85nF+M4KkOi/siLBBhNZ0vKQC8FQ/1HKHkAS0YxIATDzeMO/jEAzvw4M0bMJC3sdjwse/kLJ5/7SR+cugyZqshAt1ARJk9jXYyFXu6k2metC4S/8mWT8EJ7SGmxS76zQZ2rSvhkTtvwJ271mOsZDPLpZGw0PTx3N4z+Ktn3saxmSaUbBlaJiv2GGMW7iGKAyQqheM+DL+NG9b34Y8/eiMeu30z3plaxhe/tQ8vHzyDlpmFRl4axeAC38htIPTExgL0EzWXMWK6+Nhd1+M/fupDyJoKnvrBCfw/33oDF1sGfy+CCjb2hfjMw7vwux+6GVlNw0rLx0v7L+Kp772Lt45Mw6M93BwdseLxNkWISax2uNULjVsan+T3ImCN6hXk4zo+uH0Mn/7ND+C2XRsw3wjw1WcP4QvfeRszng27NIAkDjj8Wj/ej9Cr4+L586g3PQSqxQ/KOBHzoywteY+I8SlBE0q7igFHwUMf2Ib/+VMfxLitw+bQMzWN9QIO+Z3l8t7rbeA/pZI/OSxpgHFIRcKxjwvVy/jTr/45zi9dhl12ECLiMKrZbGFsbBUDxfzsHKKIwgnaVqaJVqsNUzPRXy5DIxGPBGNKm9Mg9Ek70bmSmsKRNN0pOgTSli4UFtHe36IITdTD0H5OGQyWBzExNo51E+uwY+sNGOkb4XCG2j/Qvt/0Xls3eIDTdKUBTxmrxeVFHHr3KPYfOYgzl85jqbqCWrsGL/CZyuu6Apv2reK+Nz73ICYwYbsS9fFJKNPUQhgFMC0TJu1BRS5jWsE5vDN4NVhcXuLrki8UMNBfgmnRvuFNrNTr3KqVKF4um8HqsTHkDAdWbOOWLbfhkTsexeTwWpi0OymHOl2RRoRVNFdTZ7UIQzsdU4gVquz6wOFLS/jq9w7jH189h7m6CatQhGaGSII69NhDKWNg1UARa8b6sHasH2vHBrB+NI/VfTpKZHYknw2PhbRDopRjKcvEtJn26grxztQ0nvreAfzTOxewGNqAVYaimIh9D2rkwjFjFHJkpiRxx0er5aHZpk0FTYSKJZrGu8vYPmbiDx67CR++bQu7Wl85Oo2nXjiIN4/MwlVyUCyH6+zCsIUoacMyE07n015d1Eup1QrRaCVohiYC3eF7oYZ1WP4Krhst4DfvvR6P3L4Ra/pzfErLTQ/f23cGf/n0XhydbiKhIlnb4RCTmIXFAqiPKKQSljZGiw7uv2kzPvHBbdgwlMPeUyv4wtP78dLhs3DtPFSnwPqiQVtJo42M6iKOPG456yDArjX9+Ph9u/DAbdvQaPv42g9P4k+/sx+XPRu6nYHqLmMLAc6Hd+CTD+zm2/r6sWk8+Y8H8NKhOUQW2ShoYW3BimsYH3CwYXwUA+U+eLGC6ZUaTl9cwKX5BvuJaFfXzatyePwD6/D4nZuwbmwQCw0fX3v2CP7quwcw69lwSv1CYJe1W5FXR9RcZNNrqa8My8lwB4RGtQY/UhGqGSS6xXpn7LXh1ZexqmTgf/39B/H4TZMYMGmRuYLciPGaEP8XAbpgESmt7gUcqQsQ4IiOrDH7cT73jb/AG8f2wSplYOdszM3NYX5hHqtXrcYA6TgzM7zjZOAHaDXbHFbQtiflYol1FxJTbcMUK4EfwDIM2JbFJQ2UvKOJljFM7v5nUoqNdrz0SNMXu1w2XJc3lKNxaugWirkitmzago2TGzEyNIxCocjZL8ugYk+FDVXNRh2V2gpWVlZw+txZHDl+rJNNI5XTdjLsm0k9HqT70ISiPaRo5wUqtOSUrMw6+RF5bVpotJrQeTM74RkiJyGt3gRSC0sL/Bra/G9oqJ8ryamPTq3REKb3JOaCzaH+fmQNB8OFYTxw80O4d+cHuepeZIHSSm6xanQWh7RHjxC+ZFaGQIwEVvICqVj0fLx86CK+/txhvH5oBp6WgVXMciqTG9WLDiXsRyIWSIWDawYNbBy1cf3kMLasHsGqUg5FW4elC1Ml7yFGD02DFwPHL1XxrR8cwzMvH8VMO4FV7BP9nj0XA7aGjeP92LZpGJPjORSzxNBCVBsBzl1s4NjUIk6cm8fCSgX9RR0fvWcLfvvBGzDaX8C+M3P42otH8aO90/CQg5UrIgxcJEENAzlg02Q/tm0cwvpVBZQzBqvUS1UPJ87VsH9qHifn6qhFhnCmhz60dh271pbYvv/gjZMYpZ1kewFnpoXYKTCLzVkatm8Yw01bV6HgREhCH2oYcvi5dXwQG4ZIgE/w5qkK/vyZd/DDQ+fgZbJQdBOK52OyL487dq7C9jU2qCSAFt+8qfL7to4PoK/gYK7m4Ws/Oon/77sHcNk1oFOBsruMraUIf/jwLjzxwG4sNjwOib/2T0dxrqrA6R9BHLjIw8UtG8t4/M71fJ/yGRt+TADq4/jFJfzw9TM4eGwKY2ODeOz+6/HArnGsLlEWTcNCw8PfvnAETz57ENMtC5l8mbcuojHkuS1oUR3bxvO46foJbFo3hELWQOj7mF+s4s2Dl7D/+CyqoSUEdqrNajeA1hI+cuta/G+fvg9ry9lrdkRSEho1UnxM9WGZfJWqtkAgToCynVsM9UbQwNe++3V86wffARwNA2ODaLUbmJmeRjabw8T4OE/qxbkFHtD0LqpPoj4aGcpS0a6eLlXGmsx2Qj9gz0s+m+OyBhrQtqojZ9pwNIMr2CnsIvGZtAnyR7uUdg4jeGHIgla68R05Y/vLfRgeHgkqkCEAACAASURBVIKTc0T6VokReC4qy8to1Gr8fdRxj/rcUJl+xsowK7Np90ui+bJYjXwe1HyLwIYuVdtz0fZFPRRvC0O7aHpNNNpN7nFDGRhWBkQekbf5rdarDFiFfB55NtwBvh8wZadQgD5roK+IUr7ARa3rhtfhsbsfx+1bb0XezovUJBPRdG8Y0awpbWeQslFxGyntL92wvB8WSZDAXN3Dm8dm8OIbU3jz6EXM1DyEVI9mmlCpSpgd4HQ8tEdHAEsLkNUjDOVsrOnrx5ZVw7hpyxh2bBrEcMnhrAcdD3lpzi+18O0fn8ZT/3QMUwselFyRK6gzYRNbRnK4d/ckbtu+GhNjJTg5A4YmataCMEG1HuDC9AreOnIe+w6dQbFg44mHduPGratxeq6Gr/3gCL774yksNQ04+QFEbhtm1MR1awq496a1uHn7GMZHCig6Bg1DZmJeQKZFF8cvLeOVw5fwo3fO4/S8C8UuQQlCZOM6bts6iN95aAc+uGMCge/ihb2n8YWn38KxORdJpoA49tmj9Bt3X4/f+fBODGVElooelMGkgkqqr2oHCt48XcN/ffod/PDwWYSOw9k5rd3G7jWD+INHd+P+XUMcxtP9Iu9XlnZ3pTQ5aYY1H1/70Wn82XffxnRbg2GZ0NwlbCnH+MOHd+OJ+/fg3FIdf/71V/GPb5zHCorIFPoRtGsYciJ8+mO34WO3r8ZEweQwmGYa9ZmquyGmLlRx6vws+gfz2LJ+CGN5m8sUWDRuuPjK8wfw5RfewWwrg0x2gP00SuLCQAO3X78aj9+1CTvWDqGvaPM9o3WW2sccPbuEr3znEF45eAkN2LAKfSxNBPU5bO5P8H//L4/jlvWkR76X4rwHcK5oFSkAT/g9aHKxl14MNIoTf/Dmj/CFb34Z1ajFgGOZOlqtBiv5YyOjHJJNT0+j2WjzhSBmQCIj7zWlqnDbLgyV9q+i2qSAK65FK02HgcmAys5hMtfrJJTKXSu5eRUdk0pyHND2PDRbbc56UX0TdcorFUsYHBpAJpfhY6a0pGXocJtNzFy+jHqtxkhPAGNnMnDsLDIZR+6UqXErUNKSqCSBbhE1BPMjEnnbaLbbYv90jTIPEVpeGwHVYGkKh2OkXxHY0IaBpPNQiQf10MlkLFimwVSdgIZUmWazzfH22jXjMGl/qoaLrZPb8PEHfgu7N+xCRqctkmWnQa6xEHSUBcjeznWSpAofsuhxy05QagfNIq/CWbvTMxW8dvgiXj94AVMzK1huteHxHltU5WywhyYm7ZFaWHBWJYYaJCioCjaOZHHP7gl86Nb12DLeh6xBLDPAj49exJefO4iXDi/ANfuh6iYMbwU3TebwW/dsxj07J7CqP8OZQJISOWXeE79T2EtFjOdmxJ5mm1aX2cdB3pgnnz+Eo5easJwS1CiG4dbZefub923HHTtWY7jP7tTvEi/lPRRk+rodxjg938QLe8/imVeP4/isB81wkLg1jOZiPH7HJvzuQzswXMzg2bem8BdPv4Wj8x6QoZDIx0gmxhP3bMOnH70Jq3Lk0xK9pVm3kj6aVqjiJ6dr+H+/9Q5eOXIWsWOxIK4169izZhB/9Bs345Fb17APpzO3uNeN6CRIgPP1H57B575DgKPzoqd5S9jcF+Mzj+zCx+/fzYDzua+/hu+8fh5VpQynOIjQa8FGAw/dth6P37UW28YKKFgaL9q0XTV5y2gB8SikIpmCagBjYTck5z8Bzpee248vPv825j0HuewwYteDFlWwbTKD//T792LP2kGUDJHylk0umRVX/QjffmMef/aNH+LUkgezPCzGWHsFo1oV/8cffQQf2jWOItUXXvUjAEeGVGmvD8IZUbTXLYcR7Cb1BJLTMcTxiyfx+b/7Ms4uXWK3bCGXEScUxsxUHIvCrHlMz8ygRQ2rdKL5oo8x7dpAbIVuHAFO5EdcPkAhF/VC5lU3FtW6OqnjpGNIqz511eOUraYx8yB9pNVsIvZjjAwOY+2aSaxfM4m+/j7ehtgwhd+jmHG4Anzq9EkOpy5NT7NXqNJqsF8oVyhwFspSaJcEHVnTQkbuLEFiObUvaPkegwpXDFN9VBTwudHzhm2KHsce9XTW2adAbKbdbnC6nEInYnS0EykBUK3RQq3eRL6YZ8Cpr1Tg1lq4fefteOKhT2Dzqo1cx0T4wVZ8uVdWWmCb9qxJpTa6jWmFsChqEBXcBE4iDBXMcLHu4fRsDe9eWMa52QXMLlexsNjG/JKH5UaAehTDJyepmQN0hxeb0G1DcxsYyyv4yG2T+OT927Ftog9L1TqefvUI/ubFI3h3QYWSHYEaRthIWZb71uGjt01idb9Frh5Rf0Paktz2JM3qcyCogOvl6FgJNE7PrODLL76Db756CoueBcfJQWlVsXnIwO8+eD0evm0jhssOXxMqkeAxm9b98IQWBjUqPaDU8Td+dAzf/NEJrHis4sFO2rhj6yA+89hN2LFxDM8T4DyzF0fmfCRkgotCjDkhnrhrEz798I2YKJKORgV8tGgKpzAz/UjBT8iH8/Q7ePngKSS2AUNPOHTbOd6HP3z8Fjx66zoe4x2TJk98AhwVszUf3/jhSfzFP76D2aYFwxQazsb+EP/hsR342IM7Mdfw8LXnDuLrLx7BhYqG3OCEWFb8BkqWh62TBVy3pszMs5jNYLCQQX9OxUDWRH/JQcmxYFFqnbeMjRGpOmbqPv76xcP4i+++hXnPQq4wiKjZgJNU8OgHJvGf/6f7MJwxWVhnk7QM1gkDWlBwaNbDf/niC/jxu3MI7T7EmoXYbWJEqeP/+uNH8aFdQyiR+PXzACft/MUbn6QaZNpFjPuAiCJOepCO8/UXnsHbU4f5bju2yZu3kbJvWzZyGYdLHmbm59BstbgPCyMl9VqxLdHqkvUDKtkXPYIpp827eULl5uI0uSh1zv1vODMjQIuajgeeyCDQBnrDA0NYv2Ytdmy7HuvXrsVQX5ljS5c+E0DOsvhh6JA6ThWXFuZw7NQUDp08jhPnz2KlUWOEzZgG8hkyTFmwKeNBe5CTEVAngAkR0nGzOJzAjymkCxhE6c4Q4FATMWJHWScD3aDtgSNEFL6FgTAVUhVukqBSbcD1ApT6SygWc5i/PA0ivQ/f/WF85PaPYLg0LNlN15bAoNPj4BT5OGG0u1KlE31rhDAnq8llGpsuq5cADerA2HJRbblYqHi4MNPE2UsrODWzhKnLy5ivBfA1B7HtAJqJiDJw9UWs71fxqQ9fj8fuuo5B86kX9uGZH09h1qeCoyIySYwP7VmNz35kE25a63Bqlu5rQgyKHnR3adLJzBpfSwYNQadJl99/eg5ffPYdPLf/MmpxlhubOWEND+0Zx2cf34Pdk0VYGulIlEOkRvzcyp9BRyPjGZ07sQpFxXwzxHNvX8QXv/02jk1XOJTUQg+71hbwmcf24AM3TOBHeyXgzIaI7TJvXjiWCfDJezbiM4/eyAyHi3tT8xPPiQT1UMHrp+v4/D8cxsvvTCE2aQukGJrXwI7xMv748VvxyM2T7B7m3ahkG08mqgw4Hr7x0gl8/tsHMdvIwDQdqO4KNvUH+IPHbsATD+7kFryvn5jHV599G9/fdw6tJAsz18+JETVxgbDFwjkJvLThYtHS0O+oGC1lsHashC2Tg9g0MYSxviwc6utE1oW6j69+7yj+6tm3MeeayFJmrVlFUanjdx/cjv/4xK0YtAxRziGPm0tRaMtqVcOFlo//8uT38ewb51HX8tAyBV6URrQmA86DOwZQMmViowd03sNwfhrg0N0Ubgwy5Il+wl7i4ftv/xgvHXgdcyvzfENoYtFiTG5iJ+Og3mhguVJBy/PgUQbBdeHTlifcdsIS+g73BybwJXYUMJOh+RNwH2GqGTEYcMiLQ4yW6q/ajTZylsPZqS0bN+P6LVuwfnIdRgcGebJT+rXZ9tHyI/blGAkZ/0gjsrlBFmXD6FyqzTouL8zj2OkpvHv6FI6eeBczs9Pc0c+2qJmWjpxjc6sK6rzGGjv1fJUDiJu/U/jCTtLU6i8FXGmZZfDWGVZ5BwvKUlHo4FFdhqKhVC6yplFdXubOiQ/f/TBu2XwTsnZO1LGlGSLRDanj5OWMQuo9l8Z3bgDfmbx0XcWqJho+iY5xIrQV9TZpX2M6lLZLe2a5uLhcx/HzCzhw4iLePj2P8xUgskpQLQt+swrTXcIDu8fwBx+9BZau46nn3sazb5zFCkqIEhNlI8EnPrgVv//QRlw3RClqYga0WFEaV3Qn1Kh/MDuOCbw17tFCu2bQdaHWHXun5vDkc4fw4oFZVBNyiysoaS4+egcxjh3YOmzAUqnzIvWkIb8upWnFwiXCSVE2EioqFjzgpcNzePLb+/Dm6Rn45JUJfdwwnsd/eHQH7tk5jtf2ncIXntmHw7MBIptqqSKMZHx88u4N+Oxje7AqJ5IWsu+faBFBFpFQwWun6vj8M0fw6uGziMjxrsVQvBp2TpbwJ8RwbpzghYuTDVLcZ4asqJipe/jbl07ic/94EDPMcLLQ3RVcV/bx2UdvwCcf3Mmp6KVWiNePX8JzbxzHW8emMVcJEcTUdpcW1ZBDZk0neQJcD0jGcQp5yUA5Wjaxc/MYN9bafd0IsraJWRKiXziCL71wEAuujYxT4JR9WWvitx+6AX/y8ZsxalN5NflQZHmI7PtDRtppz8f/+cXv45lXT6Oq5KHny/AJcIwm/vfPPISHdo2hj3taXPlzRZaqVzQmbOJUaKdYI90Ao1uhS2UOrx1+C8+9+n2cvnSeu11aTCmp8JF+ayyaVqoVtrQTUteaTdTdNlSTCsYo5KDw4v8n7z2jrLyuLdF5ck6VE5WgqEQsghAIEAgBQijYSpYs25KDHK5v959294/++/q+cV+/H2+Ma9ktW5bkIAdZySCSkEAIASJTRSgqAZVzODmf02Ottb9TByzHp77j3u7S0BCoTp36zvftPfdac801Fw3JI7tRAgdRoVIOT2BEsTZ1xRLYJEIJGDIG2M0OFHkL0dTQhGWtS9FQtwglRcWwmS1shEWAGApFMBsMgzxg6MJooZgNJPSjk5AEhzrmU2x2C8xWI4vvpv1z6OztwaWrHejsuY6BoVsIhQL8GvItJsAiYKEITGeUSRMJSl2MRv47ATJxU1K+TyFJFTUipXV6/l10X0jHQ9U+IpGJNDYZzVy1y1CrQ1aHtubl2LZuCxaV1rOEIAc4GjPM5L2Qg7yxlNRe0i06hSX+5GyYUZyUq2Ikyv681IXN303JXGrlKSQdUfJ+VOkIRpPoGZnBuyd7sPf0AAYDelbgUidzam4Eq+ud+IcnN6CixIe3PryMt471YSrhYq8irymDxzYuxvM7FqO13AwLufJnJIqRar40zYoNrGbATm0SctAkUsCZnkn8bP9lHFSAQxIFtz6Ch9cvxDd2LcWycitsegIyOiK5xqY6whXYM5ApwIll8eHlCfzs3XM4c3MUKdJrZeJYWkGAswJbV9Tg5DmKcC6gfTSFFEU42RQDzuP31OGF3atQ6yEmUTri+bqp5UIHhFIGnOz140fvdODjjn6kzFZeC9lUGEtrvfjuw6vwaFslj2fmdIwLGNIGQp93OAc4HRgJWznCMcbm0FyQwLd3L8NT25ex8I+YD388hb4JPzrIOK1nBP2jYUzOJTlFnounSIwvwWyGKqQWdsYkSQJpZdzmOFY2FuIL99P6akY4ksCv9l/ByweuYCJm4UJPNjwFnyGEJ7cvwT88sZ4Bh339OBVT1VHOcgwYi8Xx/77yPt4+0Yc5uGGw+3habKkxjP/rhZ3YubLqT6RUd5TF87U4qhCRc+anGyWSeQl9abmcvXoe7xzci+6BmzA5LbC7KI3Qc6c1LexoLMI2FcRrkFyTJOizoSDn6yarlZXIpL+g8iwDD4nmdOA2BENGj2Q4iUw4BZveyilGdXk16qoXoa66DmVllXC5PBxakjqZpkVQ+kMhTSgUwlwkggitDSZ/DSw65F4dEh1mMvz/KHpxu6kUTlGH6G2mA7O4NXgTnd1X0dPbhdGxYczNziBFjZ0U9dgs0Jn0SNI8LX0WWSLpqJRO6mIqo9NpRtUn4qhI3Ggyw2qmBUBkOQnVqLxOgj/qx7HCbXchFgixa+KWdZuw7S5SoJbJEFjVo5Srg+cqiupJKXtUilgEMOQF3KvNjaJkus6tlDIdlH2JKOJJKWEWmZhpJ5EYe4ufkBH+VBaHO0bw031Xcer6NDJGO/f3pOaG0VppwnefuBtN9WXYc+I6Xn+/C4N+KzeGWjJx3NNSiBd2NWFLczFcZpoxz7mdRAaMospmk+0opAObdEMEEsmMDpduzuKVfVex9+wgZjPU9mKAKeXHPUuK8c3dy7FpcTE81CNFn40reJTSKu2HSlu4kqfTYSSQwDunqIG1HT3Tc0ibs7BmIlhbX4AXdq/B+tYaHD3Ti5feuYT2sRSSNjfI37LMmcQT9yzENx9YhTq3hfkMrhxzpCnjeok0Pn0zIBzOxT6kiPcymZFKJ9BSX4DvPbQcj60sgVNNetA63llrzddGEU4XfrznMkbDklKZYrOiw3mIUqqlrIbXYJSi6XCMZruFMTITxeh0FGP+MMaDEYz645iYJRlGCCPTYcRADc4WIB1HMjIFhz6MTSvr8A/P7kCly4zfHrqOH+25hJG4FS6XE/rwOHzGAJ64vxXfe2IjyqxmHhklFVIBHOo0oCRrPBrDf3/tIN452YeZrA9Gmw/paARlhhD+6Tu7saOtAm4Ks/5chKN9TwMd7eU8eC5nFSBaHMm39egd6sPv976N9q5rgM3IehxS55I9BImzIvEIJqbGEYiGoDeZkDVZEIhGWdJPpC+lJuTbQZuU3pK6q+mkN1KqFcvAmNajwleGtqaVWLWkDaXFlbBZXbA7PTBb7dzER6NoSM1sNlkQDoQQmJ3jZjYK08mYl34vRR2kQqV/hUgSQwdi9Mmtj8WwIJGgOGTSrJxUKo5gcA7DwwO42HEJXd1doqlJRBhoDJRmWU3QW/RMGBMISUUvw+BEUQ5V4ex2O2xEBlIqRjbdBEY0rCsLWA1m/jc0PYeyghLs3roD29ZuRqmnSI0LkYjgtq+8v4oWj05zAhetF0qbOSWaGdrf9GnJYS4UFyNtGrZHbR6q5VLyNvbPlG5xOsWiOh0+vj6Jn+y5gmPto0jqbbBQmBwcZcD51hfvwqqWahzvuInX3mvH5YEEDI5C6DNxFFmieHRdDb50bwtrTmxEnnFKQXVFRSBzzCB9QiRQjGd13G9EFZ3RqTB+c+Q6Xv+wE4P+DCxOUuCGUebU4aENjXhicxNaKtyw0UQDLucKmSvm3vIPbYxAjNKzKbx+uAtHLo0iTL1rST/cxjC2t1XhW7vuQtOCUhw83Y+X3m5Hx3gcGYcLmWwUZQ5KqZrwrQdXocquh4kHINK9lbEptAGJlP60ZxY/fOscTly+hazVxQQqcXlL6ovx/UdW4AsrC2HTUYVLuUpRZz2lJwYtwrmOH+29xIBjNdthjlKEk2ZgfXL7Ml6jBDQcGcpMSakgpumAzLBLQiSZhj+awXQgiYEJP05dH8SH50fgTwj3mE1GkYrMYWGpG99/ehs2Li3BW4c78cN3L2Ik6WTA0QVHUWAK4vH7W/FdBTgmLaXXVF5MrYAjnP/ntYN4+8QtBhyTzYtsLIpyfRD/9N2HsKOtBB7F4eSv3T8S/mlImr/MpUOWVrn2IEX8R5wAecO8sedNnLp4DjqbEa4CF082SGbiSOvSCMXDGJ0aw2Rglkljg83OVpbRWIIXBN0+A5XGDTSbO4vQrB+mpB4FNg+KnAWorajBytaVWNGyAqUFZYhH0xgaHUcslYXFQWOEzRwtkSLVbLZgdnoWgbk5fiIk7TZT+Gyg5s4Mvz+7kpFjvrKm4DKyjqIdCvPptEzBbMjCYbNwuwHlu6RMnpwdx83BfnT2daP3Vh9GJka4YzyajMJsN7MHjs4sFZB0mszXSZCY5s5lh83OURjPMuIStJg/Uapl0ptg1ZuRCEXRUL0QD297EOuXrIbXTg2bEsLfFt3c/mCEhJS6uapKqbGvnL4QwS49ZjPhJBOxF7uGYLGYsWZJDRqrCnmMjbjCyC9SsMUOjUNzYez5tA+/+7AL10ej0JldMgguMoa7FrnwwiNrcVdrLZPMrx9qx4FTNxFMW2C225COzHFlZ+ddjdh+dxMaqwvhtpLEgdS7GU4npE1Rh2A8hf7xALpvTjAorVpcgRKvHceuDuOV987j02sjgM0FM7UbhCOo8tpw/9o6PLCuDi3VPi4HE4tDEaGYjpFtahZTgQQu9kzgwMleHGsfwUyCyv4GJGPTaCg340vbl+CxjS1w6E04dGYIL73TgcvjEaTJuygTQ4E5ikfuXoRvP7wWzUVUsVEpi4g8OBKkvuLTvTN48c2zOHHlBrJmElRauJWFyvvfeWgpnr6nmpsmRRpCEYM0Cqep141SqmNd+NF75zEaMcNqssEc8bMO54XdK/HE9hUsr6D2DfpMs/4o5mYCcFqM3OhKTbcMAbS2qNDCtiIZXBiZww/fuIJPqIOdon+jAclIGLVFDnzr8Y24b3UJ3n7/Mn687wrG4k447E5kA2MoNIfxGHkaP7EB5VThzdOAccRIESiA0VgC//zaYbz1ST9mswUwObzQxcIoNwTxT995CDtWFsJLop87jsu/DnB4o8q655tGqQTXBugxZ/HOoT348PhH0FsNqF1Uw5qUKMnOCXASEfSPDWFgbBiBWIyVqbTYKLRPkIseNWTqZEwMMS2kvilwlaKxfikWVS9CTXk1ykvK4CJSK6lDNBLH2OQMRqemOD0D8SkmSnOssFhtEnomqVOVfHfMsBjNHN1QlEZ9TkJEy+eh9EZODLIb0MGQScGYzcBltcDncrA/DfE2rGQxZRHNJOGPBLkxdWR8GDcGetF3qxfjUyOIUtRDj4K0BOwDIJMSaLFwvxDdKeoPo0vWmbiJ1Waxw+Ugv1wHSK7bWN+IHRvuw9LaxbCSMvazACcX3cybxWuFE+F1CHuk3ypJ+qYMMO2P4OTVIbz7SRfOdQ7DajVhdWs17m2rx4qFxSj1WJn7IjCmCCOYTGJwIohTHf344Hwfrg2FSKAPncGGVCQErzGMh9fX4as7VmDJgiIEowl81H4Lvz1wHqe7J5C0eqA3WaGLx9mfuXVRGVa1LsDSumLUFlELAm0MHebiGQzPRHG9fxoXrw7ietcAf+/xbcvw4IZGFnbuPdGJNz7oQPdoFCZ3kZg/RUModuqxqqEMa1ur0VJbispiG1ts0PUHQmkMjIfR3j2Cs1f6cX1gmrkWkuLHoiEUufTYuaEBT93XihXVhYiGE/jgLDVvEocTQZo6p/XkRBnE8gUePLV1KbavXIACK5tJgPQ9FKXaaSObjLg86MdP3j6PD85eQcpkh8nmRiyegseSxc62Cnxz13JUU8c4RSrcDyhpK40T8sdSTBr/aN85Fv6ZjTaYorNo8RLgtOGJ7W3M+5FUoXskgKOfXsfly92oqyjGQ/etRVOVm+8ZNSTTmBqqQM3G0zg3NIcf/r4DJztuwWB1cGQfD82hocyF7z69BRuWePDO4cv48XvtGIvaYbe5kA1No8gawxe3NeMfnrw7D3BknDAXSnQGtigdicXxf792FG9/MgR/1geL0wvEgihjHc5ubF9RCB+J7v8+wFGGzZrPCqtchU2m8Pvop8ew79A+hGNhLFmxBFaatKBPQW+m7uAUhqfGcGtkCJNzs9zFzeVuUsDGUrwviccgC4YCpwfFheXwFdbA4SiB0+ZmoHHaySvHjEQyizCVccNRjJH/TiTMeb+Z2hdsVm6YpCiHWH2eRU524NxwJpuJQk8KdUm0xwkhvc5AIimKbjLc4Wo16OG20ERRG9w2G2wmkpPRlMwEfxYdJ7XUuJ5AKBrAxNQoem92oavnGsYmhhBLkT0FgY6acGggTDRwdzmDoNEMu9kGu4WiJ9IueWE1WNnAqqGmAXcvW4va0iqxtpjXWc4fFRqxxp9AKlD8J6VRkgdMPJEeMYDD64/OXMf+Uz24NBCFP02pHY0US2JhqQ0r6gqxsMKHAjcpvK2IpNIYnvbj2q1xdPVPYyKYREpPhvVmpKJxIOrHioU+VtDe31aLAjKFyWQxNh3E+6c68fr7l9AxGgVcxTAa7Az+ZDNBHtE1ZTbUFptR4DKxF/BUKIXBySgGx8OYmY0hHo7BmgljTaMXX93dhruX1mI8EMNbx6/jnaPXMTCTgNntlSphMgGLLsPNndWlblSVOuBxGrlsOzMbx/BoCCMTIXYMoOoYa3KiQThMSWxduxBPbluOtQ1lLE4jApW623/y5qc41x9Exl2IrM2CVDIMpy6JxaUurGuuRHWRh+/dlN/PZffVixdgVWsNbk6G8fP3OvDOh2cQJuWtt5j7jTKJCCqdaWxoLkVjXSm3zUTDYSRCAVQWunFPWzPMJj1+faQHLxLgxEj4Z4UxMo0mbwbf3t2Gx7evQiSRwfmeMez7tAcfnevF2KQfxQVerGyuxT3Lq9FQVSiHhl6H2XACnUNzONE5gI8ujcAfJ6rBhhRRGok5rGutxH/4ynYsKjHgzUOX8T/2EtCZYXf4kI0GUWAK47H7mvD9p9Yzh0NNRuQhJWIwkR/EocNwLI5/fvUY3j1BgEPd9S5ko36UGOfw36gsvrIEBWY13CAvp/qrIhxh/CSlysU5ef081291Y+++vejp68XChnqUV5aTNzXMDguTqLMhP8amJzHj97PuhEq3BCQ+pw9epxc+J/3ZBbfVASu50aUNmA3FeIQK8TI2qxNGo5W9QCamZ9l7J5xM8WwdKnsSKaw30WKTlIUUxFxlI3dBaqOnypSBzKTU/CHVkkAgRNEHNYdSZEqkIAmkqOnOmMlwD5ebwMxMU7yp6TOBRDLGKSPxPGYLSdGpjBvFyNggRseHxFwrHWfnv1AkwK+nSIqIdHIo+UeQmQAAIABJREFUpH4xEjcaDURkWziEpkIL/bexrolndxV7Ctgc7PYK1fxRka+80SqtZNWpidHoKdFJT00Kl3qG8Zu9J3H4TC8mk07AVQYdEYmZOIypEBz6BKck1GlvMhH3APjDcQRIsU18iMEkauVYDKZkFA2lDnxhyxI8uqkRNeR/QmBNqyJNUYUfB0/34p1T3bgyHEQsbYfR5FRtGHEgSyZe6ZziOJ6hLnHh8AxZI0wkwAlNoMabwDMPrsIX7luNAo8TnSN+7DnZjYMnuzAwFUfKQP1KFpUm03lLjbbg50jXwp41RO5l6T7LbKVMIgyfI4N7VlTgi1uX4K6GchTYBNSJB7nUN4mf/eEMDpy+gajRCaPbzXoxsgXVJ+PcwEqmXjS1IBycRWWRBV/Z1YYvbW/jdHXfpzfx6lsn0T0WAlxFMNg90vyZDLHI0OmglhmRFVjSYWxeWY9vP3EfCh3Abz+8jhf3XsBIzMxOlgjPYLE3je88vJoB58ZwAD9/5yT2nryOsZgBFm8RTQyAgSppXgcqSj08N4y4r9lQAkPjYQxPBZhfkj6aKEypEJoWuPDkjpV4ZONS6FNx/HbfJby8/xxGY2ZYqKwd9sOVmcOXdy7DPz6zGaVEGhN1woP+pOonpiJ6jEQT+O+vfIg9n/QjkFHpbmQWBYY5/Ld/fAw7VlflyuL5DORfATiqaTCHUmqeNB+lcp76owHsO3QAH5/4BL4CHxqbm2ChfN1m5jIyNS76AwFuQaBF7Xb6UFmxANWlC+BzeLhB00Ld4NxgKeN+KZzmugstyAwXspmsCsUi8EeirJilNZUgwpHIRu5jynBpXTgPkc+zbzGhiaY5UakhgROlVkTkEkCxuI94ACIgKe1KJFknYiUBH9mMkiczRUZkGK3LyrxzGvliJtAhslK4m1SG+rMo+gliam4SU7NTCIVpBDCpk6lsriwlqC9HT+Bj5c9M0dziusVYuGAhPFbiSohMvYO/yUunctVE5cSvvVSab5WAjnLt2RBOtvfhwzO9uHRjBmNhHSJZM7Lk98yV2gSymsOiMjpnaw3WKdE9SsOUTcFr1qOl0oftaxZi2+p61Ja6eCgeIbswcTou84/5ozhxbQgHT3ejo3sSM0EgmtEjRlGxsh6lNhFWBuuN3DBqzKRhSSfhMWZQ7TNiTXMRtt3dhBWLF8BjtyCSzuDGVAgftw/gozM3cX1gFnORJIsXyYicxH1kzkXugvTRTXqal5Xig8MMPetRakqd2LhyAbatqUXzgkIu2bIDMrWIQI+JQAyHzvbhjUOXcG1gFsGMARmjBTqzgbm/OJE1BJDJBGtsWmpc+O5jd+GrO1byQXhtxI/fH7qKfcc7MRSgsN2DLJn/02ZNJ2REC5mEhedQaEngkc1L8B++vA2FlhR+e6gDP3r7NIbDBgYcUyqIpZU2fPuL6/HgplaMjIfx9vuX8MH5G7jpTyIEE3922hcErERiE+AyL0TyA/IFYkpBB6uOnh0ZfrmxfX0jtq9tRIXHgVl/BL969xRe2X+WIysDURbxEKrcOnzrC+vw9AOrUWghmkMql+wPoO4zcUVj0Tj++cd/wJ6PuhBK22Gi/shUBPVlVvzX7zyKjUsq4DKJdcmfBZzby+J5Kz7vG3LCapUycjbJ4MjJ49hz8ABv/JUrl8PtIh9jNZyd53TTtAMLfJ4CeH2FKPAWwWG2M4EmwCDzrTnHVbNzuIhKp5Oml2ITeCrNKSUJLVz2wCXBYEqMr5RZmECOMuHO8U9yzZKMzHdfkySPK0hc7RAVNf2ZyGJiQygl49YKsi+naIVEfPzZRLtC/1CvFm1gqlDR1E5y9KMeK38owM2bgWAI4UgIkThFQBEx8taTSTuJH3XwuQtRX7MIlcUVsJksrGjNZU8a86Y+x7y6WIji3FPixyJ/k4csChwybuodnMbF7hF03JhA31gYw7MJzEXTrLkhWQIT2aTyJo8atqjJwGLWodhrRW2xG63VxUzmrqgrRpmbTNFEBCpktaTWmuGYP5ZkpfLl3jF03phG30gIQ7NxzMTTiGTTSPBUVEl5nUYjSpxmVBeYsLjMiWULS7BkEXEyblbN0sehR0r+O1ORBDr7Z9DeM4zugTF2/hufiyEYI+2QAcmsmHtRIc1t1aHEY0ZVoR315V4sqy/DyoYylPvsoBYfViKzDog+rHS8j8yGcfraMI5fuIUrN6YxEUogRn10BGzkkkgso47MvRJYVuvBV7cvw+71TXxwBZNZXOufxfune3C6cxhDMxEE4xm+t1LhFZ2QgewtXGk8sH4xvvLwejgMaRz6pId5qokQ2HaiwJ7BmsYS7N60BM01RaxHGxoPooM+O6W6gzSfLYxgJI1olErzacRJdEvAQ82hZiPcFiOKXTbUlNjQWO1G2+IytNaVotBpZw2UPxTDe0cu4O2Pr2E8aoCenDitWaxuKsXDm5ehuaqAm0yZtcoDHK3PYC6WwKu/O4yPz/SxDYjRbIPLYcS6VbV45N5lqC5ysfjwzwJOPtjI1tS6dRS65NfLVXWEWg3o6+zVK3jrvb3cN7V2VRuKi3xsp+i021BaUgKvtwA2mwN2h5OjHLr5zOVQhYnAhqY40PahCIU/pEQgml2GXLksbZk8oQyo5KVqe0kFQJunRe/DY1nzTDek2V3AYv5LdrKmMBKzde4CVJojJklklKsimtm7VxvZkTMKJ0EfDZOjsq9MxiSxWyJFqucYQsEAAqFpBCMziCVCbNtBa55EWhXlC1BXVYcCtgmQlDAHOOpS88f2aFcrExoEaLRPJCNt5weRsbgyo0MgmsDYbAj942H0joUwNBXCdDiOEJlMJWlOEwGOjsctO21G9sStKfeiocyNmkIXilwWFqERRSXFA562zs+CUiISHfIXp65AMJbExGwEgxNh9I9HMTYXxlwsggQDuQ4WgwFehwMLit3MJ1X6bCj0kISASzr8YMWHV8r8lDZSROuP0OcIYGgigNEJiiQjCMVSiHMQYoDNYkaBx4HKYjuqi+2oKLCjyGGFnaw1mFzlpFO5WBJIaQJ+anBN4dZYEL1DcxiaCmKGtFyJJG96WqMU6bocZiwqdWF1fSEWljqFR9MbEU0RaMXQMzqHvpFZTEyT3xHJI+heGWA0mdmYv8xjQmttAZYsKuPu8/6xMLoGZxFOCN9X4NSjtsSBqiI3bKxQF5V/KJnFVCiG0ekARiZJbhKC3x9HmBT83CWeZu8e6p0qctpRVexBTbENpQV2nqJpIe8adV+pAfrGyDQ6h/wIJg0sHXE79GiocMvvpYZn2QI5t0de82ynQi0+aXT1jmB4MohYiiJ8IzxuMxbWFKDYY2NqQjoS/kyEM7905U+3ewDeEd6rblkBAaB7YBB7DhxCx+UOLF/SitoFVbCaDKgoLUVVZSWcThJTScjHPip8csncGm3vMwiwXWUKeiWnzp9KoF2VgIWAj5Y+cQrFmg7VCqC+RWAjxV417ob/qyYZKcVnftQjxuRKzctCRwVmJMXnNECBnhYrKQCjShh9cWqnojTWFuXc87Osy4knwojEZhAIziIY9CMUCrM4i6aWVpcvgMPqUJFTHuBokJJfoVKgLFM2tMq5XLdmIcKjaZX7n1ieCjhTdkAbi6pL4XiSqy40QYJlA6TANul40zutRJ4b4TLp1GklToOqLZSBXNQudK0i+pc/a0S2wCC1s8XiGa7cULNrmo3MadKpNPHarCaekmFWEy34/XnsjNhBaGOoCc80TKONQ6kMuQzGYglQQy9pVYg8p8Zf8jSyWwwMMjT1UptYoIGzNu9Cuq5EnU1VHrp+ipjjqQyiiTSi5ECgKpu81g0GaXcxG+A2ZmHRifE8Vc+oV4zsbImbIo/hCDkFsgxCnAEoVSVAoTEwbHXLXDZRAnqePkKfmSM/ko+RpZKmKFdHoRjWy/NOpLKIxdJcfifFO5XN6a7TJidQtJoNsFuMDBx8/3ITEWQjSB8gFVIIeuXwJlmWvF40alp8wpivTTpRa4gWEqWwnGGw7S31P9MzFV0YwTjJPuie5n8Jh5P3/7R+IHqRpj+9bZ1r18E2l3K00/dHp2dw+MjHOPHJJ6itXoC1bStRXVWJkuJimdJAJxR1Iaek4Y4Qn+cXUUOhlggoANCc7VWKfVsgomAmBzT8d6XGVc4ZGhTkdEP0/tr3uKdIU++qz8LnngZQeWpq5pBUqCHLktIglerwgxcOQNP20PXSZmLxtpA1qq1f0zHRz1LvTwyJRAShUBBT09P8+rLSCm5AJd2OTDBUkVre05qPcBREsmI4rzGTz20i0tXGSWcRjmcRSUpbCkdnvGBkYdrMBC5iZSDRnAZcEgkQ8ItnIC0uAyJxHcJJ6jgXW086d20WMaqithFOORkgJOenIXei1hJzb/oOLfBIPM3ktObpQ3ESVbLcliyclPdTVYntSKRnT4tGebgbL0b5HPw9VlFr/TfS2MudzbyWtIG0sjHiKeIASYyqLGONOjjsRjgspECX1F6G+c2nispgVSlv1NGlNhH5xxi4gzzNTc1aNzwlXzy1KZ9oy7WkqFRfrc6cQ2PuM2hTOXS5gXYMDyJxFt1aLoGleyF8Q24T56yuRcQp42ikf03WskTvub4/3gtqHWswQ35K/ImJ5JjfG4IDotliaQkDlQh2+UpU+quJSOlAkSeVt4X/JsC57Ufn5dZ0IYFwFGcvtOPsmbMoKSjAhrvXoaa6kjcQdYTz8C7KxRXnQvoQ4fjoxopClz4E20wqwdptfFJu42sWDHLyqb2Si2D4Rim0F5Dmc118NdSOEvl/3k1QC4i7sNWpIjyPNoZFuBJuE1CpXQ7VtBRNk87R72adD6mnlTOfpjBlgKAqGm0wMJE8MzvDKViBrwBut0uqU3zZfwXgaKlTTtpP+hatgYDGu2Rw+cYEznUNs8MbWZ5Sjp+laZ9GPZYsLEFbQxlKPRYY2aAlr/7Frn6ijqVDYmA8gHOdI+gZDiKuI9KZrjKOBSUOrGqqxOLyIjhJ1c0mVbRBSKklBl3MkWWJS8rgav80zl0bwmQgAZ3FyvxfJh1Bpc+E9c3laF1QAgv55TK3ou6fyi35NM0DHDpF9VxBEdU2N/NxR7p4z1ADJ4FSMgUMT0dwqXcMXQNkik/SjCSnGmuXVaNtcTm3HtA+4xhNA2A+ubXSrnhd8lLi/rN5xTr7SlNjL60BNfyNwIbtXfgHlO0C2/QKaHDEoThAAiydjgzdZKghR0s8lUMOY4EHmTNG90UgR/V0ceQ93xQqLL5MjGUfcv5ddL3yueT/CY1BYE0HIHft86RTo/rstIroNxDvpMGM2i9aFKrEwLk5dhoNQveFCyh0OFOEc6eJ+p+JcLSUSjvTb9ulatwaP2daeqkMK4AHBobgdjhQW13FSl01n0/AhKxEc2pNma4g55X6UBT5cHMbdRWLAZTccJY7SlOn6lSn/2ozeOQ98h6NVvZWAb7W+8WBhwr/bv8s2lVox4OcFxpGaTmLBgS5HFBt0Bz/rEBTBX4yo4mBVkhSSQHlhKD3IgdEIpQpzPb5vLCTlkiBn2YJkLvOO8y25oliaYLMgSiftPQbDYgldTh6vgc/e+80zvZNIGWkthML0mT1mk5g59pF+MZDa7C8voTnIM0bsSvui6M0PY8hef90F3574AKu3fRDR1MkTDok43OoLbPisW1t+MKGpagpdItcgz2wxXBfxirTW+twayKMNz68gjfe78B4MAOj04VkJgpjNoANS0rxwoN3YWNLHWunODowiN+zcOFy16gapTGLtB15+gKZeTO8UdQs0wUInLTtOh2I4/C5fvziwAV0DU3LfKpUFAsrPHjmwXV4Ytsy+AzSvS5rURTawleoxILH/JK2SoCNv8/NmDLOmDRdbIqmJmoQcImflERLstizYmzG7Ty0NmQeqVynTAkV4KJnSEUIFZnw7xSgkthTOzAFzMT7SCPB6ZmJ5xDvJT7QNdCQfjsBHKnKcqtJ3twvrU+Mf0+WmofvWHgMxsKKilmo7EPpGpXmZQI2gZU7uVLN0/iOlErCqXkO5y8BDt8uUqhGY5ibCzGyOe2kn6ExH6Ky5VSDeALiADg6VH08zDPMM79cquVBb5SOqBNXzajm4ZlqACMnHQzaisPIU0LT0pNFqj6FBgRq4SoIy+1lPm1UmqUFMBqASVg6z1HkwEb99O28l8AAl9sVqU1aDF4UjPZa+EnpJRmHhRGOBOFw2RhwqKNc1obGVv0xLOazawTe9MXpBfEvzCWoLnC+MyaubLy8/xLeOdWL8ThgcojBdyowi3uaivH9x9Zi6zLlzkbvoa6fIglqRYln9ejon8WvD1/BvuPdmI0YYXZ4uHkxFp6Gwxjl6QrPPdCGdYtKWa9Cl5+LDvmQyCKZzOJ87wT+x7sXsf/0CBJmL3RmE+KJWZR5M/ji5kZ8Y9tStJS4eZoHbyDqBqfPw1/UnkJeOqSnkqcjKZCkcAI4ygIjN8FbTqyBqTB+deQ6XnqvA1NRwEpyjUQADaVWfHXXGnxp21IUmghQxEaDLTwIVNTGVtAz/zdergSqFJlISsf2KVnxkKY1InyQMr5XpwOb/3PGpI3EpTSOoj+lEGeApj1CiTER+NSIrBFXOTJBgFw7EHltEpCokcZqiKFWveX1oUkxFDej7Q1ej8oriUBQPi99JpW+ZSm1VfPgNYxQHCdr6dlwXVqFhDtVC1JtotvzCBVc5KdUuWhCLfm83/FHK/824keF8ZF4CjNzIbYOdblooqITZhLkkaaGkZi6qAnss9x4JhgoizMXRWihhQpH5Vmp8bz84egGCmpz2qKARWU2ql+FHqi6QpXicJqVS3/yJlaqiOuPKld88+ZTMfldeaeLurm3HwDazyiSOm8czTxo07UbONoLBgPsBuh2O+D1uvlesbOfZsKoyPE/hh1ZcKQ/4u3BG4/PHGkszJWqjZiKZvDuqRt47WA72of9yNq8MFBzoX8GzaVWPL97BR5ZV4dKlwUGBf4aV0Kn1UQkhffOD+JXhzrRfmMWMLtgovEjOnJojCAZDaKx0oVn72/BY3fXs0k3R/jsfyMHBP1LdhcftA/iX95px9m+KCzkT5yKQp+axarmAjy/awV2Ll8AH83l5qiA/hXw1DrdOYJRLgUSk86n17xKFNAx+Ur3RdFs/TNh/OqjPvz0QBcmyLTAbIQh4UdzuQXPP7gCX9rcAi+HI+L7wsChYmZOEVXyLyV0iXrmo26NGFCTQbWoSCNwVBFDI3vld4hXj1CzZEamuvT5BFVrLBdYyGBK7hXVzmlFi2gHvcCvli5I9KSdt3JIawMM5SAUfCOwIMBhBBEyPocQ8zFkbtSpdrKqma7z1IwWBcp78/1Tzd63V4I1wJE5qp8BKLeXsz7rNfn/jz5uLJHBzGwYgUAAXq8dBTSDyUgeLLKrGVzIzyeTUQy3QnqNxNJGqVKeqkJZCQDVua7Sa1a3Km2PUDQqssi7IC0Klf2rUjWNHNN2gfpRAkBJqdX0TXWCaZwPn6Z5yurcgrst7dJCbzVETuVZvCm0i9G4GWogTKf5PsXjEXhcDng9Lm6wk2emPRJeYn/i6QghKye9Rp4S4IjPCi9kde6d7h7Hz/a349DFQQQyNpisDqRCfhRbEvjC5sX48rYlaKnwikkU23wSaMnReH1kDr/44BrePH4DoyE9TE4P65BMFP6nyQYkAo85g4fXLcA3d7ZiZW1hzlYj/xAYnAnjzU968MrBbtycNbAXUiY8iwJrDA+ur8FzO5dh+QIy8qawXFI64vOoUkQkL43TYWGndhgqUSd5+NqoImU1srSfI0zxFlO6KKB/JoJff9yLlw9cx2iEMg4LDMkgA85Xdi3DF+9pgkN588hwDKnW0fvZ9FQ0n5+nLZVVVZEkU/1kGpFokp0l6cSXSqusASLSqUTvJKtOKjNLbslcjVj2SlREKREbXdHzyhoQTVHZmQUH3ONHpXGp4AHxdJblDRFqEVKTPMjKxeu08nhfDXh5vVKVT2nh+DPl5Bv5GyVvfeX+mL/+1GvzUSKnB5Pvfcar/yRc6LJ/AnD+EsDc+X0WZ6WzrAugaQ1uj403EfET/ADUSpEIR0qw4rVLIDvvlse5H4eZ2jiS+Y8knC6pgyW6YdDhKkb+3ZAUSNHRCumFyOXr4FRHnO60d5bXz0+yzGV4BER33E6GtjyMVjGN+nExx87/kn6o+d/Lnjl6MltPsTFZNpOCz+uC02GHUVZkLnT/05Avv0QDHBmSRyG1IgmJ/Mu9iw694wH8+mgnfvdxL27NZmC2O2FIR6GLTGFDaym+uXsNNrUuYLGYNv6FrjOSzOBYRz9e3X8JxzunEDG4YSLTNKX7pq1Co38QD2J1vQvf2LUMO1fXw2OVha/db9qM52+N49WDl/He6TGE9AU88DATHMeiIuBL25rx5OYWVJPTANXwUhlMBqIYmg5hYCKEsZmQzCVPUjVIGAu6z7SJnWYjexvXl3uwsMyNEo+DBYMcC9GmzgKDDDjd+OmBKxgJ62GwOGDIJFHhMWLDsgVY01gBK1tzUFMmEeUJFgi2VBehqsDOPBGhlzIuRZRG0dD1TQYxOB7F8FQIM5EY4qQhU3YZBhoIYKJrc2FhFY0wdqPE5xBvG+aCxKOIjOtF051mMrtnKIAb42HW3NATLvFasLKxAsVOI+bmwtyIem1ghjv5SfdDqvgyjxlb2xZiWX0pLOTPxKtDbD/yowyNLrgNJT5ro3/WGfe3AsKfeP3nAjjaHiMyLhJJYmp6BjYyLfdQQ6AiAFmwKPwGW4lyDX9+oJoQdKrCwyFx/qdWUwgUdyaBiACOFjLmwYeEjLmbLSGf+IzNE1lyzfMPR1IqDc3VdeZIa3mAGomdzzlpn11c3ISUnn9fxTGo6EkqV0Sq0dTOOObm5rgnq6jQAzsN0culUxrZ9qee/DzgSLYtxgTKSlz4DhX90DvQ0LO9Z27i1UNXcXEgCKPNCZsxjdjsGOpKHPjqA6vxhfWLUe2jDnWmLvnnR2YiePPoFfzmgyvom03B4CqA3mxhwSIRwzTvixTe8dAMqjzAk1ub8eX7lqKu2C22pgpoJ8NJHLh0kz2Kz/dFoHeWcouIMTaFtQsdeO6B5djWtpDFYqO0qYbncKl3HFdvTWFwMoTZYAxhsqjlSRdEClPqSc8/yxGI16JDTZENK+qLsWFJLVYsKkUhGcEp8pJGD//64+v46f4OjEX0MDl8XA0069KsMXKaqB4j1Z5kLAJjOoS1zWX48vZVuKu5hqUG9BVJZTHuj6JrZAYXrg/havcIRidjmA5l2Go0rqxbiU8yZdKw67PwWk2oKnJiWUMZ1q2oQ0ttCQrdJh5xbMwS4SqOCzPhKD660I29x67j6kAIGSNNW02iscaH55+4F25rFqfPXcdH5/vQMxHFZMLIDaKIRbGwxIR/fHw9vrChES62SJGgf345K3cEJZe4DQs+K7/59wA42nWTGdb0TIAXBHETViv17AgjL4ZvaogaCaIYcMSVjQMgzsHzSthatqSc4iTq0cBG+ByJWBSZrAhPDdSkzC2lTS0q4Xup0rCc2SG/hzj+aRmN9nrOhngDikpTi3AkiPqsp6XCzDweRsJ79TsoR8+CR82Q8I9Eb0U+DywWNdmbN6r6QJ+ZTs1HfJoAT/QmUsJmnkEl5JqGiGT7n3aN4+WDV3Do4hDiMLP+JBachV0H7FrXhK/taMWqOh9Xq2jUIN2Jq/3kuncJ+z+9hdmUASanjVs4WOTIPW5ShUtEg3AaktynRONpV9cVwsSS/iwS0KNzPIxfHe3GG0evYjyS5UbBWDiAQlMUj6ytwfPbl6G+wodrfaN4/9R1nLo+hRszGcxEqEufYh6yG0mqA4ESHDPbJFDaxT1DugwsmSS8+iSW1Rbg4c2t2LSqHhU+B2/noZkQA87L+9sxEdXDZPeyMpaqUqSGT0TDTLhT2wo1MNozQdy/qgbfeXwTNi5fxHYMNOep/eYUjpy/hbPdE7g1MouQP8hWEymYkNRZkCZPJx6ykYAuE+dGVW6JSengtljQWFOMrXctxH2rq9FQ7oSFFdrSDtM5NIWf/P4o/vBxF+ZSDphdNKs+joULfHhwy2rMTE7j1LlruDHmR8LkQMJo43QMwSAaSo34T0+txxObGuGm9i3mUeajGwYfjU+7M/L4dws46kPRHJw5fxCRaBxuD6UKFl6gGgfLrmc0S1wJ5GTTSDLAFSwNnRV3ynyCIlM0fzpKqXJ9WgpwtKoAgxiVohWYafJFUVrmFxQl0tKoa+aFFDDkIhQNNMRLLwdcuTTqDsDJD19zAKdSOCmLEy1CLR1pnjcei0bgctrg8zjYQlNBlfCRf4Yw1rJmDXAUHKpqh4CBxqgycQvg5hRtuh786oNODM5E4XA72IsoHoxizcJifGvXUuxoq4TPaWRRH53YR9rH8MredpzvmUKCo7MEinwWNDbUIJHQo7tnBKFoTGKpVBKttYV4/sHleGhVFQq4cU+HQCKNj69P4af7O3G0YxBp8sm16BEPz6Cx1I7n71+OJ9Y1wGbQ4YMz1/HantM40xNAzFIMAxnxW7LwOrIochngc5JVqxWpjAkzkSTGZ0OYIVeBjIEbYTPRCAyJANoWF+GZXWKfUWI3g/ij14914eV9HZiMgqd38ppMU6RGdrNxJt31mRRS0SAqXHo8vLEVT96/Cg0LijATTeF89wTeeJ9GwQzy2BqzxQ5bNgZ7JgyPwwpvgRd2rwsZkx6hGA0OmOGpHNEEEc0kFzAiGQmhpsiER7c04fH7mrGo2EVKF67eXugfx7+8fgwfnBtExlYIi8vL/XjE77ntVkxNzmAuEGaymeUyeiltp/1B1Bca8R+f2ogvbGq+LcLR1pPowqTV4I++/r0CjnbuJhIZBMIRTE/PwOPxwOt1cnlPyx/ZKoBl9BqRq0aEKIm0BjiSFonOIZ8zYf2NIsK4V0OrWqkNLdyQVMV4goEqkXLhQwscVNRC16CR4hG/AAAgAElEQVQFPCIfkHImfxZObzTmXw2eU3/Nv57PYuLvfKjaazT+iAAnHArxjCy3x8HzvGh8jAqG1Y//KcL4T0U4qgTLVQcFOFKAYMSZi6fx4ZVRvLL/Ej7tHGJnOoPZibA/gjqfCV+7bzGe2rwINSVOTj97puL45ZFe/P5IF0b9KegMWdbLrGwqwCM71iAUBd4+cAF9g9PQmezcL+SzGfDoPYvwje2NaC1z8bMZnY3h3ZMDePXAdVwbD8HkNSOR9rO51ZaV9fjmztXYtKgMFmTRNzaHfad6sPeTPgzPJlFRQf1GhVhc5UVNkROlHnFgpFaA8bkoeoYncalvBBf7pjE8Q2V0C09XtSOIHWur8fVdbVi7sAzj1Bn9US9e3ncF4+E0bC4njLoM7KYMasudqKugaEOiHUM6ifoSNzYsXYSW+jImb4l0/81+mjQ5AH/Whiz5NuszqLQmsbrWhdXklbOgBO4CJ9uGBiIRDI9NofPGKFf2ekdiiMMiY5XDs1hc5sCXH2jDl7YuQbFNz20l5wcm8cPfnsJH54eQsRBX5uIhizCYEIuleMyuw6xHqc+CBcUWlHr1sBDPNheBW5/GQ5uWYmPbQn5NLs3n8HxeFXxnm8HnRMv8TW/zuXI4lHLQ+NZgOMID8FxuN3xeD8xmmRnEG55CSAIczseF4OXKSlbGhLAoXtM5EGhoOh059hkQKIyWdgINfDTvXo0HElc/FmKx8EHbvFJ9kNYJxdMop7Rc2qMhkOJ4JC6SPhfqHZknkUWweDvgKE1R3iO4E2wokuIRNuEwA5rH44DDblZApzEv2kX8JQ5HiGOOnFRlRKGlSuBzqjVOC66O+vGbI1fwzrFOjIYMMDqKEI8kUGCM49F1C/D8zlYsqyng6/qkcww/3NOBo1emEMva2AWl0BzCzrsr8eyDq9gb+ad/OI+PLwwjAQcbdJGX8dpGmlSwHFuWVnLVq2cwgF8f7OKpDuMJwOw1IRwdR4k7i6fuW4FnNy9DU6GLUwuKrIbnxJ2wfyyAuupCLFtUgjKPDTY9bTBKoSQNpy73UCKNnnE/9p25hXeO9WBgJsmzuVOhGTRV2PEN8tTZsJj7jags/vL+axgPpWC0mKFLR1BTasMX72/FgxsWidKYjPVB5mQGuHhCahYd/VP4+cF27DnWjYTJhyy5M2YTqHTr8MDKSjy+sQGN1T6RNCi/X9kHaUwFY/i0exK/PnAZZ7uHAYubJSLkK7R5SRX+8cn1WL/Yy6B2dnAKP/r9aXx0fhRpI01BcLAAMEm9Z8kEq8HbGkqwvrUKy+uKUO4jB4MsopE00rEEz4Mv8dB0U5VNaMfWHZWnz9bU/U2Y8f/rxZ8f4CjqhUp1wVAME+OTsNgccHvcsNtNAhJaqZtKfmmxkxAUovKgAhxu7JxPi5iP0apOGmejyEgBHLG+YMKVOAUGMSqFKcWDUqhKz5PcK01tqeV5HClxSsWdRrmoRwNIqRdwFZivTeN1uDkt1xSpJVqKjs5Lt7TIhklu4gkSSUQiEXYb9LjJOJtIUMklOcrJEU1/DnBk4zHgqB6g21+tclLVz0ThxmQoigMX+vDK/nZc7I8hay9lPxVbKogtSwvx9QeWYGNzGaLxBN4kzuPAVfTM6JE1OWFIhNBcAjyzvQmPbmxCMJHCLw5fxjtHejAeNMJgdSGVCqPCl8KXdrTgic2tKLFZ0d41gV+/dxlHLgwjrLcBVlIoT2PFIh+e39WGB5bXoMRKhmB0GNBUSLDZO60jul9UWuZkk21KZG47837kNsBEbgYXbk3j5wc68MHZfvawySRiWOA14+mtLXh2SzPPIfvF0R68vL+TOSRq8dAlg2iosOGrD63Ak5sb4RN9sdiTKK3KmD+GP5zqw0vvXkDvZBwWdwnSyShKXBk8tL4WX97agpYqr1xf/iGjImgSZo7443j3k1789O1TGIuQx44dSCWwsMiM5x5oxdd3LuGneHpwEi/+/hSOnB9D0lgIE/nTZBNIxuZQ4dPhsc3N2L2uAU3lbrj0FG1KuUAbCUTPXpko/BEg/C/kgP9m8PlcAIeDfI3rzQLRRBLDQxPQG8zw+Dx8grPHikR4KsIRwBFiVwCHeBamCFmRrFWK5qMGiRZku2vpkYCFEuUxOazSMNWrpcmycvtYUcDSOiCqLAIaStO0jm+hjERsKEigUiplxC45MRHBMoOKQ1VtPpS6GfmpsVyrXCd9xRNJxGNxNu9yOq1sM6kSOSF+/2rAUXU3rd9HQ0IVnWllNRbs63WIptI4d2McL++/iIPnxxAxFADUtxSdxZJKM762swUPranHxJQfL+05jb3nRhAwFEKnt8CRjWBrSwG+uXsZ7mquQCiZwqEL/fjFviu41BdA2uxEBnGYstPY0laGbz90FxaWFuHoxX68vq8dl3sDyFq9SCEDiy6MXXfV4/ldy9BW44OD+7goJRJJP2lRqLmTfF4iyRQisTTCkQxCpHdJpzgSYvOtNPknZTE6E8Lxi/34tHOExwKlE0mUO414YmMjnru/BU67ET8/0oWfHbiG8YgOehMpjUNoKLfhuQeX4+l7m1CgkzYJIdD0bO7WPRrAa4ev4ueHOxHWOXg965NhLK934emdLdi8bIEM81PPi+gCHtzIcn9umUSMope+Sbzy7nm035xF2uRi4zGPPoYH11TgB89uQrHLgIuDE/jhGydw6Nwo4uZimB0+JGNBWLJ+Hr37vYfbsLLcy0AjI4fp95rY8pMyA0139Fng8r8v4KhMgERtAwMT3PRXUOCFy2VjARMXX3htpTm0VBKr3DRG6UURiwfqKJe9q0UM89yF9ichYVXPCW96JTnn/iWhg1moxXLgfAWvhjUKcNj1T/7l95ZpYop3krSJZ/LlRV58oiiQEsJapXVaBq1FQlp1gNXRIqyLReNsVUEjf+0MxlqDYI6OVmfkn49wtFjstmZU/pH5z8rBgeJ06I7enAril4cv45eHr2M8ZoPF4UYyPIsSewKPb2nCU1ubMTo2iR+9eQqf3gghbvYik0yjxmPC05sX4Stbm9jtj5z7rwzM4ucHr+G9U7cwHaf1r0MmNoW2Oie+/9h6LKwuw1vHr+GNQ1cx7tfD7ChkFXqZI4Ov3d+CZ+4jm1IrK5wphEnR9NFoio3Vh6fDGJ0LYWwuhPFZGlKYxFw4iXAigQQJR7N6ZFI6ZMhOlMakJNII0ERWslyIxlHqIMBpwNe3NTHgvHa0E68cuIzxsB56snVNRrC4zI7nH1yGZ+5tRCEdIFpzn17P4Hz+xjR+tK8Db396EwZHAdtFmLJJLCi0YMlCHypLrEin49KomqWRzgZk06Srka55Uihn9DpMheK42D2BwakoUjoHE8imZAgbFjvxn768CUvr3OgcmcIP3ziOg2dHETEVwmBzIRGdQ50X+P7jG/Do6mqe/gkiurN0s0kdbGHAYZBTotg7I62/OQT5X/wDn2uEozhV7n4eHp7GXCCCwqICFBS4GHC0w5vEbmS0Jf0oRHDSoDTV/EYOdAQ4WsNDLjXRStu3a2REHSykNEvqVWqSE/KpkrykZvMbWtrrpc5NoEWkLVmNslJTa0RjUanMECL4YmdB5pRElE7RjfYvl+hzOljtqWn6B5kQQYCWJGVqhIbgZTi6sdNcK9Vcl4u6clHc7a3982vhDmDSREA5BZDWS6Yydv6YEhXORBPYe/oGXtp7CVdGojA7PUjGorBkYti0ehEe2daMiclx/Pa987gxlUZKb+bqDymIn39gOR5aU4siEq4AGJ6L4q3jvfjV+1fQNR6C3maDLhnFokITnn1oNSoqi/HuR1dx+NMeRLNkQ+lEKhzGimoPvrd7KR5YVcl+O/RYCEQGZyM4dW0UJ9sH0Tfsx2QoxgZYZF5GxCrpvCi6kQxbzZqnsT56HU+ONDg97OMbDoVRzICzCN/Y1gi33YBXj3Ti1QOXMRHRQWe2A4kIGghwdi3HM1saUTQfPEsrRiyFY9fG8eK+Drx/eQRWTyHsRmkjIWP4dCKCbCoE6NgTUESsOpqLQq0deujT4jCtI9MvE82gMgEGO49CTkZSMMZDWF1vwX98+m5sWlYpgPPb4zh8YRxxSyF0FjKtn0VruQ3/5dn7cW9zCQpMYmie1aUYyLgsTr6JyujqTqz4txTZaNf2uQGOnKQSYVA0MDUdxMDgKHyFhSgv88FmIW9YOXzJhBxpcpijjmLeugI4bM5FXsUEN/mRjVyuJuDTeB1NiKeStfl0SyNz1R2X1+URurxoVRSg0iNOjdQwPgYm1ZlOfU+sTFZeN5rojzBCJj7I1AdJvPJ5HNGhMB4yMAngEH8TCpG9OeB022DjmeUSlcwDjoSK7DXymV95gKMIcenpUs2XiudgUynVZ8VibD65szhzcxo/3d+OD87dRFxvkdntmSxqK0vR1FSBQHAGF6/eQDBOB2oatkwMW1ZUM+eyobEUTiUZmotl8OGlIby67zxO9YwiZSEvZj0KjMCaZYvg9nlwqWsAPUPjSNFssHQa9kwKu9c24IVdS7Gi2sUm9xRN9E0EsO/MTfzheDd6hgNIUN2KfoZSHSRgNUiVxma382QObhhUjaHUl0dWHIGkCZG0HtFwECUuA57aJBGOy2rAa0eu4xUaaxshftsCJAVwnntwBZ7Z0oRCsbYTTkwHBKIpfHhlDD9+rwNHO8dh9xawkI8Ej2RrnUrGkU6GaXwfa4S4Z4e0PTSwhZsepRmSq53U4240sNMldc0nIjGYEiEsr3Pie1+6B5vb6tE5Mo1/+c0n+PDiOJI2EliakY1OM+D852fvx+bmMnjILYLcJLn1Q8SzJByU5EHahP4tgsxtUdfn1drAy12dpIQroUgal9o72emvtrYUHhe57GsexSnWQDBw8DaTrlgKkyltkZ4ZzTxIFgJvMUUgC/CotEjlz1pznNx0rXqk/awGMErfclu0I2+k+dfkyzRlbpVKs5QokUCS/eHImY0AR42k0SZcCukrn4qH7TEwEX9jgMGk54oJker0+yjVJGc2jTDWQOevE/5ppNl8P5qWRNK2UXZhXL0y0vhe5ndobI8eA8EE3vi4E68fvIDhmTiM1NCpo6kCJhjM1CEeQzwl1pjpcBDVPj2e3NLCTY4NJW7lnkcCQR06+qfxy0OXsOd0N8YTZhitbliyJHSjGdtGRBIxxLIJZLJxpCJ+1PvseP6BtcyvlDtNbMpGYPPOiS787mgXeibiMDu9bKORTCZJUocqrxFLFzjRVOlFCdl4WK3cMsMpnD6LsdkIjl8cwskr4wgk9UinEyhzAU9tXIjntrVyL9MviMPZfxUT0QzbaSIZxOJyApw2fGlLC3zceyP3jf6JJdI40TONF/ddwf5zg7C6vLDSdIhMHIVuC6pKXfBQyJOOw0T+RjyDm7RdhPziLSOkvjLzYnCUMzHF5fcY6ktceGDTcjTWl+Py8DR++MYpHD4/xtUwMlM3JGfRUmbCD57dhk0MOGLBK4+SOE/qwZL1znozOfX+qq/Pkt/kopC/6h3+vhd9bhHOvDZFNkA4lcWJ01eg11vQWFeO8hIn33AtLcmQ2zxFQ+ziRhGEVKnIO5b4G7EtVKCjRSgcCGitCmI6JCmVOk04ZVJ3XaVWEoDnWv7mxX+CYLnGz1z5WkxfFSmtzMEUI8SPWnG6PDqYRswQkBCoaMaJihlnGNWR0ZaMDyY9BW3AKFl6RmL8czQ6xEwbJ2efoYDqLyqNNZ5GIiH+hCrCkU4j1TIisyiZDBV/LRrhSyN/0zh2bRAv7TmHU52TSBk9MJldHGEmsgmkjTTAz4BUJApzIoj1zSV47oFluG/JAvhsImXVYq9Rfxh7P+3Gzw934NJwDHp7AY/BySTobhFBSwKnFFLxWVjTAWxsrsQLD63DxuYFsBoNmI3EcaT9Jn6y5yxOdvlhdJfzbKZkLAybIY0ltUV4YG0t7l1SgpoCG9tnkomYZqZP/Xvd4wG8fpgG5nVjJkH3M4MyJ/DUPfWKNLbgFx9ex8sHr2KSqlRGIn+DTBp/ZXcbntrSggKymiDAYftZGl+TxbVhP146eBW//qALoP4r4knSQSyt9+LxbUuwrqWK0ytqoaCNzzYTygWBHqqsaymMaNaoFJZQFZVeS6X3AreDxwddGJzAi298ig8uTCBu8nGEo0/OolUBzsbmEvhMVHKkn6cASs9lfPa04TWn2r3/jwCc3OYVwRyNAw1ngVMXbsEfiKOpphiN1R5YjBS9kB8ODQnTIZXKIkk2B5QY0wOiqkNK9VrRs6MlkJvYoNr2bwOKeZRVbhbKVFI4F3FxUkpljQtSGhyNW815lqi3ytmbqiqU2GDQu1DlTCIvPk8oujES4UujTgAT9fexp4jwSBTdGHQpmHUJPgGpXEvD5SPRBAvMHGYTnHZrrnKlleMF7P6Go0rTCan/ih+tAKzEYpprHX8Ivnb6DH1TQfz80GX87lgPxqImWOxuTv1SxJ7R7iGnv7lZVNizePLeJjx9Xwuayj38WTXfaPqsVDU63zuG1w52YN+5IYRhh8Pu4E1Bw+6yND8+HUM6PI5KRwpPbm3Fl7etQl2hh1WzZB3x9vFr+MX+87g5nYWjoBokHk1HAmit9uKp7S3YfVcVqj00skQ7PDR1ug7xVBqXB2bw2v52/OGTWwjpnfy7aQb5U/fU4rltTXBzleoqfnLoMibDBpiMNugTETZuf5bmd9/XzFUqiklUfMzrbnA6hDeIbN5zEeMJPQwuL2LRAOqKjXh6eyue2tiCCjeZzAngaDSQFj1wMpXJcOPpyNQczGYzygo97BVFrxUmjJqeM7g0MI4Xf38S718cQ8RcgKzZhkxsDksrrPjBs1txbxNxOOI3LDYcNJdKHTeavERxgX9f7PGv81OfW4TDyEukKq1rA5lP6nGxaxa3hqaxsMKJpfWF7B2b5JEuZHOp3N91acSJ5ae7SP+fIh1qfdBaHVReLW2XSifDEwlUJEKvzHE0okvglIvtJOYnUwrRqDVXaseAVueRZEYzTb2tpVNrTciV6ak+k5apnTTPnGZqkfE4vb9e3OiELsnCqEuBYYZyf5OVx80GQnGW03scZtht1LD5x0fSX6Nezl8e804uoiXhGemMLgI/NGyOrok2Bv9JB+5G3nvmBn68px0dQ1HobS4YjGSSQOpWPTLEUQT8aKvz4lsPLsOulQtQ6KSBsqrSqNzlifYamg3jzePdePXgFdyYTsDuoZlMRh7dwt40qRhM8Rm0VTvw7UfWYOeaRTzhlK6ybyqMNz+6ht++fwH9c2nYfVVIJMGAs6zGg6/uaMEDq6tQ4qK5sULE8kxyMoNPpTE2E8ax8/1483AHrgxHkLUXIhqLSoSzaRGe39YMl92Anx+9hp8c7MBEWA+j2cnD4Srcejy6uRFPbWtFDU2uZFtXyftpPYTiKZy+OoBX95zGie4JZLyVPBnCkA5jaZUDj21ajF1rFqHMY2eRI3N9asICrXPqeqfrO36uCx8eu4AirwfbNq3gaZ0FLivsJimhUwHhyuAE/uV3n2Df+WFErEXQ29xIRuawtNyCHzxzL7a2FKOIR+eKDan4FIu7ooSceTL6fx3s+Lt+y+cHOIow5Q5wbtoz4tZYAhc6+lBWbMfyxgq4baTeZH8KdjYkvibJpt9kyEVDDmlYmOoi5xRBohplp5Nb7EKuzoOOeIwoBkNzCsxVwueTKmXyom07ReqpBk+VxuTXf7R0RWhtsowkYVgSOn1apP40WthkgFW57HOEwGbVOuIPZRhbKsHfN1ksCMV1CEaSPKjN7TLCyg2bt6uV/7a2CUWsq2UooKJJwfKFYdJ4yv1CAof82U/fnMSLezvwPi3yrAlmm4OrH8QNpCIBuPQp7Fy7EM/taMWaWh9PQBAFHj0bTXAJ+OMpfHx9HD/d14GjHQNIWmwwe7zSZEmWEiE/fLoYdq6sxHceWok1i0rk6NBJpesPJ7vxi/1n0TkWhslXhozOglQsgmJzChsWF2LH6losW1QKt8vOkw9iGSqfJzA44ce5K4M4fuYGekcC0DkKkDbaEA7PodiRwZMbG/D8/UvgcVjw+vEevLS/HYOBpIBrNgV7NsqzsLasrMWapgo4TBakk3FEI2E4LCbUVBTBaDbgwNluvLb3AjrHU8jaijieMaRCqC8Etq2qwIYl1SjzuJhboo1P+qHpUJR7uDr6ZnDi7A3094/CbjTwWN67l1Vj6+p6rGgogctq4sj5MulwfncC+y+MImYt4bJ4MjSD5ZU2/ODpTbivtQg+CqPZv5lSNFOu6qtozL8LAP61f+hzAhxtmwo5S3+Lw4hgDDh8rJ0VoUuX1KCu3AMrEbFECidTbEJF5VByruM0iwk/saiQCEU1mJOYS6l8heDV0ETpbXIFJ+J/8orTLIgTPY023kSj8nPxkfo9vHU5IshvXpB+DLZCoCFmHAWRXWgaeiMNvwN3V1t0WZiIr6Fh78oc20hjTww6WHhyJfEGRsyFkghHkzzzyesyw2SSaOyzmj75cj6r2e62FTIPOBpLJQNPtNZ87W/CJVDOT945RGBTxeraaBCvHLqMd453YSKc4YZBA226VAIx/yRqi6x4dmcbHr+nAbU+C2tLWHDGEaWAFl1jQqdD50QEv/moC28cuYyhSBpGdxEMRgsQjyPtn0aVA3hiczO+tn0JGksk5ZJIK4WzPWP4xcELOHSuF4GsBSZHAQwGIk1jsCQiKHcb0VRbjAWVRbDarGz0NjzpR/fNEQyNzSCVNcJs9yFltLPQLhYJoMSZwWMU4dy3hD1y3j3dj5fePY8rI34YvAUwW41AIgxDLASPUYdKnwd2mw2RcBDx0Dj3cH35gXVYt7QRtwJR7D91A7/Z346+8SRzXsQh6dN+2HUhlHvNqCsr4Hnf1IXuj8YxMhPAwGQQsxGaUGKD1WhGNhxENjiOBV4dHt26Es88uhELCknLk2G/oB++eQIftE8iZi4mW0IgPIcl5Vb852fuxX1LS+CxpFmHw8G63sJ7RHjMeU7tXxtA/tbf9zkCDitYVGlWz9UQCv7eO9aOM1cHUbOwCts3NKPCYeGZU+SjIiI/ymFpggFNN5RohvJerSLF/VX0Om7KFDk/g4Am8lPVLO17LM5TBtKq4J7T24jFaF716zbdiipqM+9zJ3FMkQhl3IrAIMChcbKGLAMOzfKx6kVZym0MNDKFyqBGPawESADCsTQm5iKcGJZ47fA6zTKehTfevH1GrlLwF8FG5YjzV8s/qmJC9b4CDDI5ilIt6ojWulgNbB+693QffnnwPDpuTgEWF8wWB9KJGFKhSaxcXIgXHl2HHSvq4bOSxkQBmVax48UuOqrxSALvnbuJn+49h/aBIHT2ApiIKE+EYSQuotqHr+1ejYfWNaDISh64ktqR/flYMImT14bw1tFL+PRqP8JpC3QWN6CzSqUsEeUyNnFirFyg6Z1xUmobUVdbjrqaSgRCaVzpnsBcJI5UKoYStw5PbG7E17cvRX2JB+d7Z/DL9y7h4Nk++A1W6Gw2SdHSSehTSWTIQS+ZQTIZg90Qxr2rqvCdRzdgy/IGxLLAaCCOI2cHceB4D670z2E2nkGGBJv6DJKkyUnE2RCM7jSt+zTPZTczQW0hhXIiCmuavGusWL+0ClvXNmJ5aw0cJjDgXLw1hhd/d4yjzajRB6PJDn0yhBWVDvyXr96PjS1FcJoI7BXg6MSiQ+OLJF3+t//1OQGOfFAmVdlYWUZc0K35+PINvLr3BCIZA764425sXlwKr83MuhQScqVozlFShprJ2FnRflDqRVENARINOJNpD5pRhRQCtViERVe5Zk0h1HIOf1r/Frv7q5/JVbNk02r6mfnkS9hV8cqi1MHAoTw9XTG5zPBCI/0NTTN0kJWkQSwp6XUENnQCkuk+tS1kEgn09k9gOphCZakXC8s98JBPkEZk/12Ao+kC5lPP2wBHwY9GITO7pcbUUHjBcZDegHM3xvCzvadx5HQ3QkmabW1DJhVHsUuPXRtb8OR9K9BSXsCfTbyG5R5yRxODItdnEE4mcaprCK/sOY1j54eQNji5iqdPUQRgwo4NLXhi2wo0V/l4SryOUwOq4BiQ0hkxG8+ivW8S+z++jNMdNzAZzCCcsSOhI98XPXSUa7Okn9jBGLxOYEVjOe7fsAT1NWW4cLkff9h3AYPjAY6aC10mPLKxGV/ZsRxNVYVsy3n22ije+OAKPukcwmSUPEpJg0TqXTWPXqdnbxybLoQtqxbgO4+uwz2tdbz2SPsSSGTRPRTGifZbOH6pF9eHZhFMEmgST0Zm49IAyikOHUC6LKlyeJxvqcuC5Q3l2HJXI9a0VqLIbVGTJdifAu23RvHibw7jw3P9SJp9MBqtINpq190NeOGRdVhcZoOBtD5ssE4ZgAkZSqs0E/3/0wCHyTJFYhGYEKcYQxZXRmfw//36MC/o1kV1eHpbG5ZWF6Oo0A4jdeSmDcikifsA98fEaGgbjUZVM69ZYUqRpAIYBhI2F9LaHpTWRhloS0olVSoBnXz1n2q81I4FrYjO6KUqO8qMnCtRyjuZlchK3KcR0Qw4Oh0segPsNAKW+ByjiX1t9NzWTB68ScwFo+juvYXeG0MoKyvF3csb0FDmZYDKj2by/XP+unNqnm2Supm8350WF6wFUdUMLplzSqR4HL0Ro4EoPr7S/z+r++7guM/zzGd7R1vsooMACIIg2CkWkBQlsIhF3bKKxyXKOfY5F+fGd5eb3J9XZm7m5u4y+SO5OOdz4jhulGyZKqREkRQlmp0QSZAEKVZ0gsCi7GJ3sX0XN+/7ft/ugrYzsgXNJNBwRAKLX/nK+73leZ8HF64NIhhJwWi2cTNpa0MZNq9sRHtdBTzEv8LGRiuJ0thqXkBi4JP5I23uU1f68XHvfcQSYA/PYc5hcUMZOlc1YWmDD3YrpUnTqh9IKFF588CMRNbALQ29dx+g994E+scTmE7QoSMNnGZjFiZjFmVuA5Y1lxl4HYYAACAASURBVGHj8lq0N/hYMnh4PIQe0s0anEYknoHHaceqJVXo7KhBvdfFY0PcyDeGg/jwch+u9k0hFBPKUvIw2APkUnMGZQ4DNrZXY/fGxWiv86q+OvEMqWwejGdwc2QKF2+P4eZImPXN42lpOCbjRYaZuYhNhEcyoMnvxpq2aixrqUGNl4QFpPFUmpmlYXRgIoTDp67iyt0JNrIEcCSZ5R3rm7C8rgweyp/lqOe/QCMrulXz5XQ/ZVX80y2xz+FTC+bhsBupupZlL+WQMuTQNxPB//zxMex/+zwqKnz46tNdWFpXAuJ7pkF1OzxwWOy8XxK5DBIZ8nRkETIQkJCdFE4pD4oY5jSojv9ehH9h6VH+rMr/6H4mxbLHC0t5N9q5IBIjSbqJxyA8Okpkj4wM8dQwAFAIjCRkIXWkLCyGOa5Q2Y1mdpupTG60EC42jelwCFPT04jFZzEyPIzZmRA2rV6KHes7UF9BBFC64VOWCOdYPlUYVbwKtNFRkIF5BkeMUHESnHM7LFsjDYpE4p0kkqxEFuF4GilyLw1GploodZpQYjXAooTWuF8rL1DIjR58HQFGimufys0hmsjyhqemSnpFymN5HGa4CVGt5E2klscrRrWb0LXJU5KfEENhME70Dilu2KQ5pf1GHgONW4nLxh6Ci6o8RSwE5CVH4jnWSKMqos1qhNNCeTZtksUwBpNZjM0kMTObFJCpYieU5zWyoF+5y4YKt4UJzIVJkQiExaTTc9LTz2YMmIxnEQwnuMOeid80x5LBwKT4pXYrfCU2VDgFryXqU5JZlJGTL3rm0GwSkUSWPSbC5ridFpTbDEygzjBCNvIC4BQaWRVPS1T+L+JrQQyOmg4p2BG5NaNx09x4MhZP4n/tP4G/O3gRJeXV+NozXdi0yo94ModgKAVT1sAAKKuZwqA0u8PEHUv6zJTbEQ1yjdETYyCEXnPIEeG1Qv1ShYiNEwGvVCuCoDzVbFBuSNGasjnkixaXxwtlTQ3+oWvSwuWknNGkyNtlzXEOhyVq52A1mOG0OmE2W2A0GRBPzmIyNI1UKo6KUjOS0QjiwTBWNFVh47Im+EvdeVqLz75KtLtW/C4qI6sMjt4mku3V6WV6fQ0T/A2leXbRlWFgJ7IgoytXV82tguvWJl69zjzNEfmeQovPu5PCSckM05ec2PrK+i3yz5EPINQ21Ro9xUOQZ7HXRQddHtBsj1p2Thn6PH5Jku2K8EOTPeSfm4UYVUm6AOmdD6/QcykqWXJ/jdFRBCf8flTWJy9cY3F4GPhS82GquiRQqDwqz1TJy+TTjYUJ/tRI48++7n6/KyyIwaHlQrY3pbB2DkaiplgsjZr//vH4Nfz1m+dwbziAZYur8MdffxJmZwmufzICr8OFJbV+UQzI0MmYYaNDpNmR2ThiiRSDu5iHhipFJhNMJgv/X6didOJSjJOWShXwnZwpUiLmE5+NjihVciZI5Ya4BYH7ugTNmWf7E/eDtwLllQj/kTSQYH2O+XbpGk67Ay6bA06rEXZzBh5HDuVuCzKZJHpv3sXNG/fQUuXHrg0rmESbTtBCEPT7Tdxv/62C16NXX34/5o9EDYos5H/Etdcrl55Ozao0YbFOQ/GW07Jp8hv0Hx03WrROpzA15aB62qJQdv4AyDM/bBo4rGVLRdlAWk/0TDRHlLuQ3JGWRxXngw4YJZfLN1CSunx7pXMltbU8gECbIS0mJ/NeyE2xt6yMgTaFOj0r36bP0/OllZtBxoQo2YXInp5WAIXKo1OiMNrgcKGBX1x/RtOTKNZJ9TQKbsohqB7xvL3W0/YvIGu8IAaHxovyLzSkNIBUzzBmKd5MAWYX3rtKFJPdOHvlE+QycaxfvxImlwvjYwFsXbMauzetQL2XhNgEmEftDYlUArFYnMnGSWCPjQ7jP0i1ksIsyU2we8lazwYOCUi/KJHOIUVl90wSqXQCyWQCmQwpClKjpWBnHDYHHFYbSNfIYrXAZjFzKGExmYWqQoWFWSLJTqeQS6aRSiUZYxEnzhZKDFNbg9kMs8UCu9mCVCKB4cE+GHIpLFpUxx7X+Y+vIhqJ4alH12H3+qWoLXOKRPwCNNo9vH/zrkS+dlEIq4oNlJzL2tPR7R3a49MAsiI4IVdDCqDGvCHIe/RicDg/xBubezmUQSi68281OFJUK/heSuCO7aIOZ2hDa5y39ht4uxZZM/Et5IuS/NSjp37OCRPikJFsoNxBEc5rniXO+RV5Wxx25gt+8+6kDwx55zTmqIGTDzcaJzKIVNWk3JOGKSjVd+5xIA30QoWJk/EMblLjp0dCkz4pdh0NRaB3ZrOjB6349PpnHlotiMGh6eWhUvkUIyuasmgO88yevjuO775+FO8c+xVSqRgcTjtaV3SgvW0Jtq1djY56ImFKMWze7XSg1GnnJC1vC1Wh0qEVeTqJ5BwyGRLTk4ZR7gHK5tgboj+JVJoNTiQWx3QkglA4ilQqxZ3MVosFLrqHx8OJRafDCrvdCgcZHDIeZGweytmQZyMoHGoWZJkAmC0Uo4s3lIinEE8lMTQ2g57rfRh+MAmr2wN3hY9F0lKxGLZ1NGDnqkbUlDkkf7MAXw+vt/lBgr7BbzM6+rd174g6JvPJAA2u1LkbjcPWpXexHhI6CN6JvR7+toAf+YrFRoYPCOWBiUuSrxHqbZ73sXS/FuebRKu8YJAEoat8VGURtDcrBkfOC2VQituoi2APBZJrCX8eft5iVVUeRd1ErIyQ3vSsKmUQgWm5jiC2NLI7b1Dyb6CMYf7U0Ua/2PBIj6A0ZaoWlfxYK39dO7P5Fy6yvwuwvj6PSyyYwaFkKydchAVBsCW5NGMR+qNZ/PDQSfzgx69hfGiA0Zzb9+3BKy8+h1WLmxAJjGPg7l3miqmtrUZLUx0cdps0RqoyM3dnE2LXLOx7THpFc6Hmiiqb3IdF4Y9UsBmGPpuiJGKBSJofk8pedA6ZAZvNAAsZD/J8qIyrSLj4FFdQeromJUSJiyWRJUZCqdoYsmmEpmcwPDSGyeAMTGY7KryVcHrcSJnMmIhl0Ht7CMlEAl2rmrGtvQY+l1UShQtgc7TJkC1eHEAV7fJ59BUyLvlNnc/RSKgiVQ+FRS5uRn04F5T3ArjJg2V+JEhRKqNF7zfPqeF/SPe0fgqdsyl+LuZnFoCSGCVpA5v3lfcwVHJIhz3yIRUo5Z03HYYUXUJKRPrjheeZNy+FHV1McibPoylJ8uikInUREupTP1cvRgZTJJiL9MY54pTx1reVMG3+LHFOspAf1sFiITFWjMBZgHX1eRgafc0FMjickVXVD111NXGHLGXcQzng4OkefP+H+9Hb04PETAhPPPEEvvPtV9HZ1oR0KomRsUlMToeRIt4YuwextNBHitGxsIFx2Iwo81DFwwqb2cyeAlWKLIrLxkhYCKpIMzkRVU2IW0dmk7x8motMBojMJhGOUJhF4D0jUzJQiZ7UII1U0VAyoVRxIKZ98piCs2mEExnECCMEwd+Yc2nEZ6YxOxPkHE5r8yI01ftQZjdjMhzF0Uuf4N2TF+GrrsUXdm7G+mYfSs1EfrAg9mZeCKK6yB7aQPlpFqJ6FbZoe1Dc6CnZEp02FZugOXJl+YtpUH0NygIYkaVkvfJmJJAqCtF44Iu8B7lMUWOtvqryhlTHtdYWl40tpzx7NPldp3JQtInz5kV5PHqDa5ii2oDKV8jvpcIW1jB1CRQLsW6RB1hk/NQrqBmkCpbyK9nrUUlnXZDQ+mBKwltL9vBIa2lhnpf5BjEfLqlOcx0VFg4KPRfaMOkV9dusTbHZL6wJ/bdig/dPG5tiQ/ibPqknqDjGe+igWBA+nDzNg0wHPxYtRIHI8TI9d6sPf/uD/Tj8ziHExsdRWV2DP/rmq3hh73bU+yrYo7HY7cgYDQymmo5kOGmcTCa5wzoWk7IjYTtsVissZrMQXlO0bDLDZrOxN0RKn8SVwp6KGn9JLkuvFe0N6lhPJAjdTMVdkVnN5LJIJDNIJFNIJVNIk0ZRllCkkrshw0NXsFjMLH3jLfWgxGFDid3CqGGn1cTGj543MDGF7ktX8M6xExiaCGLX3j14Yc/jWFLlZWyGSnd+5oOkcOrlu86KTj19eXHJC4VomSEaGsoyCI+vWGVhYlXd5apjnbddPoQgOoQMg9uEYMqEHNGmMuOcAhbmz2K16PJrVIwPeacykooXWnWz55+WYfrFFBu0W3WQIs8+xweC7HnZLLLxhdJmjmW5KPSl+whqxcCYKfKcpOdO+IwKlSF5SMMcqcQqsn12ndXYFIdheq3zCSahUT6xzOtRrXj+VRWOKlya9uyokKahqzK26kW0n6XZI/n+hWYVNpqKt0ccIWoJEgqVggGVcc+H12y0NEcTfbfIc6TfVxXdeQZZPU6xOZs/FjTAqlKoLsm7nnIpHGSrthflixUv9AXycOQ19KswFoG5b8Tw0NwOTARx+PhpHDz0Pu7f68ODB2PwV/uxomMJWppqsW7VCjyxvQulbhfXOkR4TgxFMgPEScI6lUWcDFAyBRLcSyRIRF7oHQ2kekgnoYlVwsToMSGSCrwZJyRutHDoCGaHkslEaZomwimqYOU3n0wkGTaH1QKPnbApVjhtJq5GkYEhEXkTIUrJ0yJKjkQCF3qu4b1jv0L3xSuc9F7WsQxf+MIz2PLIclSQciUtfkobLkDSWJt3GfeiU6/IJZctIDkVGleB63GRG1Qr42XDYEB1PPDGJVVLMSZZMtAKXWyZywguh9evfIbbJhgjQ5w7hKthng42crJPNSKaFrc0txIWhn5IZwKFHmLRpOOZ/kqtLTR3LHjIxky0xA3EdMckWUSzKR3TtLWIpoF/rmBWZHDSRuFVooVAIkXMocOPQkTtAuIjThl2Rvh56B6KIVF2s2xa3r9UcFBJdLbACmxKHboGatGVd2JICNOSqConv7/ACajZl0degVE1m6Pe1Hr/MEiT6U1UEp7vJxUven+WjGQCdXp/M9sB8urpvURnjcQAiFeZflHyWfkhpvszPYzgp5jdgdIISgG0WH1CcqaCpSIjx8l7Jrqn6xI626xoVWWM2MgTpimbhiWPXRNuoc/F4Gj5FCEUp5sTDJsqObKI7t0fxwenLqDn2ifw1zUwSC44EcCt69cwE5rAls6N+MarX8PiOj8njCl/onmIub+KEbPi8hLpEuVUGCSYznJ1ipLGCfp7Osv8IpxM5mpWcfSvJ1w2AZ8djCYWj4jQoVSpMnPyWPJH1GBJADIbNevlaBHMsZdFgypgNIavcbn97v0ATly4gjuDIzBQ6d5oQnBiAu3trdi9vRNNNV5YSelhgQzOvA6NfHamKH+hUCWcUE+nWAGByvqML6JVqpo5iSrCQQbUREuJNp3UVrK0rlT+hBY6MQfyec6MdiapFNJ9VWFLTnfZvPqUZfoEVk+VCpPmrhZdMbWxaXMzbSYQzQKDE2EEpmbg8zjQXFUOD/VxqcOCCMsFPEd3M0n9hgmtlNdFJGNsSGQL6/4xXpUEpWAcjBQjtC69FDsUxSxJDdHP+LVkEzOVqUWqSqzgysYly89Mu51UJtI5UWqgJl7y7XkWiOBcO0lG5ZlRIzBvdgF7Mn8UDBy2hxJpBGNiJHxuEyoodUBWme2jGGSmF1UtJibysNTzkvgj84BTJZY2PNvHLAzUNKqUbUlSZ3wqjJHhMfi9paivrYSDWB7p7VVUpmFa5CwwiyUbOTJw4pHmvTYysnSgc/LOwB0CD8ajGBgcQNviJlT53OzNPxzkLZyHUxzePdRTRT8anZrBm+8dx49e+wVaO1Zg5669qPT5EY2GkYhF4bLbUOMrR72vFF6HlZURtaQvQ85ZLljpc9NYEsxcM+XxgSM5nyhVjBIp7n8id5E60mnR0ObnBDS7kEKRQfaX0KBUuaLEMSWldeWDaEHl36qHi+db6aJzqTzNxoxlcWMpPJgM4c7AKNNy1NQ3Mj3m0fcP4/TxD7Bn9+P4oy+/gMUNNQz4K0KpfLawSrmUhdCqQI4l3o+cfg+mQzjTcwMXr99FJDkHp5soLB2Iz8aQjsfRUl+JrY+0oaOpGg6rNZ/T1SyCEhhnFapX+Kd1IpOjAe1EEh91ltDitBmNUvlToYzsGnooBTfWOVs2JOQVCWBzLJzEW6eu4VT3dWxY2oDnu9ZhUbW0F5Anm8yKdAxd306AUTaSKgTjthYxKuzhM9OhtBqwnWC+ouIkt1TXiNRfiCOJ8kHlk+TUFNwWzTsZK53gVRU0Dm+oikr9YHw/RedqoA5x8QDlOeRlmfNJy0mr5mOyC6PBKE5fuoVLN4cxNjXL0jPN1R7s7VyFjasW8+HGRlu1hYvppncTj4VVRdjjIaMtDdTkrdF+iMfT7PGQhn00ncSRc1fx09cOY/vWdfjyCzvhdxLpeyE8ZQdVHV7aXOSM1AJCoTR5k1TyN7DXy/tPWZSpaBonTt7CG6//En/46ivYumkxyh0EAJmfr1wwg8N9S8oFY9eRu7tlqdJkkTfy4alu/Jf/8b9xb/A+Vq/fhI2dW9DcshizsSimJgLMgFfrr2Qe3XRyFmWlpfBXV8HnrYTbTf0whC6Wpkmnw8wCZ9zjlKerIEZBCZWkA1vF8TrkV/zE7HoqHmMzeytyKHO3uvKxGclMQL9MFolUBslUioRMEI2E0d/Xj77+QZY0htmMyVAUo+PTqPBXo2P5KmZ2u3T+DH51+F04LHP499/5Y7z07D5UlpdI6EMu9gL19mpjk7f3KrwoznOOh2Zw/tptXLo5iJHALAZHgojFMqivrUJddTmWtlSjc3UTWqrLRF2DDy1aXBSGUDiRwRxpRjFuhRYRbb459iRJCogOBuoPIrmWK3eHcbp3CL4qPx5buxhVHquA8Iljh/h4c2TITXIKq2oVc6+xIkYOo5EkXjtxAx+evooty2vx1d3rsaTOx95ANAVcvDWGUxdvoNprx44Ny9BY7VV5XmlpSOaINoRUOsVLFk9WeRO82+lklkolI2L4IJK8Db23wC2kv548EckFkhcjpznDNBhJDw6jKVQj5kLpjZpjMno+/sizJ8+FxyjLngr129G4cpRERmluDqFoHAePX8Jrb5+Ht7oBy9qbkYhNIzEzja7Oldi5ZQWH7jr8p21G7SJGUoPgcTVydZa8WLonrWd6ONpvt4bG8M67Z7F08VJ0bW6HzZHF2x9142///i3s3fs4Xn15J6qc1JEvhzIJApDqKB0uJFRJulf07olMmufHSQeIiUjVBOpIOTLaH7TXZxJzOHbqFr73N9/Hn3/nW9i5tQ3lLjE4n0tIJfGpPDjnjNm0qTKrOhmu3hvGX/7V/8Phd48ga7Ji6boNWLZyNexEFTA3B7/fh4rSElzt6cH1G71w2O1oaW5C25JWNDY0wGmzIhaLIpNKwOOysyWmyaCEcy6TQjadRk2VH26HTXCyjNOR6gOdiJzpIK8knRadZ/ZepbYuYTyB/0h214REIo7pqWmMT04iNDODVDqJidAkensu4971Xr5+bWs7GpcsZXd6OhRBbcMiVFR40X/vHi6d/hWi4yNYt245/s03X8Vjm9bD47DCwMAzlXD8ten43R0eXrzFqUBtcNSl6PXTc1nmnSGWvzvDIRx45xwntp/ZuwHr1yxm45FMZhCLpRGbjXF+qtTpgDVnQJnLitJSG+LpFCaDUfYQSks9SKQz6BsMYHIyhpISFxobKtgovXfyKt46cQP+mga8sHMtOtsqUWoHJkIz6BsaRzScgt/rRdMiP8rLHBz6TM3E0D8cYLyUwelGz1AcPb392NxWgS89vgwtNeW8ofoDUfz8yFW8feQC6nxleHHfo9j8yGKUuoBwZAY3B0YxHZ6Ft7IcjTV+VJV5uN9KMNLUeGlAaDaB/vuTGL4/AYvBiJZFNVxZJChFYDqC/pEJTAdDKHHZ0dzgR5WvHMmMEZOhBJJZwnjFEQ7PclhZ6najvMQFv1/4jiPRGCYmwzAYLPCWu5EzZHF7eAzDowGUeVxY1lyPWi9R7arWHAB9Y5P4u/3HcbK7H08924V9u9bAZSZjn+b+M6vdxsDXsYkZjIwEkEmksaimHIubqjgcmg7GMDAcxsRUCE6XGc2L/PD73HgQSeONI1fw87c+QNviVrz0/BYsb/Pick8v/mH/e9ix8zE8u28Tk/oP3htBOBRGZVkJljfXo6rcjWg8ifvBKOIZI6bo/9E4FlWVo62xEg6nGZF0DpOhMO72DTGpnL3Ej7ujM3j752/iz/7Vl7BzUzPKnA9rkrJRzmcYf/fVXvQbTA+h413OE6mELTf8Sfw7NRvDuUs30H35BuIZoPd2P6bCYTQ0NKK9owM+fxXKSzycnBoaHMDE+Dji8RhXiQjLYjGZsKx9KVavXsmJ2nfffgvDA/1Y3tGB1iWtcNhIooNUP0cQCYeZxMnpcDLQ0G53sioBPSeFQ+k08Z9kVK5Sck1U/ar0VaK+tg7eijIW65sITGJoeASXe69h8MEIW9KGunr4qqqYQnIyGEE8mcFsIomJiSk8GH3A2YWGGj+qK0pR4bFhx9b12LR6BUqcNqWYSH1Zyq36TKMup7I40aqpVZGAi1dMnl6GFz6d56k5C24MBbH/wGkEJsJ4+blOtC724qPzvTj8q6sIBGPs8aztaEEumUXgQQjrV7diS+cSDI2O4/1jF5h+dNnKdty7H8SVq32MDvdXlKCluRp2lw0Xbwzj3PVxmC12PLq8GttWNWAuk8LVm3cRJD4ggwORaAatrbXYvn0lJ/KPHO/BxxevwOUwwlXmQ99EFhabHa/sXIGXtragrsyOyVgcJ6/exeuHLuJy7xjcdis2rGvDtm2rQXJQJ06ewZ1bd2C3GBGNmeD3NeGZrvXY29mM6lITh759D4J458NLuHC9j3NURMy1vLUOmx5px3Q4hreOXMCDYJg3VCYZh7/Uib1d61FfW4/X3+nGqe4rcDhMaKwugcfjwnQ4C5ujBF97cTtqy4Djpy/j3MVP0Na+Eo2tS9F9uQeDA7dRWerAdDgBl8eLfV3r0LVmEcqIxhXARCSJ907fxj++dYaF/pa2NmHL2lY8uroWLTUuPIilceDDWzh68jxm40GUO0xorSrHc12dcLnK8cOfn8Hw6CQspgRM2STqq/zYvn0LrGUl+N7rH+CToQk2WhvXtWDP1qVAIoSfvXYE2x/fjC1bluPEmcsYGBpjArxgKMzcTv/6ay9jZjaFv/jBG4hkbCj3lGJ2agpuYw5ffm4zuravxJleus5BzEwGUFNdiaTFiTvjUczFIviv33wJuzfUooRYEz4/D6f4ypStlk5g1noySjWD9kAkkcK1W0MYD8UxE0sgGJlFOBpn+VuHw4G6hnrYLBZkkkluQYjHE+gf6Metm58gFAqiqaER69at5e8f2P9TTI6PYe8zz2Lf008yOfXIyAimp0NsVCjUooZKu90Gu51kUCiJR4lA4dvh7l5q9qRyu8UCm52UMJ3wuG2w2qxIJ7OYmpzG8Oh9jAYmYXN5sHjJElTXVGM6GMT16ze42mZ1OmGzOeD3+ZGMxXD92hXcvX0TpS479u7Yhmd3d2FRXTW74FwwVEnVz2ZrCsGU0r5QiVoq7SrkI1dj0kqP24xYzoJr/dP42ZunMRaI4JXnO7G4pQwH3j+L90/dwKLmZrz0zGYsqi7HsSMf4/Klu3hsywps37ES/Q+mcOj9buakrmuoQc/1AUxPh/FY53I8srIF9VXlsFkNONvTh3d+dRcNDdV4+vF2RMbH8N6RswjH4+jatgbV/lp8dK4Po2NTaGn1c3VwZDCA5Yur8eTOlZiYyeDH7/ZiaDSAFx9rw1ceb0ddpRvx3ByGZ5J490w/3jvWg6ZaN764bzXSBgN+dugi7j+Ywiv71mDrqiacuDqKA4evwe8w41vPrcOOja1IZLPovjmEHxz4ECNTUWzdsgab1rShqsyF2dkk3jx8Ad29Q3h0+0a0tXhx5/YAPrl2G2uW1qNr2xbsf+MULl+/gxee2ordW5ciGovil8d60H11EE/v2Yg1y2rx3runEI2EsGrdSgzPAIc+uIztjzTjmS1LceH2CN46fg0dLQ349hc6sWlxJe+PlMGI8XgGZ3sD+OhML6703EQkGMSKpXV4+YUdiGYy+L8/+xA1jdV4Zt9aNFd7kZxJIhmO4djxSzh7bQBfenEvtm1oxMjgEN452I1AMI4/+vZXMR4ewvd++D46li/Dy0+vxyKfDecvXMNr+49g767HsGfPBgQjSczMRBlnduryHZw/dQkvP9uF0soq/NXfv43la9bhxafXY3p0GL987SQqypL49p+8hL/4/incuTeGV5/biOd2r8Ht0Sl8/61u3Lh6Bf/tWy/jqY3NKCf2uc/L4Ogcgq4k5jNRKpmgKSOo3DabzqH7ci+6r93A2EQQVpuDN8vI6AOOd+vqFmHZsg7UN9QzJiYwEUBsdlYaNnNZWMxZDA6OoPtcN2qqq7F7zxOw2u3o7+9HIDAOt8vNm9/ldvMpn0qnmKc2Fo8hkUgglU4jk8lwaEV5B0EnU5wsiU2r1QK7wwm3y8VGkMnE5qiSkGUxs4b6OlR6yzE1MYHbNz9BJBJGtc8Pj8uJ/nt38UlvD+xmA3Z2bcWTe3ZhUbVfEq4cai5k9kaVahWyRVLepJamlOo4gaiRRmRwTLjaF8RPD5zD+HQYrzy/AfV1Thz64GPc6Q9g24YOPLd1BQvj/eLQaVy+fBvbNq/CY4+vxO0HQbz53gVuWdm7ayMnjs92f4KR0SjMRifWtPmx/ZFaBIIBHDh5nY3XvsdX4+at+/j5wXOYDMexbEUL/N5yhGcSMFEDq9GA+8NjcJuy+GLXcuxc24r70TR+fPIOPrpwE48t8+MPdqzA4hovJ2UnE3N4++wADhw+jzXNHryyaxVGJ2fwD4cuwlPmw7/98na0+WzoHQvhR8eu4P7ACF58tAMv7nqEB39iNoWeWyM423MT/SNTMJtcMFjAdQAAD1hJREFUaF3SDH9VObov30Lv7QGsWLMMvkoXoqEQcrEYlrc2orm+AUc+OIdcNoJvvNiF5Y1VCKUy+Pj2KH559DzGJ2ewqLEJsxMT6Nq0BFUNPrxx4jreP3UXW9a0YXlDCSajKQxPzaKtrhxf3NyKdU1e1rQiZYtoao5pQuaMZoyMx3H0+FWcON0Nb00lWpa04+LHl/DKC1uxb8tSlBgMmE1ncP72ML77g8OwO+34j998CmsafBgNxvDjI5eZlfArX3sO/vIwvvfdX6Bz/Rp85Zmt8LgseO/kJex//Tief3ovmpr8OH/hJqKJNGyl5Rh4EEZ//xB2PLYS1T4f9u8/iKf3Po6Xn1+F0ZEpvPbGaYxNDeAPvvES/vtfH4PfW4d/98U16FpSjulEBm9cvIv/892f4M+/9RL2dXag0m79/JLGv25wdGJBfsJ5dRa5U5sbwNCDAM5cuISPL1/B0PAoA+/cpZWwl/pQVlmFikofex60UV0uF3w+yfFUeq0YHw8iEJhBSYkbubkUrl29BpvVDm+lFy6HS0rbDCKjknUWyVSCw7IEaVNTSJXNMgaHS6JEB0kJQvKGHA7YnU643B54PB5OAFMD6djEBCanQ5xg87gIT5PDVGAMo0P9mBwbRSwcZGLuuiofHn90I3Y9thWN1X4YOMmmwp1Csfj34L55+KzQiF7VlJgH/5Pqo25qlJCKddEpL5U14urdSfzoFycxNhXBV17ciro6Ow68dxq3+h5gx5Y1+OLj67j6c+DwObx//BIam+uxYm077o4GcObsFTTWlOOFpx5FZUUZwvE53BsK4/3DZ5EKDfMpWl3nwxvHLyFrcmLPY53IJo348EwvRmdCeKSzHYub6zA1MQNvmRO+Mid6Lt7Gxx/fQn11JbZvbEM8lcCbp25gYGQSX+xaia/tXoNGXym/AxFfHTx9Cz9+8yNUuoz4wq5NcJSU4ejZ65wf2riuFR1LGtHbN45zl25ikc+JV5/ciK2rWri5OBSLY2h8GlOzadyfTOHU2RusDrt6bQecHg8uXLmFZata0d5Wi3Q0BlMyieUtPmZs/MnrH8DpMOJbX96NZY3VvG6mwlEcPNWDv/mHI5iYzuDJnY/gP3y1CxanBd99+zwOn76NLes7sHfbSkyFoqzmuarZj42LSlBmooMgienILM70DOLW4Ayq6+tgd7vw8ZU7uHLlFpa01mLNmpU4cvgk3C4H1q9tRY3fI2ySFitOnLmG891XsWfXJqxc0oCR0QBOXb6N1JwVf/L1lxCLjOAv/+KHqK1pwBee3YXW1ipcutKL/T87jp3buzAZiuPU+UvYsWczNm1dhw8/uogj717A07s7UeevxE9+9Bqee3onXn5xEwaG7uOnrx1FMDKBP/2zb+DvXr+Ia1du4umNzdjbuQz3JxL4xQdXcfXaJfzn//SHeGJTOyptZkGrFy3dhcvhFF/01xypgjniqj6XCQWBTA80HYni3uAIAoFpmBwuBGI53BuaxlQojGh0FplMGk6XE+Vl5UwgRajiivJyOFxObsjkfEwmzd8rKfUIr/DcHMvI2g1Gbn2QigiBwdQf1RNFBEzkVc0yDUZGkX0R7WkakXAEoUiYK1TxJCULZ5BKxpikqdTtgLfMA2+JEzYkYTfNYUlzMzpam+AtcTHVhZBqSbVLUmWKsIpIv36rjO+nDLSKy1OM0SjCJeS7DiXDI1gZIxOb3RqYwrtHP0YwnMSTe9bC77fh2KlLuDs0ibWr2/HEhmWo9Dhxc3AcB45ewsVP7sNod8LmIErUNFa01aFjWTPuDU7hdl8Ac1kjjJkkWmud6Opsg83txBsf9ODk2dtoqa5BV+cqOFwWXO0fwWAgzG0splwca1cswo7O5UjGU3j/w2s43X2HDX+lz8v9ak6bEU9saMbu9S3wl9uZYTCVM7MM8JtHz+P0hRuorqnDEzs2o7LCgzMXrzL1ZzJngdtkxPLGUjyxeQk2LW9kMi3K4YyMh/DB2Wu4dvcBMkY7e7WVXgc2PrIUdqcbH5y9hTvD01xRs2TjaK0pwRNblnN5/+Dhc7A7zXhh32a0VHnZb4+nMrhyZwQ/e/sc7gyH8dSezXjh8TaWpbk4OIUTFwcwNDQNC4Eu01Esqi/H3q0r8MjiKhDHIa2LcTZat/DG0VuYiBlgcRrhsqawusWHF3dvQG1NBc5evodDx3sweD8Mk8WKtuZKPL17HbylNhw4dBrXbo6xXLLRlEVLQzmef2IDHl3ZhqHxEH74k6O41DuCJe3teHL3WlgMYRw81I2NG9bA7nHh/bM3Ec840FBTi2wshODoILauXQFvqRtHj36EdevXYsfO5QhMPsDBd08hHp3En37n6+ifTOOtdz5C3407cFsc8JT4EcsQNCXBB9mW1XWo+DwNzqfbJgVoOZM/ZaV8yDBzVW2hGk4sR1WNJELhWcyEwwiGZjAxFcbE5BRmZma4HEu5GWLIJ9ZAqgyRRzIbiyEcCbOnY7PZYbWauSJAZVtKZ1C5M53OcBKaSLgT9CeRYA+GDAx5M6z/nU6xBjgljYmfh6pY3rJSVFVWoLzECW+5B76Kcvi8FWx0yuwm2FTIxLzLnEAX+Dy/GyFfOaclnDv057d1vXy6cdQlqHxXQh7eokNaoS5Q6FAGiglGJZbMYSoUZwxRRbkDZrOBKzuzqQycbicq3HY4zYLEGAvFcXt4GuFkig15uceJErsJdosJ06FZDN4PcCuIv7ICi+srWDuKjNtIKInbfeNIJeJobajk/E44kcadgQBCkzOoKHWivsHHhoLGezqaxsDINKYnIygrdcPrL2cMVIl1Dl6XCXYzYWUIDW0Gif8GInH0DQW4S7+uphL1NeWYTaVxfXAaY4EQqipK0L6oEtWlVm7fYGwJMUqms7g/NYN7I2MIxxKoqKhAc2MVvGUODtmmoincG5rE1FQQZU4bFtf7UestQS6TxnQoxke1v8IFF6mlKg7taDqH+6EEZpI5+CucqHSbYCeMCnlUiQzujYQwNDQCj0uuV+8vhYfWpMLVUIWT+JXvjEUxMBpgEveG6lJ0NPpQX2LncjsB9gYCs+gbnuR1Wl9VhqbaMlS4rJhNZnDzXgD3J4Jwl7jQ2lzNSXZuVcjNYXIqiTt9Y8zdVN9QifIKJ1e23G47HB4rBh/MYuj+JNO01vm98FiMcBHC3mREMByG0+OEu8yOVCaNUDCCuUQcjY1+wGzB1GwWd+4OcYW2wlsFv7+K+bC9HhPKad44Zzn/a8E8nDzQVV//N+4oKZ1T3V5Iswyi0EC5B0aB5hHu7PkoPBJ/fzaV5Y2hjUEsLuERgbmMFiqvmjAzM4toPA4z0X1azUxmTqTmDNzK5hhbQGEUAb2y1MpAuRzO56T5e1TRKvU4GExGhoK0pGx2G09GqcuJytIS1isS8Xj5kmfW6F6B00uuRqpQ9HP2qhQ2iHAbDOn/nSzLb/iw9nAUdL1Afid9VdxxrbW7dHsHcwfxy0kfkshYKGCwFNe5l4pw6uwUiUStLrsXtwjq95cskron18IYxcOYHWlRkXeV/jGNEGRRXab3pGICgTK51yl/7DBIQepv9A5MUC7AT8K8cEjBDyBUpwzkVLgZ6cRiX5JRaUamwFHeH0PDZc6KDzgyNnwYKOT4vOZa9WFhFFEGnFsvFC0CtdKodSB4ag06FKwOo4N1WKEOIlovhEPSbfBZI6k8yDPJONHFRXCRGlCohSFPxVG87hQeSDAo8kiaDYi+Y87feP770r/o6vQcBMykvcaUsTxrKv+nkd2E6lbAWvosv2suqShqVduMYiGi+5NCCe/dTEYYHUh8oOhrYQyOLsHmL1zYkUWOvuIM1vUq4QoWgyM4GQYKUsWIFQJopfB2kKtyy8T8Vn7ezHpq2IPJcWOmrA1BddIClcfTiopiTDTnEqPTVa6HStVmE3WgFwzC/DmTihZDrlTTm/65DpkYsUqnFy1KjZBm0KogQQXSX/Dq5s3G7/KPhwwOK56qDahJJtiP4h+orm2tuMAoN6VVxSA/Ao1R8pw2OCXmBXHLMse0QRVdRB41yu3LepA0T43CMhFShwUDCf1qREZpbNN+ElVQFf0Z0nL4kEUzWtQBRAZPgzKFrJjh+nMkQkhehYJ+ayPI+CmlrsoqEIIoF/yXiZGxRobEKkSsiMAX5Ix4GPQ4SC+VcDcr5K3qxWNaCbbByigrA07hPI1RoY1doZHZu1SSLmT0LErUV/j/pfeKKqg5aqCl1gmaIkJvi+kigCnBO1h8kQwAay/rfaCejb0oIe2S9STZEl6P3E6h1Tg1C6I8O/WypelAIaI5atNh6lSFjFVUJppChCR8RPxIKDXMND70GGKB5DAy0TxLjxvb19wcrBlxHogPXDHZFSzDguBw8gZHm5eiTu1i66a9AQN5GyIzIpIy+pUVBUEuzVK5edw0LwC93GnTSxKavCQmPadeF0r68tmgThYeLHWCf5oARtIdCrtSRPOmjBVfS4nASZJZXZ8WC3epqp7F/Pkp6Fo2fypfw5PAns9n9m8KxzR7ONIBrfE4/Cx5jhzaUGREyEgKWlbIsWR8BRZJcyH80PxZbjjUtBI0tmpM881b4gHxmCgqDxEuFFosRtsyH7V0bs+ZpCtZn+B5BVPu0aFigmqXEF0e6WPilgGC1LMrQVqX0uipNi03eepp4ucjoT/dZyRSRSbq5VPeWp5Thx1rek8yUKQvppp5FUBUDLRab6rJlw0x3ZhfW9pkhUJCiM1lHKRPjMJ8HpscwTKUBhij1mWNkjgACd0QCNFmzKkNLzNGoErxCim/k+FD106aVtTUVuRm8kbn95dvyhwqTiRhMuW+MfHmyEsi9k2aX6GKJXGCuTkhtSeAIbVSCCm7mcfFaM6yTckaqA9LdpV4XsrSK9JEPvNMGeToj9p3jKHPUO+bcuMfqowvjIej9mmxg/O7HNb6swVvQlncf/IietPqo/4zbmJtK/+pe2rKtzwrnnx4vsRLketRcKbVVfM+wu8zPL/+O2rA5NGL71tcGZh/z4dfUznJ6vfZldT0VXzVws/1Rx6KlR9i8lbBZf7Q56cq6rkphCtaQUPdpYgOQ99XzKgcG5rhr3it6DcufkP9G/M+P8/NLr6CXmfF7/QQD7P+eNFHCmOoO/T1ExcOxcJ8KOOu1oImsJB30n1L+l8FMi9V11U8QL9hbc9ntJhPT6EbnHQYqIhitOsmx4dcs6BTy+GAmnAJzBSHY760nb9c8UpU8y+zpEwx8wAVfRWN3f8Hx3eaAinxniUAAAAASUVORK5CYII=">
          <a:extLst>
            <a:ext uri="{FF2B5EF4-FFF2-40B4-BE49-F238E27FC236}">
              <a16:creationId xmlns:a16="http://schemas.microsoft.com/office/drawing/2014/main" id="{D16B47BE-9CC3-4CD2-8E38-CA604E5C4F67}"/>
            </a:ext>
          </a:extLst>
        </xdr:cNvPr>
        <xdr:cNvSpPr>
          <a:spLocks noChangeAspect="1" noChangeArrowheads="1"/>
        </xdr:cNvSpPr>
      </xdr:nvSpPr>
      <xdr:spPr bwMode="auto">
        <a:xfrm>
          <a:off x="5575300" y="95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170961</xdr:colOff>
      <xdr:row>0</xdr:row>
      <xdr:rowOff>136770</xdr:rowOff>
    </xdr:from>
    <xdr:ext cx="1993817" cy="609419"/>
    <xdr:pic>
      <xdr:nvPicPr>
        <xdr:cNvPr id="2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E8EF73B9-DBBB-43B1-88D5-FDA52F8CCEB2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32615" y="136770"/>
          <a:ext cx="2037080" cy="57912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133350</xdr:colOff>
      <xdr:row>0</xdr:row>
      <xdr:rowOff>165100</xdr:rowOff>
    </xdr:from>
    <xdr:to>
      <xdr:col>9</xdr:col>
      <xdr:colOff>248920</xdr:colOff>
      <xdr:row>3</xdr:row>
      <xdr:rowOff>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1DF38671-3FF2-46CA-801F-EDC3B3AA927D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74150" y="165100"/>
          <a:ext cx="2037080" cy="57912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736600</xdr:colOff>
      <xdr:row>0</xdr:row>
      <xdr:rowOff>127000</xdr:rowOff>
    </xdr:from>
    <xdr:to>
      <xdr:col>10</xdr:col>
      <xdr:colOff>1316356</xdr:colOff>
      <xdr:row>2</xdr:row>
      <xdr:rowOff>209550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3284E53E-AB6C-42D0-AD52-B1573CEC9D78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81050" y="127000"/>
          <a:ext cx="2037080" cy="57912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1708150</xdr:colOff>
      <xdr:row>0</xdr:row>
      <xdr:rowOff>158750</xdr:rowOff>
    </xdr:from>
    <xdr:to>
      <xdr:col>18</xdr:col>
      <xdr:colOff>1905</xdr:colOff>
      <xdr:row>2</xdr:row>
      <xdr:rowOff>229870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E72C1139-5DA3-48E8-B461-13781DFB5C68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48500" y="158750"/>
          <a:ext cx="2037080" cy="57912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1714500</xdr:colOff>
      <xdr:row>0</xdr:row>
      <xdr:rowOff>165100</xdr:rowOff>
    </xdr:from>
    <xdr:to>
      <xdr:col>17</xdr:col>
      <xdr:colOff>1036955</xdr:colOff>
      <xdr:row>2</xdr:row>
      <xdr:rowOff>236220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445DBE01-2218-4AA0-B7A3-B3B7868395D3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54850" y="165100"/>
          <a:ext cx="2037080" cy="57912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1689100</xdr:colOff>
      <xdr:row>0</xdr:row>
      <xdr:rowOff>171450</xdr:rowOff>
    </xdr:from>
    <xdr:to>
      <xdr:col>18</xdr:col>
      <xdr:colOff>1905</xdr:colOff>
      <xdr:row>2</xdr:row>
      <xdr:rowOff>242570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E2D6A2BA-D658-4C9B-9369-84AB013B9425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29450" y="171450"/>
          <a:ext cx="2037080" cy="57912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1708150</xdr:colOff>
      <xdr:row>0</xdr:row>
      <xdr:rowOff>152400</xdr:rowOff>
    </xdr:from>
    <xdr:to>
      <xdr:col>18</xdr:col>
      <xdr:colOff>1905</xdr:colOff>
      <xdr:row>2</xdr:row>
      <xdr:rowOff>223520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F911222A-2AD2-402C-8ED7-B7883BAA0845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48500" y="152400"/>
          <a:ext cx="2037080" cy="57912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1739900</xdr:colOff>
      <xdr:row>0</xdr:row>
      <xdr:rowOff>171450</xdr:rowOff>
    </xdr:from>
    <xdr:to>
      <xdr:col>17</xdr:col>
      <xdr:colOff>1033780</xdr:colOff>
      <xdr:row>2</xdr:row>
      <xdr:rowOff>242570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0CC909B3-2B45-44CA-8F7C-BB37E1DB394B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80250" y="171450"/>
          <a:ext cx="2037080" cy="57912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1708150</xdr:colOff>
      <xdr:row>0</xdr:row>
      <xdr:rowOff>165100</xdr:rowOff>
    </xdr:from>
    <xdr:to>
      <xdr:col>18</xdr:col>
      <xdr:colOff>1905</xdr:colOff>
      <xdr:row>2</xdr:row>
      <xdr:rowOff>236220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45A18442-FF64-441A-93A7-0B0EA6133B8B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48500" y="165100"/>
          <a:ext cx="2037080" cy="57912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10</xdr:col>
      <xdr:colOff>76200</xdr:colOff>
      <xdr:row>0</xdr:row>
      <xdr:rowOff>0</xdr:rowOff>
    </xdr:to>
    <xdr:pic>
      <xdr:nvPicPr>
        <xdr:cNvPr id="2" name="Picture 1" descr="100856 - Logotest">
          <a:extLst>
            <a:ext uri="{FF2B5EF4-FFF2-40B4-BE49-F238E27FC236}">
              <a16:creationId xmlns:a16="http://schemas.microsoft.com/office/drawing/2014/main" id="{84B2B8FE-5F9E-4875-9B35-F543D000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81800" y="0"/>
          <a:ext cx="1733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590827</xdr:colOff>
      <xdr:row>0</xdr:row>
      <xdr:rowOff>154609</xdr:rowOff>
    </xdr:from>
    <xdr:ext cx="1993889" cy="601799"/>
    <xdr:pic>
      <xdr:nvPicPr>
        <xdr:cNvPr id="3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2FD7E0C5-F7C4-4B0F-8722-F0857FC5FA3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56877" y="154609"/>
          <a:ext cx="1934652" cy="59182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463550</xdr:colOff>
      <xdr:row>0</xdr:row>
      <xdr:rowOff>177800</xdr:rowOff>
    </xdr:from>
    <xdr:to>
      <xdr:col>9</xdr:col>
      <xdr:colOff>211455</xdr:colOff>
      <xdr:row>3</xdr:row>
      <xdr:rowOff>1270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BD12B3D6-EB48-4794-A918-7FB77B226E26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16950" y="177800"/>
          <a:ext cx="2037080" cy="5791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736600</xdr:colOff>
      <xdr:row>0</xdr:row>
      <xdr:rowOff>177800</xdr:rowOff>
    </xdr:from>
    <xdr:to>
      <xdr:col>9</xdr:col>
      <xdr:colOff>287020</xdr:colOff>
      <xdr:row>2</xdr:row>
      <xdr:rowOff>245110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3ED436AA-9D9A-4122-8F83-D19EE44DC5A9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64550" y="177800"/>
          <a:ext cx="2037080" cy="5791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701261</xdr:colOff>
      <xdr:row>0</xdr:row>
      <xdr:rowOff>160130</xdr:rowOff>
    </xdr:from>
    <xdr:to>
      <xdr:col>10</xdr:col>
      <xdr:colOff>167640</xdr:colOff>
      <xdr:row>2</xdr:row>
      <xdr:rowOff>231250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B5620C54-7D9B-49AB-9CB3-223EF95FFFC8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58087" y="160130"/>
          <a:ext cx="2037080" cy="5791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261470</xdr:colOff>
      <xdr:row>0</xdr:row>
      <xdr:rowOff>164353</xdr:rowOff>
    </xdr:from>
    <xdr:to>
      <xdr:col>9</xdr:col>
      <xdr:colOff>301999</xdr:colOff>
      <xdr:row>2</xdr:row>
      <xdr:rowOff>244998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F18CE4B3-6974-43F8-8082-20E225DCA0AC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54882" y="164353"/>
          <a:ext cx="2037080" cy="5791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273050</xdr:colOff>
      <xdr:row>0</xdr:row>
      <xdr:rowOff>139700</xdr:rowOff>
    </xdr:from>
    <xdr:to>
      <xdr:col>13</xdr:col>
      <xdr:colOff>549910</xdr:colOff>
      <xdr:row>2</xdr:row>
      <xdr:rowOff>207010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1A4E7419-ECA2-4824-AF7A-F043BDCC33FA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04550" y="139700"/>
          <a:ext cx="2037080" cy="57912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158750</xdr:rowOff>
    </xdr:from>
    <xdr:to>
      <xdr:col>9</xdr:col>
      <xdr:colOff>551180</xdr:colOff>
      <xdr:row>2</xdr:row>
      <xdr:rowOff>229870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2DEADDC0-0E32-4EB0-9046-3646C42FD4BE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2300" y="158750"/>
          <a:ext cx="2037080" cy="5791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179294</xdr:colOff>
      <xdr:row>0</xdr:row>
      <xdr:rowOff>164353</xdr:rowOff>
    </xdr:from>
    <xdr:to>
      <xdr:col>9</xdr:col>
      <xdr:colOff>289360</xdr:colOff>
      <xdr:row>3</xdr:row>
      <xdr:rowOff>1158</xdr:rowOff>
    </xdr:to>
    <xdr:pic>
      <xdr:nvPicPr>
        <xdr:cNvPr id="2" name="Picture 1" descr="A picture containing text, light&#10;&#10;Description automatically generated">
          <a:extLst>
            <a:ext uri="{FF2B5EF4-FFF2-40B4-BE49-F238E27FC236}">
              <a16:creationId xmlns:a16="http://schemas.microsoft.com/office/drawing/2014/main" id="{4B9FD432-0724-4FD9-9CFE-561A8B169758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19235" y="164353"/>
          <a:ext cx="2037080" cy="579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7948F-8DBD-4971-AA92-C07B0370F4F6}">
  <sheetPr>
    <pageSetUpPr fitToPage="1"/>
  </sheetPr>
  <dimension ref="A1:IK32"/>
  <sheetViews>
    <sheetView tabSelected="1" zoomScaleNormal="100" zoomScalePageLayoutView="85" workbookViewId="0">
      <selection sqref="A1:XFD1048576"/>
    </sheetView>
  </sheetViews>
  <sheetFormatPr defaultColWidth="9.42578125" defaultRowHeight="12.6"/>
  <cols>
    <col min="1" max="1" width="7.42578125" style="192" customWidth="1"/>
    <col min="2" max="2" width="61.42578125" style="192" customWidth="1"/>
    <col min="3" max="4" width="13.42578125" style="192" customWidth="1"/>
    <col min="5" max="5" width="6.5703125" style="192" customWidth="1"/>
    <col min="6" max="6" width="11.42578125" style="192" customWidth="1"/>
    <col min="7" max="8" width="6.5703125" style="192" customWidth="1"/>
    <col min="9" max="9" width="12.5703125" style="192" bestFit="1" customWidth="1"/>
    <col min="10" max="16" width="6.5703125" style="192" customWidth="1"/>
    <col min="17" max="28" width="9" style="192" customWidth="1"/>
    <col min="29" max="16384" width="9.42578125" style="192"/>
  </cols>
  <sheetData>
    <row r="1" spans="1:245" s="191" customFormat="1" ht="20.100000000000001">
      <c r="A1" s="239" t="s">
        <v>0</v>
      </c>
      <c r="B1" s="239"/>
      <c r="C1" s="239"/>
      <c r="D1" s="239"/>
      <c r="R1" s="192"/>
      <c r="S1" s="192"/>
      <c r="T1" s="192"/>
      <c r="Y1" s="192"/>
    </row>
    <row r="2" spans="1:245" s="191" customFormat="1" ht="20.100000000000001">
      <c r="R2" s="192"/>
      <c r="S2" s="192"/>
      <c r="T2" s="192"/>
      <c r="Y2" s="192"/>
    </row>
    <row r="3" spans="1:245" s="191" customFormat="1" ht="20.100000000000001">
      <c r="A3" s="238" t="str">
        <f>"ANNUAL RETURN INFORMATION REQUIREMENTS "&amp;_reportyear</f>
        <v>ANNUAL RETURN INFORMATION REQUIREMENTS 2023-24</v>
      </c>
      <c r="B3" s="238"/>
      <c r="C3" s="238"/>
      <c r="D3" s="238"/>
      <c r="E3" s="237"/>
      <c r="F3" s="237"/>
      <c r="G3" s="237"/>
      <c r="H3" s="237"/>
      <c r="I3" s="237"/>
      <c r="J3" s="237"/>
      <c r="K3" s="237"/>
      <c r="Y3" s="192"/>
    </row>
    <row r="4" spans="1:245" s="193" customFormat="1" ht="15.6">
      <c r="A4" s="232"/>
      <c r="B4" s="218"/>
      <c r="C4" s="218"/>
      <c r="D4" s="218"/>
      <c r="R4" s="192"/>
      <c r="S4" s="192"/>
      <c r="T4" s="192"/>
      <c r="Y4" s="192"/>
    </row>
    <row r="5" spans="1:245" s="193" customFormat="1" ht="15.95" thickBot="1">
      <c r="A5" s="232"/>
      <c r="B5" s="218"/>
      <c r="C5" s="218"/>
      <c r="D5" s="77"/>
      <c r="R5" s="192"/>
      <c r="S5" s="192"/>
      <c r="T5" s="192"/>
      <c r="Y5" s="192"/>
    </row>
    <row r="6" spans="1:245" s="193" customFormat="1" ht="20.100000000000001">
      <c r="A6" s="236" t="s">
        <v>1</v>
      </c>
      <c r="B6" s="235"/>
      <c r="F6" s="77"/>
      <c r="Q6" s="192"/>
      <c r="R6" s="192"/>
      <c r="S6" s="192"/>
      <c r="T6" s="192"/>
      <c r="U6" s="192"/>
      <c r="V6" s="192"/>
      <c r="Y6" s="192"/>
    </row>
    <row r="7" spans="1:245" s="193" customFormat="1" ht="20.45" thickBot="1">
      <c r="A7" s="234" t="s">
        <v>2</v>
      </c>
      <c r="B7" s="233"/>
      <c r="Q7" s="192"/>
      <c r="R7" s="192"/>
      <c r="S7" s="192"/>
      <c r="T7" s="192"/>
      <c r="U7" s="192"/>
      <c r="V7" s="192"/>
      <c r="Y7" s="192"/>
    </row>
    <row r="8" spans="1:245" s="193" customFormat="1" ht="11.85" customHeight="1">
      <c r="A8" s="232"/>
      <c r="Q8" s="192"/>
      <c r="R8" s="192"/>
      <c r="S8" s="192"/>
      <c r="T8" s="192"/>
      <c r="U8" s="192"/>
      <c r="V8" s="192"/>
      <c r="Y8" s="192"/>
    </row>
    <row r="9" spans="1:245" s="193" customFormat="1" ht="12" customHeight="1" thickBot="1">
      <c r="Q9" s="192"/>
      <c r="R9" s="192"/>
      <c r="S9" s="192"/>
      <c r="T9" s="192"/>
      <c r="U9" s="192"/>
      <c r="V9" s="192"/>
      <c r="W9" s="192"/>
      <c r="Y9" s="192"/>
      <c r="Z9" s="194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  <c r="BM9" s="194"/>
      <c r="BN9" s="194"/>
      <c r="BO9" s="194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4"/>
      <c r="CF9" s="194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4"/>
      <c r="CT9" s="194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4"/>
      <c r="FB9" s="194"/>
      <c r="FC9" s="194"/>
      <c r="FD9" s="194"/>
      <c r="FE9" s="194"/>
      <c r="FF9" s="194"/>
      <c r="FG9" s="194"/>
      <c r="FH9" s="194"/>
      <c r="FI9" s="194"/>
      <c r="FJ9" s="194"/>
      <c r="FK9" s="194"/>
      <c r="FL9" s="194"/>
      <c r="FM9" s="194"/>
      <c r="FN9" s="194"/>
      <c r="FO9" s="194"/>
      <c r="FP9" s="194"/>
      <c r="FQ9" s="194"/>
      <c r="FR9" s="194"/>
      <c r="FS9" s="194"/>
      <c r="FT9" s="194"/>
      <c r="FU9" s="194"/>
      <c r="FV9" s="194"/>
      <c r="FW9" s="194"/>
      <c r="FX9" s="194"/>
      <c r="FY9" s="194"/>
      <c r="FZ9" s="194"/>
      <c r="GA9" s="194"/>
      <c r="GB9" s="194"/>
      <c r="GC9" s="194"/>
      <c r="GD9" s="194"/>
      <c r="GE9" s="194"/>
      <c r="GF9" s="194"/>
      <c r="GG9" s="194"/>
      <c r="GH9" s="194"/>
      <c r="GI9" s="194"/>
      <c r="GJ9" s="194"/>
      <c r="GK9" s="194"/>
      <c r="GL9" s="194"/>
      <c r="GM9" s="194"/>
      <c r="GN9" s="194"/>
      <c r="GO9" s="194"/>
      <c r="GP9" s="194"/>
      <c r="GQ9" s="194"/>
      <c r="GR9" s="194"/>
      <c r="GS9" s="194"/>
      <c r="GT9" s="194"/>
      <c r="GU9" s="194"/>
      <c r="GV9" s="194"/>
      <c r="GW9" s="194"/>
      <c r="GX9" s="194"/>
      <c r="GY9" s="194"/>
      <c r="GZ9" s="194"/>
      <c r="HA9" s="194"/>
      <c r="HB9" s="194"/>
      <c r="HC9" s="194"/>
      <c r="HD9" s="194"/>
      <c r="HE9" s="194"/>
      <c r="HF9" s="194"/>
      <c r="HG9" s="194"/>
      <c r="HH9" s="194"/>
      <c r="HI9" s="194"/>
      <c r="HJ9" s="194"/>
      <c r="HK9" s="194"/>
      <c r="HL9" s="194"/>
      <c r="HM9" s="194"/>
      <c r="HN9" s="194"/>
      <c r="HO9" s="194"/>
      <c r="HP9" s="194"/>
      <c r="HQ9" s="194"/>
      <c r="HR9" s="194"/>
      <c r="HS9" s="194"/>
      <c r="HT9" s="194"/>
      <c r="HU9" s="194"/>
      <c r="HV9" s="194"/>
      <c r="HW9" s="194"/>
      <c r="HX9" s="194"/>
      <c r="HY9" s="194"/>
      <c r="HZ9" s="194"/>
      <c r="IA9" s="194"/>
      <c r="IB9" s="194"/>
      <c r="IC9" s="194"/>
      <c r="ID9" s="194"/>
      <c r="IE9" s="194"/>
      <c r="IF9" s="194"/>
      <c r="IG9" s="194"/>
      <c r="IH9" s="194"/>
      <c r="II9" s="194"/>
      <c r="IJ9" s="194"/>
      <c r="IK9" s="194"/>
    </row>
    <row r="10" spans="1:245" s="195" customFormat="1" ht="15.75" customHeight="1">
      <c r="A10" s="231" t="s">
        <v>3</v>
      </c>
      <c r="B10" s="230" t="s">
        <v>4</v>
      </c>
      <c r="C10" s="229" t="s">
        <v>5</v>
      </c>
      <c r="D10" s="228" t="s">
        <v>6</v>
      </c>
      <c r="E10" s="192"/>
      <c r="F10" s="1323" t="s">
        <v>7</v>
      </c>
      <c r="G10" s="1324"/>
      <c r="H10" s="797"/>
      <c r="I10" s="1323" t="s">
        <v>8</v>
      </c>
      <c r="J10" s="1324"/>
      <c r="K10" s="193"/>
      <c r="L10" s="193"/>
      <c r="M10" s="193"/>
      <c r="N10" s="193"/>
      <c r="O10" s="192"/>
      <c r="P10" s="192"/>
      <c r="Q10" s="192"/>
      <c r="R10" s="192"/>
      <c r="S10" s="192"/>
      <c r="T10" s="192"/>
      <c r="U10" s="192"/>
      <c r="V10" s="192"/>
      <c r="W10" s="192"/>
    </row>
    <row r="11" spans="1:245" s="195" customFormat="1" ht="15.6">
      <c r="A11" s="227" t="s">
        <v>9</v>
      </c>
      <c r="B11" s="226"/>
      <c r="C11" s="225"/>
      <c r="D11" s="224" t="s">
        <v>10</v>
      </c>
      <c r="E11" s="192"/>
      <c r="F11" s="1325"/>
      <c r="G11" s="1326"/>
      <c r="H11" s="797"/>
      <c r="I11" s="1325"/>
      <c r="J11" s="1326"/>
      <c r="K11" s="193"/>
      <c r="L11" s="193"/>
      <c r="M11" s="193"/>
      <c r="N11" s="193"/>
      <c r="O11" s="192"/>
      <c r="P11" s="192"/>
      <c r="Q11" s="192"/>
      <c r="R11" s="192"/>
      <c r="S11" s="192"/>
      <c r="T11" s="192"/>
      <c r="U11" s="192"/>
      <c r="V11" s="192"/>
      <c r="W11" s="192"/>
    </row>
    <row r="12" spans="1:245" s="193" customFormat="1" ht="30" customHeight="1" thickBot="1">
      <c r="A12" s="222"/>
      <c r="B12" s="221"/>
      <c r="C12" s="220"/>
      <c r="D12" s="219"/>
      <c r="E12" s="192"/>
      <c r="F12" s="48" t="str">
        <f>_reportyear</f>
        <v>2023-24</v>
      </c>
      <c r="G12" s="793" t="s">
        <v>11</v>
      </c>
      <c r="I12" s="48" t="str">
        <f>_reportyearplus1</f>
        <v>2024-25</v>
      </c>
      <c r="J12" s="793" t="s">
        <v>11</v>
      </c>
      <c r="O12" s="192"/>
      <c r="P12" s="192"/>
      <c r="Q12" s="192"/>
      <c r="R12" s="192"/>
      <c r="S12" s="192"/>
      <c r="T12" s="192"/>
      <c r="U12" s="192"/>
      <c r="V12" s="192"/>
      <c r="W12" s="192"/>
    </row>
    <row r="13" spans="1:245" s="193" customFormat="1">
      <c r="B13" s="217"/>
      <c r="E13" s="192"/>
      <c r="F13" s="192"/>
      <c r="G13" s="192"/>
      <c r="I13" s="192"/>
      <c r="J13" s="192"/>
      <c r="O13" s="192"/>
      <c r="P13" s="192"/>
      <c r="Q13" s="192"/>
      <c r="R13" s="192"/>
      <c r="S13" s="192"/>
      <c r="T13" s="192"/>
      <c r="U13" s="192"/>
      <c r="V13" s="192"/>
      <c r="W13" s="192"/>
    </row>
    <row r="14" spans="1:245" s="193" customFormat="1" ht="12.95" thickBot="1">
      <c r="B14" s="217"/>
      <c r="E14" s="192"/>
      <c r="F14" s="192"/>
      <c r="G14" s="192"/>
      <c r="I14" s="192"/>
      <c r="J14" s="192"/>
      <c r="O14" s="192"/>
      <c r="P14" s="192"/>
      <c r="Q14" s="192"/>
      <c r="R14" s="192"/>
      <c r="S14" s="192"/>
      <c r="T14" s="192"/>
      <c r="U14" s="192"/>
      <c r="V14" s="192"/>
      <c r="W14" s="192"/>
    </row>
    <row r="15" spans="1:245" s="211" customFormat="1" ht="15.95" thickBot="1">
      <c r="A15" s="216"/>
      <c r="B15" s="215" t="s">
        <v>12</v>
      </c>
      <c r="C15" s="214"/>
      <c r="D15" s="213"/>
      <c r="E15" s="192"/>
      <c r="F15" s="192"/>
      <c r="G15" s="192"/>
      <c r="H15" s="193"/>
      <c r="I15" s="192"/>
      <c r="J15" s="192"/>
      <c r="K15" s="193"/>
      <c r="L15" s="193"/>
      <c r="M15" s="193"/>
      <c r="N15" s="193"/>
      <c r="O15" s="192"/>
      <c r="Q15" s="192"/>
      <c r="R15" s="192"/>
      <c r="S15" s="192"/>
      <c r="T15" s="192"/>
      <c r="U15" s="192"/>
      <c r="V15" s="192"/>
      <c r="W15" s="192"/>
    </row>
    <row r="16" spans="1:245" s="193" customFormat="1">
      <c r="A16" s="1118" t="s">
        <v>13</v>
      </c>
      <c r="B16" s="1119" t="s">
        <v>14</v>
      </c>
      <c r="C16" s="1120" t="s">
        <v>15</v>
      </c>
      <c r="D16" s="1121" t="s">
        <v>16</v>
      </c>
      <c r="F16" s="1122">
        <v>5350.5029999999997</v>
      </c>
      <c r="G16" s="1123" t="s">
        <v>17</v>
      </c>
      <c r="I16" s="1254">
        <v>5359.6949999999997</v>
      </c>
      <c r="J16" s="1255" t="s">
        <v>18</v>
      </c>
      <c r="Q16" s="192"/>
      <c r="R16" s="192"/>
      <c r="S16" s="192"/>
      <c r="T16" s="192"/>
      <c r="U16" s="192"/>
      <c r="V16" s="192"/>
      <c r="W16" s="192"/>
    </row>
    <row r="17" spans="1:25" s="193" customFormat="1" ht="15.6">
      <c r="A17" s="1029" t="s">
        <v>19</v>
      </c>
      <c r="B17" s="1030" t="s">
        <v>20</v>
      </c>
      <c r="C17" s="1031" t="s">
        <v>21</v>
      </c>
      <c r="D17" s="1032" t="s">
        <v>16</v>
      </c>
      <c r="F17" s="1033">
        <v>0</v>
      </c>
      <c r="G17" s="1034" t="s">
        <v>22</v>
      </c>
      <c r="I17" s="1256" t="s">
        <v>23</v>
      </c>
      <c r="J17" s="1257" t="s">
        <v>23</v>
      </c>
      <c r="L17"/>
      <c r="M17"/>
      <c r="N17"/>
      <c r="Q17" s="192"/>
      <c r="R17" s="192"/>
      <c r="S17" s="192"/>
      <c r="T17" s="192"/>
      <c r="U17" s="192"/>
      <c r="V17" s="192"/>
      <c r="W17" s="192"/>
      <c r="X17" s="211"/>
    </row>
    <row r="18" spans="1:25" s="193" customFormat="1" ht="15.6">
      <c r="A18" s="1029" t="s">
        <v>24</v>
      </c>
      <c r="B18" s="1030" t="s">
        <v>25</v>
      </c>
      <c r="C18" s="1031" t="s">
        <v>26</v>
      </c>
      <c r="D18" s="1032" t="s">
        <v>27</v>
      </c>
      <c r="F18" s="1035">
        <f>F17/(F16*1000)</f>
        <v>0</v>
      </c>
      <c r="G18" s="1034" t="s">
        <v>22</v>
      </c>
      <c r="I18" s="1256" t="s">
        <v>23</v>
      </c>
      <c r="J18" s="1257" t="s">
        <v>23</v>
      </c>
      <c r="L18"/>
      <c r="M18"/>
      <c r="N18"/>
      <c r="Q18" s="192"/>
      <c r="R18" s="192"/>
      <c r="S18" s="192"/>
      <c r="T18" s="192"/>
      <c r="U18" s="192"/>
      <c r="V18" s="192"/>
      <c r="W18" s="192"/>
      <c r="X18" s="211"/>
    </row>
    <row r="19" spans="1:25" s="193" customFormat="1" ht="15.6">
      <c r="A19" s="1029" t="s">
        <v>28</v>
      </c>
      <c r="B19" s="1030" t="s">
        <v>29</v>
      </c>
      <c r="C19" s="1031" t="s">
        <v>21</v>
      </c>
      <c r="D19" s="1032" t="s">
        <v>16</v>
      </c>
      <c r="F19" s="1033">
        <v>0</v>
      </c>
      <c r="G19" s="1034" t="s">
        <v>22</v>
      </c>
      <c r="I19" s="1256" t="s">
        <v>23</v>
      </c>
      <c r="J19" s="1257" t="s">
        <v>23</v>
      </c>
      <c r="L19"/>
      <c r="M19"/>
      <c r="N19"/>
      <c r="Q19" s="192"/>
      <c r="R19" s="192"/>
      <c r="S19" s="192"/>
      <c r="T19" s="192"/>
      <c r="U19" s="192"/>
      <c r="V19" s="192"/>
      <c r="W19" s="192"/>
      <c r="X19" s="211"/>
    </row>
    <row r="20" spans="1:25" s="193" customFormat="1" ht="15.6">
      <c r="A20" s="1029" t="s">
        <v>30</v>
      </c>
      <c r="B20" s="1030" t="s">
        <v>31</v>
      </c>
      <c r="C20" s="1031" t="s">
        <v>26</v>
      </c>
      <c r="D20" s="1032" t="s">
        <v>27</v>
      </c>
      <c r="F20" s="1035">
        <f>F19/(F16*1000)</f>
        <v>0</v>
      </c>
      <c r="G20" s="1034" t="s">
        <v>22</v>
      </c>
      <c r="I20" s="1256" t="s">
        <v>23</v>
      </c>
      <c r="J20" s="1257" t="s">
        <v>23</v>
      </c>
      <c r="L20"/>
      <c r="M20"/>
      <c r="N20"/>
      <c r="Q20" s="192"/>
      <c r="R20" s="192"/>
      <c r="S20" s="192"/>
      <c r="T20" s="192"/>
      <c r="U20" s="192"/>
      <c r="V20" s="192"/>
      <c r="W20" s="192"/>
      <c r="X20" s="211"/>
    </row>
    <row r="21" spans="1:25" s="193" customFormat="1" ht="15.6">
      <c r="A21" s="1029" t="s">
        <v>32</v>
      </c>
      <c r="B21" s="1030" t="s">
        <v>33</v>
      </c>
      <c r="C21" s="1031" t="s">
        <v>21</v>
      </c>
      <c r="D21" s="1032" t="s">
        <v>16</v>
      </c>
      <c r="E21" s="212"/>
      <c r="F21" s="1036">
        <v>1</v>
      </c>
      <c r="G21" s="1034" t="s">
        <v>34</v>
      </c>
      <c r="I21" s="1256" t="s">
        <v>23</v>
      </c>
      <c r="J21" s="1257" t="s">
        <v>23</v>
      </c>
      <c r="L21"/>
      <c r="M21"/>
      <c r="N21"/>
      <c r="O21" s="212"/>
      <c r="P21" s="212"/>
      <c r="Q21" s="192"/>
      <c r="R21" s="192"/>
      <c r="S21" s="192"/>
      <c r="T21" s="192"/>
      <c r="U21" s="192"/>
      <c r="V21" s="192"/>
      <c r="W21" s="211"/>
      <c r="X21" s="211"/>
      <c r="Y21" s="192"/>
    </row>
    <row r="22" spans="1:25" s="193" customFormat="1" ht="15.6">
      <c r="A22" s="1029" t="s">
        <v>35</v>
      </c>
      <c r="B22" s="1030" t="s">
        <v>36</v>
      </c>
      <c r="C22" s="1031" t="s">
        <v>21</v>
      </c>
      <c r="D22" s="1032" t="s">
        <v>16</v>
      </c>
      <c r="E22" s="212"/>
      <c r="F22" s="1036">
        <v>85</v>
      </c>
      <c r="G22" s="1034" t="s">
        <v>34</v>
      </c>
      <c r="H22" s="212"/>
      <c r="I22" s="1256" t="s">
        <v>23</v>
      </c>
      <c r="J22" s="1257" t="s">
        <v>23</v>
      </c>
      <c r="K22" s="212"/>
      <c r="L22"/>
      <c r="M22"/>
      <c r="N22"/>
      <c r="O22" s="212"/>
      <c r="P22" s="212"/>
      <c r="Q22" s="192"/>
      <c r="R22" s="192"/>
      <c r="S22" s="192"/>
      <c r="T22" s="192"/>
      <c r="U22" s="192"/>
      <c r="V22" s="192"/>
      <c r="W22" s="211"/>
      <c r="X22" s="211"/>
      <c r="Y22" s="192"/>
    </row>
    <row r="23" spans="1:25" s="193" customFormat="1" ht="12.95" thickBot="1">
      <c r="A23" s="1037" t="s">
        <v>37</v>
      </c>
      <c r="B23" s="1038" t="s">
        <v>38</v>
      </c>
      <c r="C23" s="1039" t="s">
        <v>21</v>
      </c>
      <c r="D23" s="1040" t="s">
        <v>16</v>
      </c>
      <c r="E23" s="192"/>
      <c r="F23" s="1041">
        <v>144</v>
      </c>
      <c r="G23" s="1042" t="s">
        <v>34</v>
      </c>
      <c r="H23" s="192"/>
      <c r="I23" s="1258" t="s">
        <v>23</v>
      </c>
      <c r="J23" s="1259" t="s">
        <v>23</v>
      </c>
      <c r="K23" s="192"/>
      <c r="L23"/>
      <c r="M23"/>
      <c r="N23"/>
      <c r="O23" s="192"/>
      <c r="P23" s="192"/>
      <c r="Q23" s="192"/>
      <c r="R23" s="192"/>
      <c r="S23" s="192"/>
      <c r="T23" s="192"/>
      <c r="U23" s="192"/>
      <c r="V23" s="192"/>
      <c r="Y23" s="192"/>
    </row>
    <row r="24" spans="1:25" s="193" customFormat="1">
      <c r="H24" s="192"/>
      <c r="I24" s="192"/>
      <c r="J24" s="192"/>
      <c r="K24" s="192"/>
      <c r="L24"/>
      <c r="M24"/>
      <c r="N24"/>
      <c r="O24" s="192"/>
      <c r="P24" s="192"/>
      <c r="Q24" s="192"/>
      <c r="R24" s="192"/>
      <c r="S24" s="192"/>
      <c r="T24" s="192"/>
      <c r="U24" s="192"/>
      <c r="V24" s="192"/>
      <c r="Y24" s="192"/>
    </row>
    <row r="25" spans="1:25" s="193" customFormat="1">
      <c r="H25" s="206"/>
      <c r="I25" s="206"/>
      <c r="J25" s="206"/>
      <c r="K25" s="206"/>
      <c r="L25"/>
      <c r="M25"/>
      <c r="N25"/>
      <c r="O25" s="206"/>
      <c r="P25" s="206"/>
      <c r="Q25" s="192"/>
      <c r="R25" s="192"/>
      <c r="S25" s="192"/>
      <c r="T25" s="192"/>
      <c r="U25" s="192"/>
      <c r="V25" s="192"/>
      <c r="Y25" s="192"/>
    </row>
    <row r="26" spans="1:25" s="193" customFormat="1" ht="12.95" thickBot="1">
      <c r="H26" s="206"/>
      <c r="I26" s="206"/>
      <c r="J26" s="206"/>
      <c r="K26" s="206"/>
      <c r="L26"/>
      <c r="M26"/>
      <c r="N26"/>
      <c r="O26" s="206"/>
      <c r="P26" s="206"/>
      <c r="Q26" s="192"/>
      <c r="R26" s="192"/>
      <c r="S26" s="192"/>
      <c r="T26" s="192"/>
      <c r="U26" s="192"/>
      <c r="V26" s="192"/>
      <c r="Y26" s="192"/>
    </row>
    <row r="27" spans="1:25" s="193" customFormat="1">
      <c r="A27" s="196" t="s">
        <v>39</v>
      </c>
      <c r="B27" s="1268"/>
      <c r="C27" s="197" t="s">
        <v>40</v>
      </c>
      <c r="D27" s="197"/>
      <c r="E27" s="210"/>
      <c r="F27" s="210"/>
      <c r="G27" s="209"/>
      <c r="H27" s="206"/>
      <c r="I27" s="206"/>
      <c r="J27" s="206"/>
      <c r="K27" s="206"/>
      <c r="L27"/>
      <c r="M27"/>
      <c r="N27"/>
      <c r="O27" s="206"/>
      <c r="P27" s="206"/>
      <c r="Q27" s="192"/>
      <c r="R27" s="192"/>
      <c r="S27" s="192"/>
      <c r="T27" s="192"/>
      <c r="U27" s="192"/>
      <c r="V27" s="192"/>
      <c r="Y27" s="192"/>
    </row>
    <row r="28" spans="1:25" s="193" customFormat="1">
      <c r="A28" s="686"/>
      <c r="B28" s="207"/>
      <c r="C28" s="207"/>
      <c r="D28" s="206"/>
      <c r="E28" s="206"/>
      <c r="F28" s="206"/>
      <c r="G28" s="205"/>
      <c r="H28" s="206"/>
      <c r="I28" s="206"/>
      <c r="J28" s="206"/>
      <c r="K28" s="206"/>
      <c r="L28"/>
      <c r="M28"/>
      <c r="N28"/>
      <c r="O28" s="206"/>
      <c r="P28" s="206"/>
      <c r="Q28" s="192"/>
      <c r="R28" s="192"/>
      <c r="S28" s="192"/>
      <c r="T28" s="192"/>
      <c r="U28" s="192"/>
      <c r="V28" s="192"/>
      <c r="Y28" s="192"/>
    </row>
    <row r="29" spans="1:25" s="193" customFormat="1">
      <c r="A29" s="208" t="s">
        <v>41</v>
      </c>
      <c r="B29" s="207"/>
      <c r="C29" s="207" t="s">
        <v>40</v>
      </c>
      <c r="D29" s="207"/>
      <c r="E29" s="206"/>
      <c r="F29" s="206"/>
      <c r="G29" s="205"/>
      <c r="H29" s="192"/>
      <c r="I29" s="192"/>
      <c r="J29" s="192"/>
      <c r="K29" s="192"/>
      <c r="L29"/>
      <c r="M29"/>
      <c r="N29"/>
      <c r="O29" s="192"/>
      <c r="P29" s="192"/>
      <c r="Q29" s="192"/>
      <c r="R29" s="192"/>
      <c r="S29" s="192"/>
      <c r="T29" s="192"/>
      <c r="U29" s="192"/>
      <c r="V29" s="192"/>
      <c r="Y29" s="192"/>
    </row>
    <row r="30" spans="1:25">
      <c r="A30" s="686"/>
      <c r="B30" s="207"/>
      <c r="C30" s="207"/>
      <c r="D30" s="206"/>
      <c r="E30" s="206"/>
      <c r="F30" s="206"/>
      <c r="G30" s="205"/>
      <c r="L30"/>
      <c r="M30"/>
      <c r="N30"/>
    </row>
    <row r="31" spans="1:25" ht="12.95" thickBot="1">
      <c r="A31" s="198" t="s">
        <v>42</v>
      </c>
      <c r="B31" s="199"/>
      <c r="C31" s="199" t="s">
        <v>43</v>
      </c>
      <c r="D31" s="199"/>
      <c r="E31" s="204"/>
      <c r="F31" s="204"/>
      <c r="G31" s="203"/>
      <c r="L31"/>
      <c r="M31"/>
      <c r="N31"/>
    </row>
    <row r="32" spans="1:25">
      <c r="L32"/>
      <c r="M32"/>
      <c r="N32"/>
    </row>
  </sheetData>
  <mergeCells count="2">
    <mergeCell ref="F10:G11"/>
    <mergeCell ref="I10:J11"/>
  </mergeCells>
  <phoneticPr fontId="25" type="noConversion"/>
  <pageMargins left="0.74803149606299213" right="0.74803149606299213" top="0.98425196850393704" bottom="0.98425196850393704" header="0.51181102362204722" footer="0.51181102362204722"/>
  <pageSetup paperSize="8" scale="87" orientation="portrait" r:id="rId1"/>
  <headerFooter alignWithMargins="0">
    <oddFooter>&amp;R&amp;"CG Omega,Regular" Date: Feb 2010
Revision 13.0&amp;L&amp;"Calibri"&amp;11&amp;K000000&amp;"CG Omega,Regular"Table 1 of 10_x000D_&amp;1#&amp;"Arial"&amp;11&amp;K000000SW Private Commercial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9BDA8-116C-4A6D-8939-360BC17634AE}">
  <sheetPr>
    <pageSetUpPr fitToPage="1"/>
  </sheetPr>
  <dimension ref="A1:HQ40"/>
  <sheetViews>
    <sheetView zoomScaleNormal="100" workbookViewId="0">
      <selection sqref="A1:XFD1048576"/>
    </sheetView>
  </sheetViews>
  <sheetFormatPr defaultColWidth="9.42578125" defaultRowHeight="12.6"/>
  <cols>
    <col min="1" max="1" width="7.42578125" customWidth="1"/>
    <col min="2" max="2" width="81.42578125" bestFit="1" customWidth="1"/>
    <col min="3" max="3" width="13" customWidth="1"/>
    <col min="4" max="4" width="9.42578125" customWidth="1"/>
    <col min="5" max="5" width="4.42578125" style="166" customWidth="1"/>
    <col min="6" max="6" width="13.42578125" customWidth="1"/>
    <col min="7" max="7" width="5.42578125" customWidth="1"/>
    <col min="8" max="8" width="7.42578125" customWidth="1"/>
    <col min="9" max="9" width="15" customWidth="1"/>
    <col min="10" max="10" width="4" customWidth="1"/>
    <col min="11" max="11" width="9.42578125" customWidth="1"/>
    <col min="252" max="252" width="7.42578125" customWidth="1"/>
    <col min="253" max="253" width="81.42578125" bestFit="1" customWidth="1"/>
    <col min="254" max="255" width="13" customWidth="1"/>
    <col min="256" max="256" width="7.5703125" customWidth="1"/>
    <col min="257" max="257" width="7" customWidth="1"/>
    <col min="258" max="258" width="1.5703125" customWidth="1"/>
    <col min="259" max="259" width="10.5703125" customWidth="1"/>
    <col min="260" max="260" width="7.42578125" customWidth="1"/>
    <col min="262" max="262" width="40" customWidth="1"/>
    <col min="266" max="266" width="15.5703125" customWidth="1"/>
    <col min="508" max="508" width="7.42578125" customWidth="1"/>
    <col min="509" max="509" width="81.42578125" bestFit="1" customWidth="1"/>
    <col min="510" max="511" width="13" customWidth="1"/>
    <col min="512" max="512" width="7.5703125" customWidth="1"/>
    <col min="513" max="513" width="7" customWidth="1"/>
    <col min="514" max="514" width="1.5703125" customWidth="1"/>
    <col min="515" max="515" width="10.5703125" customWidth="1"/>
    <col min="516" max="516" width="7.42578125" customWidth="1"/>
    <col min="518" max="518" width="40" customWidth="1"/>
    <col min="522" max="522" width="15.5703125" customWidth="1"/>
    <col min="764" max="764" width="7.42578125" customWidth="1"/>
    <col min="765" max="765" width="81.42578125" bestFit="1" customWidth="1"/>
    <col min="766" max="767" width="13" customWidth="1"/>
    <col min="768" max="768" width="7.5703125" customWidth="1"/>
    <col min="769" max="769" width="7" customWidth="1"/>
    <col min="770" max="770" width="1.5703125" customWidth="1"/>
    <col min="771" max="771" width="10.5703125" customWidth="1"/>
    <col min="772" max="772" width="7.42578125" customWidth="1"/>
    <col min="774" max="774" width="40" customWidth="1"/>
    <col min="778" max="778" width="15.5703125" customWidth="1"/>
    <col min="1020" max="1020" width="7.42578125" customWidth="1"/>
    <col min="1021" max="1021" width="81.42578125" bestFit="1" customWidth="1"/>
    <col min="1022" max="1023" width="13" customWidth="1"/>
    <col min="1024" max="1024" width="7.5703125" customWidth="1"/>
    <col min="1025" max="1025" width="7" customWidth="1"/>
    <col min="1026" max="1026" width="1.5703125" customWidth="1"/>
    <col min="1027" max="1027" width="10.5703125" customWidth="1"/>
    <col min="1028" max="1028" width="7.42578125" customWidth="1"/>
    <col min="1030" max="1030" width="40" customWidth="1"/>
    <col min="1034" max="1034" width="15.5703125" customWidth="1"/>
    <col min="1276" max="1276" width="7.42578125" customWidth="1"/>
    <col min="1277" max="1277" width="81.42578125" bestFit="1" customWidth="1"/>
    <col min="1278" max="1279" width="13" customWidth="1"/>
    <col min="1280" max="1280" width="7.5703125" customWidth="1"/>
    <col min="1281" max="1281" width="7" customWidth="1"/>
    <col min="1282" max="1282" width="1.5703125" customWidth="1"/>
    <col min="1283" max="1283" width="10.5703125" customWidth="1"/>
    <col min="1284" max="1284" width="7.42578125" customWidth="1"/>
    <col min="1286" max="1286" width="40" customWidth="1"/>
    <col min="1290" max="1290" width="15.5703125" customWidth="1"/>
    <col min="1532" max="1532" width="7.42578125" customWidth="1"/>
    <col min="1533" max="1533" width="81.42578125" bestFit="1" customWidth="1"/>
    <col min="1534" max="1535" width="13" customWidth="1"/>
    <col min="1536" max="1536" width="7.5703125" customWidth="1"/>
    <col min="1537" max="1537" width="7" customWidth="1"/>
    <col min="1538" max="1538" width="1.5703125" customWidth="1"/>
    <col min="1539" max="1539" width="10.5703125" customWidth="1"/>
    <col min="1540" max="1540" width="7.42578125" customWidth="1"/>
    <col min="1542" max="1542" width="40" customWidth="1"/>
    <col min="1546" max="1546" width="15.5703125" customWidth="1"/>
    <col min="1788" max="1788" width="7.42578125" customWidth="1"/>
    <col min="1789" max="1789" width="81.42578125" bestFit="1" customWidth="1"/>
    <col min="1790" max="1791" width="13" customWidth="1"/>
    <col min="1792" max="1792" width="7.5703125" customWidth="1"/>
    <col min="1793" max="1793" width="7" customWidth="1"/>
    <col min="1794" max="1794" width="1.5703125" customWidth="1"/>
    <col min="1795" max="1795" width="10.5703125" customWidth="1"/>
    <col min="1796" max="1796" width="7.42578125" customWidth="1"/>
    <col min="1798" max="1798" width="40" customWidth="1"/>
    <col min="1802" max="1802" width="15.5703125" customWidth="1"/>
    <col min="2044" max="2044" width="7.42578125" customWidth="1"/>
    <col min="2045" max="2045" width="81.42578125" bestFit="1" customWidth="1"/>
    <col min="2046" max="2047" width="13" customWidth="1"/>
    <col min="2048" max="2048" width="7.5703125" customWidth="1"/>
    <col min="2049" max="2049" width="7" customWidth="1"/>
    <col min="2050" max="2050" width="1.5703125" customWidth="1"/>
    <col min="2051" max="2051" width="10.5703125" customWidth="1"/>
    <col min="2052" max="2052" width="7.42578125" customWidth="1"/>
    <col min="2054" max="2054" width="40" customWidth="1"/>
    <col min="2058" max="2058" width="15.5703125" customWidth="1"/>
    <col min="2300" max="2300" width="7.42578125" customWidth="1"/>
    <col min="2301" max="2301" width="81.42578125" bestFit="1" customWidth="1"/>
    <col min="2302" max="2303" width="13" customWidth="1"/>
    <col min="2304" max="2304" width="7.5703125" customWidth="1"/>
    <col min="2305" max="2305" width="7" customWidth="1"/>
    <col min="2306" max="2306" width="1.5703125" customWidth="1"/>
    <col min="2307" max="2307" width="10.5703125" customWidth="1"/>
    <col min="2308" max="2308" width="7.42578125" customWidth="1"/>
    <col min="2310" max="2310" width="40" customWidth="1"/>
    <col min="2314" max="2314" width="15.5703125" customWidth="1"/>
    <col min="2556" max="2556" width="7.42578125" customWidth="1"/>
    <col min="2557" max="2557" width="81.42578125" bestFit="1" customWidth="1"/>
    <col min="2558" max="2559" width="13" customWidth="1"/>
    <col min="2560" max="2560" width="7.5703125" customWidth="1"/>
    <col min="2561" max="2561" width="7" customWidth="1"/>
    <col min="2562" max="2562" width="1.5703125" customWidth="1"/>
    <col min="2563" max="2563" width="10.5703125" customWidth="1"/>
    <col min="2564" max="2564" width="7.42578125" customWidth="1"/>
    <col min="2566" max="2566" width="40" customWidth="1"/>
    <col min="2570" max="2570" width="15.5703125" customWidth="1"/>
    <col min="2812" max="2812" width="7.42578125" customWidth="1"/>
    <col min="2813" max="2813" width="81.42578125" bestFit="1" customWidth="1"/>
    <col min="2814" max="2815" width="13" customWidth="1"/>
    <col min="2816" max="2816" width="7.5703125" customWidth="1"/>
    <col min="2817" max="2817" width="7" customWidth="1"/>
    <col min="2818" max="2818" width="1.5703125" customWidth="1"/>
    <col min="2819" max="2819" width="10.5703125" customWidth="1"/>
    <col min="2820" max="2820" width="7.42578125" customWidth="1"/>
    <col min="2822" max="2822" width="40" customWidth="1"/>
    <col min="2826" max="2826" width="15.5703125" customWidth="1"/>
    <col min="3068" max="3068" width="7.42578125" customWidth="1"/>
    <col min="3069" max="3069" width="81.42578125" bestFit="1" customWidth="1"/>
    <col min="3070" max="3071" width="13" customWidth="1"/>
    <col min="3072" max="3072" width="7.5703125" customWidth="1"/>
    <col min="3073" max="3073" width="7" customWidth="1"/>
    <col min="3074" max="3074" width="1.5703125" customWidth="1"/>
    <col min="3075" max="3075" width="10.5703125" customWidth="1"/>
    <col min="3076" max="3076" width="7.42578125" customWidth="1"/>
    <col min="3078" max="3078" width="40" customWidth="1"/>
    <col min="3082" max="3082" width="15.5703125" customWidth="1"/>
    <col min="3324" max="3324" width="7.42578125" customWidth="1"/>
    <col min="3325" max="3325" width="81.42578125" bestFit="1" customWidth="1"/>
    <col min="3326" max="3327" width="13" customWidth="1"/>
    <col min="3328" max="3328" width="7.5703125" customWidth="1"/>
    <col min="3329" max="3329" width="7" customWidth="1"/>
    <col min="3330" max="3330" width="1.5703125" customWidth="1"/>
    <col min="3331" max="3331" width="10.5703125" customWidth="1"/>
    <col min="3332" max="3332" width="7.42578125" customWidth="1"/>
    <col min="3334" max="3334" width="40" customWidth="1"/>
    <col min="3338" max="3338" width="15.5703125" customWidth="1"/>
    <col min="3580" max="3580" width="7.42578125" customWidth="1"/>
    <col min="3581" max="3581" width="81.42578125" bestFit="1" customWidth="1"/>
    <col min="3582" max="3583" width="13" customWidth="1"/>
    <col min="3584" max="3584" width="7.5703125" customWidth="1"/>
    <col min="3585" max="3585" width="7" customWidth="1"/>
    <col min="3586" max="3586" width="1.5703125" customWidth="1"/>
    <col min="3587" max="3587" width="10.5703125" customWidth="1"/>
    <col min="3588" max="3588" width="7.42578125" customWidth="1"/>
    <col min="3590" max="3590" width="40" customWidth="1"/>
    <col min="3594" max="3594" width="15.5703125" customWidth="1"/>
    <col min="3836" max="3836" width="7.42578125" customWidth="1"/>
    <col min="3837" max="3837" width="81.42578125" bestFit="1" customWidth="1"/>
    <col min="3838" max="3839" width="13" customWidth="1"/>
    <col min="3840" max="3840" width="7.5703125" customWidth="1"/>
    <col min="3841" max="3841" width="7" customWidth="1"/>
    <col min="3842" max="3842" width="1.5703125" customWidth="1"/>
    <col min="3843" max="3843" width="10.5703125" customWidth="1"/>
    <col min="3844" max="3844" width="7.42578125" customWidth="1"/>
    <col min="3846" max="3846" width="40" customWidth="1"/>
    <col min="3850" max="3850" width="15.5703125" customWidth="1"/>
    <col min="4092" max="4092" width="7.42578125" customWidth="1"/>
    <col min="4093" max="4093" width="81.42578125" bestFit="1" customWidth="1"/>
    <col min="4094" max="4095" width="13" customWidth="1"/>
    <col min="4096" max="4096" width="7.5703125" customWidth="1"/>
    <col min="4097" max="4097" width="7" customWidth="1"/>
    <col min="4098" max="4098" width="1.5703125" customWidth="1"/>
    <col min="4099" max="4099" width="10.5703125" customWidth="1"/>
    <col min="4100" max="4100" width="7.42578125" customWidth="1"/>
    <col min="4102" max="4102" width="40" customWidth="1"/>
    <col min="4106" max="4106" width="15.5703125" customWidth="1"/>
    <col min="4348" max="4348" width="7.42578125" customWidth="1"/>
    <col min="4349" max="4349" width="81.42578125" bestFit="1" customWidth="1"/>
    <col min="4350" max="4351" width="13" customWidth="1"/>
    <col min="4352" max="4352" width="7.5703125" customWidth="1"/>
    <col min="4353" max="4353" width="7" customWidth="1"/>
    <col min="4354" max="4354" width="1.5703125" customWidth="1"/>
    <col min="4355" max="4355" width="10.5703125" customWidth="1"/>
    <col min="4356" max="4356" width="7.42578125" customWidth="1"/>
    <col min="4358" max="4358" width="40" customWidth="1"/>
    <col min="4362" max="4362" width="15.5703125" customWidth="1"/>
    <col min="4604" max="4604" width="7.42578125" customWidth="1"/>
    <col min="4605" max="4605" width="81.42578125" bestFit="1" customWidth="1"/>
    <col min="4606" max="4607" width="13" customWidth="1"/>
    <col min="4608" max="4608" width="7.5703125" customWidth="1"/>
    <col min="4609" max="4609" width="7" customWidth="1"/>
    <col min="4610" max="4610" width="1.5703125" customWidth="1"/>
    <col min="4611" max="4611" width="10.5703125" customWidth="1"/>
    <col min="4612" max="4612" width="7.42578125" customWidth="1"/>
    <col min="4614" max="4614" width="40" customWidth="1"/>
    <col min="4618" max="4618" width="15.5703125" customWidth="1"/>
    <col min="4860" max="4860" width="7.42578125" customWidth="1"/>
    <col min="4861" max="4861" width="81.42578125" bestFit="1" customWidth="1"/>
    <col min="4862" max="4863" width="13" customWidth="1"/>
    <col min="4864" max="4864" width="7.5703125" customWidth="1"/>
    <col min="4865" max="4865" width="7" customWidth="1"/>
    <col min="4866" max="4866" width="1.5703125" customWidth="1"/>
    <col min="4867" max="4867" width="10.5703125" customWidth="1"/>
    <col min="4868" max="4868" width="7.42578125" customWidth="1"/>
    <col min="4870" max="4870" width="40" customWidth="1"/>
    <col min="4874" max="4874" width="15.5703125" customWidth="1"/>
    <col min="5116" max="5116" width="7.42578125" customWidth="1"/>
    <col min="5117" max="5117" width="81.42578125" bestFit="1" customWidth="1"/>
    <col min="5118" max="5119" width="13" customWidth="1"/>
    <col min="5120" max="5120" width="7.5703125" customWidth="1"/>
    <col min="5121" max="5121" width="7" customWidth="1"/>
    <col min="5122" max="5122" width="1.5703125" customWidth="1"/>
    <col min="5123" max="5123" width="10.5703125" customWidth="1"/>
    <col min="5124" max="5124" width="7.42578125" customWidth="1"/>
    <col min="5126" max="5126" width="40" customWidth="1"/>
    <col min="5130" max="5130" width="15.5703125" customWidth="1"/>
    <col min="5372" max="5372" width="7.42578125" customWidth="1"/>
    <col min="5373" max="5373" width="81.42578125" bestFit="1" customWidth="1"/>
    <col min="5374" max="5375" width="13" customWidth="1"/>
    <col min="5376" max="5376" width="7.5703125" customWidth="1"/>
    <col min="5377" max="5377" width="7" customWidth="1"/>
    <col min="5378" max="5378" width="1.5703125" customWidth="1"/>
    <col min="5379" max="5379" width="10.5703125" customWidth="1"/>
    <col min="5380" max="5380" width="7.42578125" customWidth="1"/>
    <col min="5382" max="5382" width="40" customWidth="1"/>
    <col min="5386" max="5386" width="15.5703125" customWidth="1"/>
    <col min="5628" max="5628" width="7.42578125" customWidth="1"/>
    <col min="5629" max="5629" width="81.42578125" bestFit="1" customWidth="1"/>
    <col min="5630" max="5631" width="13" customWidth="1"/>
    <col min="5632" max="5632" width="7.5703125" customWidth="1"/>
    <col min="5633" max="5633" width="7" customWidth="1"/>
    <col min="5634" max="5634" width="1.5703125" customWidth="1"/>
    <col min="5635" max="5635" width="10.5703125" customWidth="1"/>
    <col min="5636" max="5636" width="7.42578125" customWidth="1"/>
    <col min="5638" max="5638" width="40" customWidth="1"/>
    <col min="5642" max="5642" width="15.5703125" customWidth="1"/>
    <col min="5884" max="5884" width="7.42578125" customWidth="1"/>
    <col min="5885" max="5885" width="81.42578125" bestFit="1" customWidth="1"/>
    <col min="5886" max="5887" width="13" customWidth="1"/>
    <col min="5888" max="5888" width="7.5703125" customWidth="1"/>
    <col min="5889" max="5889" width="7" customWidth="1"/>
    <col min="5890" max="5890" width="1.5703125" customWidth="1"/>
    <col min="5891" max="5891" width="10.5703125" customWidth="1"/>
    <col min="5892" max="5892" width="7.42578125" customWidth="1"/>
    <col min="5894" max="5894" width="40" customWidth="1"/>
    <col min="5898" max="5898" width="15.5703125" customWidth="1"/>
    <col min="6140" max="6140" width="7.42578125" customWidth="1"/>
    <col min="6141" max="6141" width="81.42578125" bestFit="1" customWidth="1"/>
    <col min="6142" max="6143" width="13" customWidth="1"/>
    <col min="6144" max="6144" width="7.5703125" customWidth="1"/>
    <col min="6145" max="6145" width="7" customWidth="1"/>
    <col min="6146" max="6146" width="1.5703125" customWidth="1"/>
    <col min="6147" max="6147" width="10.5703125" customWidth="1"/>
    <col min="6148" max="6148" width="7.42578125" customWidth="1"/>
    <col min="6150" max="6150" width="40" customWidth="1"/>
    <col min="6154" max="6154" width="15.5703125" customWidth="1"/>
    <col min="6396" max="6396" width="7.42578125" customWidth="1"/>
    <col min="6397" max="6397" width="81.42578125" bestFit="1" customWidth="1"/>
    <col min="6398" max="6399" width="13" customWidth="1"/>
    <col min="6400" max="6400" width="7.5703125" customWidth="1"/>
    <col min="6401" max="6401" width="7" customWidth="1"/>
    <col min="6402" max="6402" width="1.5703125" customWidth="1"/>
    <col min="6403" max="6403" width="10.5703125" customWidth="1"/>
    <col min="6404" max="6404" width="7.42578125" customWidth="1"/>
    <col min="6406" max="6406" width="40" customWidth="1"/>
    <col min="6410" max="6410" width="15.5703125" customWidth="1"/>
    <col min="6652" max="6652" width="7.42578125" customWidth="1"/>
    <col min="6653" max="6653" width="81.42578125" bestFit="1" customWidth="1"/>
    <col min="6654" max="6655" width="13" customWidth="1"/>
    <col min="6656" max="6656" width="7.5703125" customWidth="1"/>
    <col min="6657" max="6657" width="7" customWidth="1"/>
    <col min="6658" max="6658" width="1.5703125" customWidth="1"/>
    <col min="6659" max="6659" width="10.5703125" customWidth="1"/>
    <col min="6660" max="6660" width="7.42578125" customWidth="1"/>
    <col min="6662" max="6662" width="40" customWidth="1"/>
    <col min="6666" max="6666" width="15.5703125" customWidth="1"/>
    <col min="6908" max="6908" width="7.42578125" customWidth="1"/>
    <col min="6909" max="6909" width="81.42578125" bestFit="1" customWidth="1"/>
    <col min="6910" max="6911" width="13" customWidth="1"/>
    <col min="6912" max="6912" width="7.5703125" customWidth="1"/>
    <col min="6913" max="6913" width="7" customWidth="1"/>
    <col min="6914" max="6914" width="1.5703125" customWidth="1"/>
    <col min="6915" max="6915" width="10.5703125" customWidth="1"/>
    <col min="6916" max="6916" width="7.42578125" customWidth="1"/>
    <col min="6918" max="6918" width="40" customWidth="1"/>
    <col min="6922" max="6922" width="15.5703125" customWidth="1"/>
    <col min="7164" max="7164" width="7.42578125" customWidth="1"/>
    <col min="7165" max="7165" width="81.42578125" bestFit="1" customWidth="1"/>
    <col min="7166" max="7167" width="13" customWidth="1"/>
    <col min="7168" max="7168" width="7.5703125" customWidth="1"/>
    <col min="7169" max="7169" width="7" customWidth="1"/>
    <col min="7170" max="7170" width="1.5703125" customWidth="1"/>
    <col min="7171" max="7171" width="10.5703125" customWidth="1"/>
    <col min="7172" max="7172" width="7.42578125" customWidth="1"/>
    <col min="7174" max="7174" width="40" customWidth="1"/>
    <col min="7178" max="7178" width="15.5703125" customWidth="1"/>
    <col min="7420" max="7420" width="7.42578125" customWidth="1"/>
    <col min="7421" max="7421" width="81.42578125" bestFit="1" customWidth="1"/>
    <col min="7422" max="7423" width="13" customWidth="1"/>
    <col min="7424" max="7424" width="7.5703125" customWidth="1"/>
    <col min="7425" max="7425" width="7" customWidth="1"/>
    <col min="7426" max="7426" width="1.5703125" customWidth="1"/>
    <col min="7427" max="7427" width="10.5703125" customWidth="1"/>
    <col min="7428" max="7428" width="7.42578125" customWidth="1"/>
    <col min="7430" max="7430" width="40" customWidth="1"/>
    <col min="7434" max="7434" width="15.5703125" customWidth="1"/>
    <col min="7676" max="7676" width="7.42578125" customWidth="1"/>
    <col min="7677" max="7677" width="81.42578125" bestFit="1" customWidth="1"/>
    <col min="7678" max="7679" width="13" customWidth="1"/>
    <col min="7680" max="7680" width="7.5703125" customWidth="1"/>
    <col min="7681" max="7681" width="7" customWidth="1"/>
    <col min="7682" max="7682" width="1.5703125" customWidth="1"/>
    <col min="7683" max="7683" width="10.5703125" customWidth="1"/>
    <col min="7684" max="7684" width="7.42578125" customWidth="1"/>
    <col min="7686" max="7686" width="40" customWidth="1"/>
    <col min="7690" max="7690" width="15.5703125" customWidth="1"/>
    <col min="7932" max="7932" width="7.42578125" customWidth="1"/>
    <col min="7933" max="7933" width="81.42578125" bestFit="1" customWidth="1"/>
    <col min="7934" max="7935" width="13" customWidth="1"/>
    <col min="7936" max="7936" width="7.5703125" customWidth="1"/>
    <col min="7937" max="7937" width="7" customWidth="1"/>
    <col min="7938" max="7938" width="1.5703125" customWidth="1"/>
    <col min="7939" max="7939" width="10.5703125" customWidth="1"/>
    <col min="7940" max="7940" width="7.42578125" customWidth="1"/>
    <col min="7942" max="7942" width="40" customWidth="1"/>
    <col min="7946" max="7946" width="15.5703125" customWidth="1"/>
    <col min="8188" max="8188" width="7.42578125" customWidth="1"/>
    <col min="8189" max="8189" width="81.42578125" bestFit="1" customWidth="1"/>
    <col min="8190" max="8191" width="13" customWidth="1"/>
    <col min="8192" max="8192" width="7.5703125" customWidth="1"/>
    <col min="8193" max="8193" width="7" customWidth="1"/>
    <col min="8194" max="8194" width="1.5703125" customWidth="1"/>
    <col min="8195" max="8195" width="10.5703125" customWidth="1"/>
    <col min="8196" max="8196" width="7.42578125" customWidth="1"/>
    <col min="8198" max="8198" width="40" customWidth="1"/>
    <col min="8202" max="8202" width="15.5703125" customWidth="1"/>
    <col min="8444" max="8444" width="7.42578125" customWidth="1"/>
    <col min="8445" max="8445" width="81.42578125" bestFit="1" customWidth="1"/>
    <col min="8446" max="8447" width="13" customWidth="1"/>
    <col min="8448" max="8448" width="7.5703125" customWidth="1"/>
    <col min="8449" max="8449" width="7" customWidth="1"/>
    <col min="8450" max="8450" width="1.5703125" customWidth="1"/>
    <col min="8451" max="8451" width="10.5703125" customWidth="1"/>
    <col min="8452" max="8452" width="7.42578125" customWidth="1"/>
    <col min="8454" max="8454" width="40" customWidth="1"/>
    <col min="8458" max="8458" width="15.5703125" customWidth="1"/>
    <col min="8700" max="8700" width="7.42578125" customWidth="1"/>
    <col min="8701" max="8701" width="81.42578125" bestFit="1" customWidth="1"/>
    <col min="8702" max="8703" width="13" customWidth="1"/>
    <col min="8704" max="8704" width="7.5703125" customWidth="1"/>
    <col min="8705" max="8705" width="7" customWidth="1"/>
    <col min="8706" max="8706" width="1.5703125" customWidth="1"/>
    <col min="8707" max="8707" width="10.5703125" customWidth="1"/>
    <col min="8708" max="8708" width="7.42578125" customWidth="1"/>
    <col min="8710" max="8710" width="40" customWidth="1"/>
    <col min="8714" max="8714" width="15.5703125" customWidth="1"/>
    <col min="8956" max="8956" width="7.42578125" customWidth="1"/>
    <col min="8957" max="8957" width="81.42578125" bestFit="1" customWidth="1"/>
    <col min="8958" max="8959" width="13" customWidth="1"/>
    <col min="8960" max="8960" width="7.5703125" customWidth="1"/>
    <col min="8961" max="8961" width="7" customWidth="1"/>
    <col min="8962" max="8962" width="1.5703125" customWidth="1"/>
    <col min="8963" max="8963" width="10.5703125" customWidth="1"/>
    <col min="8964" max="8964" width="7.42578125" customWidth="1"/>
    <col min="8966" max="8966" width="40" customWidth="1"/>
    <col min="8970" max="8970" width="15.5703125" customWidth="1"/>
    <col min="9212" max="9212" width="7.42578125" customWidth="1"/>
    <col min="9213" max="9213" width="81.42578125" bestFit="1" customWidth="1"/>
    <col min="9214" max="9215" width="13" customWidth="1"/>
    <col min="9216" max="9216" width="7.5703125" customWidth="1"/>
    <col min="9217" max="9217" width="7" customWidth="1"/>
    <col min="9218" max="9218" width="1.5703125" customWidth="1"/>
    <col min="9219" max="9219" width="10.5703125" customWidth="1"/>
    <col min="9220" max="9220" width="7.42578125" customWidth="1"/>
    <col min="9222" max="9222" width="40" customWidth="1"/>
    <col min="9226" max="9226" width="15.5703125" customWidth="1"/>
    <col min="9468" max="9468" width="7.42578125" customWidth="1"/>
    <col min="9469" max="9469" width="81.42578125" bestFit="1" customWidth="1"/>
    <col min="9470" max="9471" width="13" customWidth="1"/>
    <col min="9472" max="9472" width="7.5703125" customWidth="1"/>
    <col min="9473" max="9473" width="7" customWidth="1"/>
    <col min="9474" max="9474" width="1.5703125" customWidth="1"/>
    <col min="9475" max="9475" width="10.5703125" customWidth="1"/>
    <col min="9476" max="9476" width="7.42578125" customWidth="1"/>
    <col min="9478" max="9478" width="40" customWidth="1"/>
    <col min="9482" max="9482" width="15.5703125" customWidth="1"/>
    <col min="9724" max="9724" width="7.42578125" customWidth="1"/>
    <col min="9725" max="9725" width="81.42578125" bestFit="1" customWidth="1"/>
    <col min="9726" max="9727" width="13" customWidth="1"/>
    <col min="9728" max="9728" width="7.5703125" customWidth="1"/>
    <col min="9729" max="9729" width="7" customWidth="1"/>
    <col min="9730" max="9730" width="1.5703125" customWidth="1"/>
    <col min="9731" max="9731" width="10.5703125" customWidth="1"/>
    <col min="9732" max="9732" width="7.42578125" customWidth="1"/>
    <col min="9734" max="9734" width="40" customWidth="1"/>
    <col min="9738" max="9738" width="15.5703125" customWidth="1"/>
    <col min="9980" max="9980" width="7.42578125" customWidth="1"/>
    <col min="9981" max="9981" width="81.42578125" bestFit="1" customWidth="1"/>
    <col min="9982" max="9983" width="13" customWidth="1"/>
    <col min="9984" max="9984" width="7.5703125" customWidth="1"/>
    <col min="9985" max="9985" width="7" customWidth="1"/>
    <col min="9986" max="9986" width="1.5703125" customWidth="1"/>
    <col min="9987" max="9987" width="10.5703125" customWidth="1"/>
    <col min="9988" max="9988" width="7.42578125" customWidth="1"/>
    <col min="9990" max="9990" width="40" customWidth="1"/>
    <col min="9994" max="9994" width="15.5703125" customWidth="1"/>
    <col min="10236" max="10236" width="7.42578125" customWidth="1"/>
    <col min="10237" max="10237" width="81.42578125" bestFit="1" customWidth="1"/>
    <col min="10238" max="10239" width="13" customWidth="1"/>
    <col min="10240" max="10240" width="7.5703125" customWidth="1"/>
    <col min="10241" max="10241" width="7" customWidth="1"/>
    <col min="10242" max="10242" width="1.5703125" customWidth="1"/>
    <col min="10243" max="10243" width="10.5703125" customWidth="1"/>
    <col min="10244" max="10244" width="7.42578125" customWidth="1"/>
    <col min="10246" max="10246" width="40" customWidth="1"/>
    <col min="10250" max="10250" width="15.5703125" customWidth="1"/>
    <col min="10492" max="10492" width="7.42578125" customWidth="1"/>
    <col min="10493" max="10493" width="81.42578125" bestFit="1" customWidth="1"/>
    <col min="10494" max="10495" width="13" customWidth="1"/>
    <col min="10496" max="10496" width="7.5703125" customWidth="1"/>
    <col min="10497" max="10497" width="7" customWidth="1"/>
    <col min="10498" max="10498" width="1.5703125" customWidth="1"/>
    <col min="10499" max="10499" width="10.5703125" customWidth="1"/>
    <col min="10500" max="10500" width="7.42578125" customWidth="1"/>
    <col min="10502" max="10502" width="40" customWidth="1"/>
    <col min="10506" max="10506" width="15.5703125" customWidth="1"/>
    <col min="10748" max="10748" width="7.42578125" customWidth="1"/>
    <col min="10749" max="10749" width="81.42578125" bestFit="1" customWidth="1"/>
    <col min="10750" max="10751" width="13" customWidth="1"/>
    <col min="10752" max="10752" width="7.5703125" customWidth="1"/>
    <col min="10753" max="10753" width="7" customWidth="1"/>
    <col min="10754" max="10754" width="1.5703125" customWidth="1"/>
    <col min="10755" max="10755" width="10.5703125" customWidth="1"/>
    <col min="10756" max="10756" width="7.42578125" customWidth="1"/>
    <col min="10758" max="10758" width="40" customWidth="1"/>
    <col min="10762" max="10762" width="15.5703125" customWidth="1"/>
    <col min="11004" max="11004" width="7.42578125" customWidth="1"/>
    <col min="11005" max="11005" width="81.42578125" bestFit="1" customWidth="1"/>
    <col min="11006" max="11007" width="13" customWidth="1"/>
    <col min="11008" max="11008" width="7.5703125" customWidth="1"/>
    <col min="11009" max="11009" width="7" customWidth="1"/>
    <col min="11010" max="11010" width="1.5703125" customWidth="1"/>
    <col min="11011" max="11011" width="10.5703125" customWidth="1"/>
    <col min="11012" max="11012" width="7.42578125" customWidth="1"/>
    <col min="11014" max="11014" width="40" customWidth="1"/>
    <col min="11018" max="11018" width="15.5703125" customWidth="1"/>
    <col min="11260" max="11260" width="7.42578125" customWidth="1"/>
    <col min="11261" max="11261" width="81.42578125" bestFit="1" customWidth="1"/>
    <col min="11262" max="11263" width="13" customWidth="1"/>
    <col min="11264" max="11264" width="7.5703125" customWidth="1"/>
    <col min="11265" max="11265" width="7" customWidth="1"/>
    <col min="11266" max="11266" width="1.5703125" customWidth="1"/>
    <col min="11267" max="11267" width="10.5703125" customWidth="1"/>
    <col min="11268" max="11268" width="7.42578125" customWidth="1"/>
    <col min="11270" max="11270" width="40" customWidth="1"/>
    <col min="11274" max="11274" width="15.5703125" customWidth="1"/>
    <col min="11516" max="11516" width="7.42578125" customWidth="1"/>
    <col min="11517" max="11517" width="81.42578125" bestFit="1" customWidth="1"/>
    <col min="11518" max="11519" width="13" customWidth="1"/>
    <col min="11520" max="11520" width="7.5703125" customWidth="1"/>
    <col min="11521" max="11521" width="7" customWidth="1"/>
    <col min="11522" max="11522" width="1.5703125" customWidth="1"/>
    <col min="11523" max="11523" width="10.5703125" customWidth="1"/>
    <col min="11524" max="11524" width="7.42578125" customWidth="1"/>
    <col min="11526" max="11526" width="40" customWidth="1"/>
    <col min="11530" max="11530" width="15.5703125" customWidth="1"/>
    <col min="11772" max="11772" width="7.42578125" customWidth="1"/>
    <col min="11773" max="11773" width="81.42578125" bestFit="1" customWidth="1"/>
    <col min="11774" max="11775" width="13" customWidth="1"/>
    <col min="11776" max="11776" width="7.5703125" customWidth="1"/>
    <col min="11777" max="11777" width="7" customWidth="1"/>
    <col min="11778" max="11778" width="1.5703125" customWidth="1"/>
    <col min="11779" max="11779" width="10.5703125" customWidth="1"/>
    <col min="11780" max="11780" width="7.42578125" customWidth="1"/>
    <col min="11782" max="11782" width="40" customWidth="1"/>
    <col min="11786" max="11786" width="15.5703125" customWidth="1"/>
    <col min="12028" max="12028" width="7.42578125" customWidth="1"/>
    <col min="12029" max="12029" width="81.42578125" bestFit="1" customWidth="1"/>
    <col min="12030" max="12031" width="13" customWidth="1"/>
    <col min="12032" max="12032" width="7.5703125" customWidth="1"/>
    <col min="12033" max="12033" width="7" customWidth="1"/>
    <col min="12034" max="12034" width="1.5703125" customWidth="1"/>
    <col min="12035" max="12035" width="10.5703125" customWidth="1"/>
    <col min="12036" max="12036" width="7.42578125" customWidth="1"/>
    <col min="12038" max="12038" width="40" customWidth="1"/>
    <col min="12042" max="12042" width="15.5703125" customWidth="1"/>
    <col min="12284" max="12284" width="7.42578125" customWidth="1"/>
    <col min="12285" max="12285" width="81.42578125" bestFit="1" customWidth="1"/>
    <col min="12286" max="12287" width="13" customWidth="1"/>
    <col min="12288" max="12288" width="7.5703125" customWidth="1"/>
    <col min="12289" max="12289" width="7" customWidth="1"/>
    <col min="12290" max="12290" width="1.5703125" customWidth="1"/>
    <col min="12291" max="12291" width="10.5703125" customWidth="1"/>
    <col min="12292" max="12292" width="7.42578125" customWidth="1"/>
    <col min="12294" max="12294" width="40" customWidth="1"/>
    <col min="12298" max="12298" width="15.5703125" customWidth="1"/>
    <col min="12540" max="12540" width="7.42578125" customWidth="1"/>
    <col min="12541" max="12541" width="81.42578125" bestFit="1" customWidth="1"/>
    <col min="12542" max="12543" width="13" customWidth="1"/>
    <col min="12544" max="12544" width="7.5703125" customWidth="1"/>
    <col min="12545" max="12545" width="7" customWidth="1"/>
    <col min="12546" max="12546" width="1.5703125" customWidth="1"/>
    <col min="12547" max="12547" width="10.5703125" customWidth="1"/>
    <col min="12548" max="12548" width="7.42578125" customWidth="1"/>
    <col min="12550" max="12550" width="40" customWidth="1"/>
    <col min="12554" max="12554" width="15.5703125" customWidth="1"/>
    <col min="12796" max="12796" width="7.42578125" customWidth="1"/>
    <col min="12797" max="12797" width="81.42578125" bestFit="1" customWidth="1"/>
    <col min="12798" max="12799" width="13" customWidth="1"/>
    <col min="12800" max="12800" width="7.5703125" customWidth="1"/>
    <col min="12801" max="12801" width="7" customWidth="1"/>
    <col min="12802" max="12802" width="1.5703125" customWidth="1"/>
    <col min="12803" max="12803" width="10.5703125" customWidth="1"/>
    <col min="12804" max="12804" width="7.42578125" customWidth="1"/>
    <col min="12806" max="12806" width="40" customWidth="1"/>
    <col min="12810" max="12810" width="15.5703125" customWidth="1"/>
    <col min="13052" max="13052" width="7.42578125" customWidth="1"/>
    <col min="13053" max="13053" width="81.42578125" bestFit="1" customWidth="1"/>
    <col min="13054" max="13055" width="13" customWidth="1"/>
    <col min="13056" max="13056" width="7.5703125" customWidth="1"/>
    <col min="13057" max="13057" width="7" customWidth="1"/>
    <col min="13058" max="13058" width="1.5703125" customWidth="1"/>
    <col min="13059" max="13059" width="10.5703125" customWidth="1"/>
    <col min="13060" max="13060" width="7.42578125" customWidth="1"/>
    <col min="13062" max="13062" width="40" customWidth="1"/>
    <col min="13066" max="13066" width="15.5703125" customWidth="1"/>
    <col min="13308" max="13308" width="7.42578125" customWidth="1"/>
    <col min="13309" max="13309" width="81.42578125" bestFit="1" customWidth="1"/>
    <col min="13310" max="13311" width="13" customWidth="1"/>
    <col min="13312" max="13312" width="7.5703125" customWidth="1"/>
    <col min="13313" max="13313" width="7" customWidth="1"/>
    <col min="13314" max="13314" width="1.5703125" customWidth="1"/>
    <col min="13315" max="13315" width="10.5703125" customWidth="1"/>
    <col min="13316" max="13316" width="7.42578125" customWidth="1"/>
    <col min="13318" max="13318" width="40" customWidth="1"/>
    <col min="13322" max="13322" width="15.5703125" customWidth="1"/>
    <col min="13564" max="13564" width="7.42578125" customWidth="1"/>
    <col min="13565" max="13565" width="81.42578125" bestFit="1" customWidth="1"/>
    <col min="13566" max="13567" width="13" customWidth="1"/>
    <col min="13568" max="13568" width="7.5703125" customWidth="1"/>
    <col min="13569" max="13569" width="7" customWidth="1"/>
    <col min="13570" max="13570" width="1.5703125" customWidth="1"/>
    <col min="13571" max="13571" width="10.5703125" customWidth="1"/>
    <col min="13572" max="13572" width="7.42578125" customWidth="1"/>
    <col min="13574" max="13574" width="40" customWidth="1"/>
    <col min="13578" max="13578" width="15.5703125" customWidth="1"/>
    <col min="13820" max="13820" width="7.42578125" customWidth="1"/>
    <col min="13821" max="13821" width="81.42578125" bestFit="1" customWidth="1"/>
    <col min="13822" max="13823" width="13" customWidth="1"/>
    <col min="13824" max="13824" width="7.5703125" customWidth="1"/>
    <col min="13825" max="13825" width="7" customWidth="1"/>
    <col min="13826" max="13826" width="1.5703125" customWidth="1"/>
    <col min="13827" max="13827" width="10.5703125" customWidth="1"/>
    <col min="13828" max="13828" width="7.42578125" customWidth="1"/>
    <col min="13830" max="13830" width="40" customWidth="1"/>
    <col min="13834" max="13834" width="15.5703125" customWidth="1"/>
    <col min="14076" max="14076" width="7.42578125" customWidth="1"/>
    <col min="14077" max="14077" width="81.42578125" bestFit="1" customWidth="1"/>
    <col min="14078" max="14079" width="13" customWidth="1"/>
    <col min="14080" max="14080" width="7.5703125" customWidth="1"/>
    <col min="14081" max="14081" width="7" customWidth="1"/>
    <col min="14082" max="14082" width="1.5703125" customWidth="1"/>
    <col min="14083" max="14083" width="10.5703125" customWidth="1"/>
    <col min="14084" max="14084" width="7.42578125" customWidth="1"/>
    <col min="14086" max="14086" width="40" customWidth="1"/>
    <col min="14090" max="14090" width="15.5703125" customWidth="1"/>
    <col min="14332" max="14332" width="7.42578125" customWidth="1"/>
    <col min="14333" max="14333" width="81.42578125" bestFit="1" customWidth="1"/>
    <col min="14334" max="14335" width="13" customWidth="1"/>
    <col min="14336" max="14336" width="7.5703125" customWidth="1"/>
    <col min="14337" max="14337" width="7" customWidth="1"/>
    <col min="14338" max="14338" width="1.5703125" customWidth="1"/>
    <col min="14339" max="14339" width="10.5703125" customWidth="1"/>
    <col min="14340" max="14340" width="7.42578125" customWidth="1"/>
    <col min="14342" max="14342" width="40" customWidth="1"/>
    <col min="14346" max="14346" width="15.5703125" customWidth="1"/>
    <col min="14588" max="14588" width="7.42578125" customWidth="1"/>
    <col min="14589" max="14589" width="81.42578125" bestFit="1" customWidth="1"/>
    <col min="14590" max="14591" width="13" customWidth="1"/>
    <col min="14592" max="14592" width="7.5703125" customWidth="1"/>
    <col min="14593" max="14593" width="7" customWidth="1"/>
    <col min="14594" max="14594" width="1.5703125" customWidth="1"/>
    <col min="14595" max="14595" width="10.5703125" customWidth="1"/>
    <col min="14596" max="14596" width="7.42578125" customWidth="1"/>
    <col min="14598" max="14598" width="40" customWidth="1"/>
    <col min="14602" max="14602" width="15.5703125" customWidth="1"/>
    <col min="14844" max="14844" width="7.42578125" customWidth="1"/>
    <col min="14845" max="14845" width="81.42578125" bestFit="1" customWidth="1"/>
    <col min="14846" max="14847" width="13" customWidth="1"/>
    <col min="14848" max="14848" width="7.5703125" customWidth="1"/>
    <col min="14849" max="14849" width="7" customWidth="1"/>
    <col min="14850" max="14850" width="1.5703125" customWidth="1"/>
    <col min="14851" max="14851" width="10.5703125" customWidth="1"/>
    <col min="14852" max="14852" width="7.42578125" customWidth="1"/>
    <col min="14854" max="14854" width="40" customWidth="1"/>
    <col min="14858" max="14858" width="15.5703125" customWidth="1"/>
    <col min="15100" max="15100" width="7.42578125" customWidth="1"/>
    <col min="15101" max="15101" width="81.42578125" bestFit="1" customWidth="1"/>
    <col min="15102" max="15103" width="13" customWidth="1"/>
    <col min="15104" max="15104" width="7.5703125" customWidth="1"/>
    <col min="15105" max="15105" width="7" customWidth="1"/>
    <col min="15106" max="15106" width="1.5703125" customWidth="1"/>
    <col min="15107" max="15107" width="10.5703125" customWidth="1"/>
    <col min="15108" max="15108" width="7.42578125" customWidth="1"/>
    <col min="15110" max="15110" width="40" customWidth="1"/>
    <col min="15114" max="15114" width="15.5703125" customWidth="1"/>
    <col min="15356" max="15356" width="7.42578125" customWidth="1"/>
    <col min="15357" max="15357" width="81.42578125" bestFit="1" customWidth="1"/>
    <col min="15358" max="15359" width="13" customWidth="1"/>
    <col min="15360" max="15360" width="7.5703125" customWidth="1"/>
    <col min="15361" max="15361" width="7" customWidth="1"/>
    <col min="15362" max="15362" width="1.5703125" customWidth="1"/>
    <col min="15363" max="15363" width="10.5703125" customWidth="1"/>
    <col min="15364" max="15364" width="7.42578125" customWidth="1"/>
    <col min="15366" max="15366" width="40" customWidth="1"/>
    <col min="15370" max="15370" width="15.5703125" customWidth="1"/>
    <col min="15612" max="15612" width="7.42578125" customWidth="1"/>
    <col min="15613" max="15613" width="81.42578125" bestFit="1" customWidth="1"/>
    <col min="15614" max="15615" width="13" customWidth="1"/>
    <col min="15616" max="15616" width="7.5703125" customWidth="1"/>
    <col min="15617" max="15617" width="7" customWidth="1"/>
    <col min="15618" max="15618" width="1.5703125" customWidth="1"/>
    <col min="15619" max="15619" width="10.5703125" customWidth="1"/>
    <col min="15620" max="15620" width="7.42578125" customWidth="1"/>
    <col min="15622" max="15622" width="40" customWidth="1"/>
    <col min="15626" max="15626" width="15.5703125" customWidth="1"/>
    <col min="15868" max="15868" width="7.42578125" customWidth="1"/>
    <col min="15869" max="15869" width="81.42578125" bestFit="1" customWidth="1"/>
    <col min="15870" max="15871" width="13" customWidth="1"/>
    <col min="15872" max="15872" width="7.5703125" customWidth="1"/>
    <col min="15873" max="15873" width="7" customWidth="1"/>
    <col min="15874" max="15874" width="1.5703125" customWidth="1"/>
    <col min="15875" max="15875" width="10.5703125" customWidth="1"/>
    <col min="15876" max="15876" width="7.42578125" customWidth="1"/>
    <col min="15878" max="15878" width="40" customWidth="1"/>
    <col min="15882" max="15882" width="15.5703125" customWidth="1"/>
    <col min="16124" max="16124" width="7.42578125" customWidth="1"/>
    <col min="16125" max="16125" width="81.42578125" bestFit="1" customWidth="1"/>
    <col min="16126" max="16127" width="13" customWidth="1"/>
    <col min="16128" max="16128" width="7.5703125" customWidth="1"/>
    <col min="16129" max="16129" width="7" customWidth="1"/>
    <col min="16130" max="16130" width="1.5703125" customWidth="1"/>
    <col min="16131" max="16131" width="10.5703125" customWidth="1"/>
    <col min="16132" max="16132" width="7.42578125" customWidth="1"/>
    <col min="16134" max="16134" width="40" customWidth="1"/>
    <col min="16138" max="16138" width="15.5703125" customWidth="1"/>
  </cols>
  <sheetData>
    <row r="1" spans="1:225" s="18" customFormat="1" ht="20.100000000000001">
      <c r="A1" s="49" t="s">
        <v>0</v>
      </c>
      <c r="B1" s="158"/>
      <c r="C1" s="158"/>
      <c r="D1" s="158"/>
      <c r="E1" s="183"/>
      <c r="F1" s="159"/>
      <c r="G1" s="159"/>
      <c r="H1" s="159"/>
      <c r="I1" s="159"/>
    </row>
    <row r="2" spans="1:225" s="18" customFormat="1" ht="20.100000000000001">
      <c r="E2" s="181"/>
    </row>
    <row r="3" spans="1:225" s="18" customFormat="1" ht="20.100000000000001">
      <c r="A3" s="238" t="str">
        <f>"ANNUAL RETURN INFORMATION REQUIREMENTS "&amp;_reportyear</f>
        <v>ANNUAL RETURN INFORMATION REQUIREMENTS 2023-24</v>
      </c>
      <c r="B3" s="20"/>
      <c r="C3" s="20"/>
      <c r="D3" s="20"/>
      <c r="E3" s="184"/>
      <c r="F3" s="21"/>
      <c r="G3" s="21"/>
      <c r="H3" s="21"/>
      <c r="I3" s="21"/>
      <c r="J3" s="21"/>
      <c r="K3" s="21"/>
    </row>
    <row r="4" spans="1:225" s="1" customFormat="1" ht="15.6">
      <c r="A4" s="22"/>
      <c r="B4" s="23"/>
      <c r="C4" s="23"/>
      <c r="D4" s="23"/>
      <c r="E4" s="61"/>
    </row>
    <row r="5" spans="1:225" s="1" customFormat="1" ht="15.95" thickBot="1">
      <c r="A5" s="22"/>
      <c r="B5" s="23"/>
      <c r="C5" s="23"/>
      <c r="D5" s="23"/>
      <c r="E5" s="61"/>
    </row>
    <row r="6" spans="1:225" s="1" customFormat="1" ht="20.100000000000001">
      <c r="A6" s="160" t="s">
        <v>1</v>
      </c>
      <c r="B6" s="161"/>
      <c r="C6" s="161"/>
      <c r="D6" s="161"/>
      <c r="E6" s="157"/>
      <c r="F6" s="24"/>
    </row>
    <row r="7" spans="1:225" s="1" customFormat="1" ht="20.45" thickBot="1">
      <c r="A7" s="25" t="s">
        <v>726</v>
      </c>
      <c r="B7" s="162"/>
      <c r="C7" s="162"/>
      <c r="D7" s="162"/>
      <c r="E7" s="185"/>
      <c r="F7" s="26"/>
      <c r="K7"/>
    </row>
    <row r="8" spans="1:225" s="1" customFormat="1" ht="15.6">
      <c r="A8" s="22"/>
      <c r="E8" s="61"/>
      <c r="K8"/>
    </row>
    <row r="9" spans="1:225" s="1" customFormat="1" ht="23.1" thickBot="1">
      <c r="E9" s="61"/>
      <c r="I9"/>
      <c r="J9" s="27"/>
      <c r="K9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</row>
    <row r="10" spans="1:225" s="2" customFormat="1" ht="20.85" customHeight="1">
      <c r="A10" s="28" t="s">
        <v>3</v>
      </c>
      <c r="B10" s="29" t="s">
        <v>4</v>
      </c>
      <c r="C10" s="30" t="s">
        <v>5</v>
      </c>
      <c r="D10" s="31" t="s">
        <v>6</v>
      </c>
      <c r="E10" s="61"/>
      <c r="F10" s="1323" t="s">
        <v>7</v>
      </c>
      <c r="G10" s="1324"/>
      <c r="H10" s="797"/>
      <c r="I10" s="1323" t="s">
        <v>8</v>
      </c>
      <c r="J10" s="1324"/>
      <c r="K10" s="267"/>
    </row>
    <row r="11" spans="1:225" s="2" customFormat="1" ht="15.6">
      <c r="A11" s="33" t="s">
        <v>9</v>
      </c>
      <c r="B11" s="34"/>
      <c r="C11" s="35"/>
      <c r="D11" s="36" t="s">
        <v>10</v>
      </c>
      <c r="E11" s="61"/>
      <c r="F11" s="1325"/>
      <c r="G11" s="1326"/>
      <c r="H11" s="797"/>
      <c r="I11" s="1325"/>
      <c r="J11" s="1326"/>
      <c r="K11" s="267"/>
    </row>
    <row r="12" spans="1:225" s="1" customFormat="1" ht="19.5" customHeight="1" thickBot="1">
      <c r="A12" s="37"/>
      <c r="B12" s="38"/>
      <c r="C12" s="39"/>
      <c r="D12" s="40"/>
      <c r="E12" s="61"/>
      <c r="F12" s="48" t="str">
        <f>_reportyear</f>
        <v>2023-24</v>
      </c>
      <c r="G12" s="793" t="s">
        <v>11</v>
      </c>
      <c r="H12" s="193"/>
      <c r="I12" s="48" t="str">
        <f>_reportyearplus1</f>
        <v>2024-25</v>
      </c>
      <c r="J12" s="796" t="s">
        <v>11</v>
      </c>
      <c r="K12" s="267"/>
    </row>
    <row r="13" spans="1:225" s="1" customFormat="1" ht="15.95" thickBot="1">
      <c r="A13" s="190"/>
      <c r="B13" s="41"/>
      <c r="E13" s="61"/>
      <c r="I13"/>
      <c r="J13" s="2"/>
      <c r="K13" s="2"/>
    </row>
    <row r="14" spans="1:225" s="1" customFormat="1" ht="15.95" thickBot="1">
      <c r="A14" s="163"/>
      <c r="B14" s="45" t="s">
        <v>727</v>
      </c>
      <c r="C14" s="45"/>
      <c r="D14" s="164"/>
      <c r="E14" s="61"/>
      <c r="I14"/>
      <c r="J14" s="2"/>
      <c r="K14" s="2"/>
    </row>
    <row r="15" spans="1:225" s="1" customFormat="1" ht="15.95" thickBot="1">
      <c r="A15" s="165" t="s">
        <v>728</v>
      </c>
      <c r="B15" s="129" t="s">
        <v>729</v>
      </c>
      <c r="C15" s="130" t="s">
        <v>21</v>
      </c>
      <c r="D15" s="131" t="s">
        <v>16</v>
      </c>
      <c r="E15" s="61"/>
      <c r="F15" s="899">
        <v>159.68</v>
      </c>
      <c r="G15" s="132" t="s">
        <v>17</v>
      </c>
      <c r="I15" s="899"/>
      <c r="J15" s="132"/>
      <c r="K15" s="2"/>
    </row>
    <row r="16" spans="1:225" s="1" customFormat="1" ht="15.95" thickBot="1">
      <c r="B16" s="41"/>
      <c r="E16" s="61"/>
      <c r="K16" s="2"/>
    </row>
    <row r="17" spans="1:11" s="1" customFormat="1" ht="15.95" thickBot="1">
      <c r="A17" s="456"/>
      <c r="B17" s="45" t="s">
        <v>730</v>
      </c>
      <c r="C17" s="46"/>
      <c r="D17" s="47"/>
      <c r="E17" s="61"/>
      <c r="F17" s="2"/>
      <c r="G17" s="2"/>
      <c r="I17" s="2"/>
      <c r="J17" s="2"/>
      <c r="K17" s="2"/>
    </row>
    <row r="18" spans="1:11" s="1" customFormat="1" ht="15.6">
      <c r="A18" s="457" t="s">
        <v>731</v>
      </c>
      <c r="B18" s="454" t="s">
        <v>732</v>
      </c>
      <c r="C18" s="114" t="s">
        <v>21</v>
      </c>
      <c r="D18" s="64" t="s">
        <v>16</v>
      </c>
      <c r="E18" s="61"/>
      <c r="F18" s="1027">
        <v>2501</v>
      </c>
      <c r="G18" s="1028" t="s">
        <v>173</v>
      </c>
      <c r="I18" s="1027">
        <v>3000</v>
      </c>
      <c r="J18" s="1028" t="s">
        <v>173</v>
      </c>
      <c r="K18" s="2"/>
    </row>
    <row r="19" spans="1:11" s="1" customFormat="1" ht="15.6">
      <c r="A19" s="453" t="s">
        <v>733</v>
      </c>
      <c r="B19" s="455" t="s">
        <v>734</v>
      </c>
      <c r="C19" s="115" t="s">
        <v>21</v>
      </c>
      <c r="D19" s="66" t="s">
        <v>16</v>
      </c>
      <c r="E19" s="61"/>
      <c r="F19" s="898">
        <v>45.73</v>
      </c>
      <c r="G19" s="329" t="s">
        <v>173</v>
      </c>
      <c r="I19" s="898" t="s">
        <v>23</v>
      </c>
      <c r="J19" s="329" t="s">
        <v>229</v>
      </c>
      <c r="K19" s="2"/>
    </row>
    <row r="20" spans="1:11" s="1" customFormat="1" ht="15.6">
      <c r="A20" s="453" t="s">
        <v>735</v>
      </c>
      <c r="B20" s="455" t="s">
        <v>736</v>
      </c>
      <c r="C20" s="115" t="s">
        <v>21</v>
      </c>
      <c r="D20" s="66" t="s">
        <v>16</v>
      </c>
      <c r="E20" s="61"/>
      <c r="F20" s="1238">
        <v>907</v>
      </c>
      <c r="G20" s="1239" t="s">
        <v>157</v>
      </c>
      <c r="H20"/>
      <c r="I20" s="1238" t="s">
        <v>23</v>
      </c>
      <c r="J20" s="1239" t="s">
        <v>229</v>
      </c>
      <c r="K20" s="2"/>
    </row>
    <row r="21" spans="1:11" s="1" customFormat="1" ht="15.6">
      <c r="A21" s="453" t="s">
        <v>737</v>
      </c>
      <c r="B21" s="455" t="s">
        <v>738</v>
      </c>
      <c r="C21" s="115" t="s">
        <v>21</v>
      </c>
      <c r="D21" s="66" t="s">
        <v>16</v>
      </c>
      <c r="E21" s="61"/>
      <c r="F21" s="328">
        <v>4083</v>
      </c>
      <c r="G21" s="329" t="s">
        <v>157</v>
      </c>
      <c r="H21"/>
      <c r="I21" s="328" t="s">
        <v>23</v>
      </c>
      <c r="J21" s="329" t="s">
        <v>229</v>
      </c>
      <c r="K21" s="2"/>
    </row>
    <row r="22" spans="1:11" s="1" customFormat="1" ht="15.6">
      <c r="A22" s="453" t="s">
        <v>739</v>
      </c>
      <c r="B22" s="455" t="s">
        <v>740</v>
      </c>
      <c r="C22" s="115" t="s">
        <v>26</v>
      </c>
      <c r="D22" s="66" t="s">
        <v>27</v>
      </c>
      <c r="E22" s="61"/>
      <c r="F22" s="900">
        <f>+(F20/F21)*100</f>
        <v>22.214058290472689</v>
      </c>
      <c r="G22" s="329" t="s">
        <v>157</v>
      </c>
      <c r="H22"/>
      <c r="I22" s="900" t="e">
        <f>+(I20/I21)*100</f>
        <v>#VALUE!</v>
      </c>
      <c r="J22" s="329" t="s">
        <v>229</v>
      </c>
      <c r="K22" s="2"/>
    </row>
    <row r="23" spans="1:11" s="1" customFormat="1" ht="15.6">
      <c r="A23" s="453" t="s">
        <v>741</v>
      </c>
      <c r="B23" s="455" t="s">
        <v>742</v>
      </c>
      <c r="C23" s="115" t="s">
        <v>21</v>
      </c>
      <c r="D23" s="66" t="s">
        <v>16</v>
      </c>
      <c r="E23" s="61"/>
      <c r="F23" s="328">
        <v>34917</v>
      </c>
      <c r="G23" s="329" t="s">
        <v>34</v>
      </c>
      <c r="H23"/>
      <c r="I23" s="328" t="s">
        <v>23</v>
      </c>
      <c r="J23" s="329" t="s">
        <v>229</v>
      </c>
      <c r="K23" s="2"/>
    </row>
    <row r="24" spans="1:11" s="1" customFormat="1" ht="15.95" thickBot="1">
      <c r="A24" s="458" t="s">
        <v>743</v>
      </c>
      <c r="B24" s="459" t="s">
        <v>744</v>
      </c>
      <c r="C24" s="340" t="s">
        <v>21</v>
      </c>
      <c r="D24" s="460" t="s">
        <v>16</v>
      </c>
      <c r="E24" s="61"/>
      <c r="F24" s="901">
        <v>638.46</v>
      </c>
      <c r="G24" s="515" t="s">
        <v>34</v>
      </c>
      <c r="H24"/>
      <c r="I24" s="901" t="s">
        <v>23</v>
      </c>
      <c r="J24" s="515" t="s">
        <v>229</v>
      </c>
      <c r="K24" s="2"/>
    </row>
    <row r="25" spans="1:11" ht="12.95" thickBot="1"/>
    <row r="26" spans="1:11" ht="17.850000000000001" customHeight="1" thickBot="1">
      <c r="A26" s="320"/>
      <c r="B26" s="321" t="s">
        <v>745</v>
      </c>
      <c r="C26" s="641"/>
      <c r="D26" s="642"/>
      <c r="E26" s="61"/>
    </row>
    <row r="27" spans="1:11">
      <c r="A27" s="716" t="s">
        <v>746</v>
      </c>
      <c r="B27" s="461" t="s">
        <v>747</v>
      </c>
      <c r="C27" s="119" t="s">
        <v>26</v>
      </c>
      <c r="D27" s="120" t="s">
        <v>27</v>
      </c>
      <c r="E27" s="61"/>
      <c r="F27" s="1288">
        <f>F28/F29</f>
        <v>0.25131004010382374</v>
      </c>
      <c r="G27" s="1291" t="s">
        <v>18</v>
      </c>
      <c r="H27" s="1292"/>
      <c r="I27" s="1288">
        <f>I28/I29</f>
        <v>0.24879550247507035</v>
      </c>
      <c r="J27" s="1291" t="s">
        <v>18</v>
      </c>
    </row>
    <row r="28" spans="1:11">
      <c r="A28" s="717" t="s">
        <v>748</v>
      </c>
      <c r="B28" s="171" t="s">
        <v>749</v>
      </c>
      <c r="C28" s="115" t="s">
        <v>750</v>
      </c>
      <c r="D28" s="66" t="s">
        <v>16</v>
      </c>
      <c r="E28" s="61"/>
      <c r="F28" s="1293">
        <v>461.84</v>
      </c>
      <c r="G28" s="1294" t="s">
        <v>18</v>
      </c>
      <c r="H28" s="1292"/>
      <c r="I28" s="1293">
        <v>451.84</v>
      </c>
      <c r="J28" s="1294" t="s">
        <v>18</v>
      </c>
    </row>
    <row r="29" spans="1:11">
      <c r="A29" s="717" t="s">
        <v>751</v>
      </c>
      <c r="B29" s="171" t="s">
        <v>752</v>
      </c>
      <c r="C29" s="115" t="s">
        <v>750</v>
      </c>
      <c r="D29" s="66" t="s">
        <v>16</v>
      </c>
      <c r="E29" s="61"/>
      <c r="F29" s="1295">
        <v>1837.73</v>
      </c>
      <c r="G29" s="1296" t="s">
        <v>17</v>
      </c>
      <c r="H29" s="1292"/>
      <c r="I29" s="1295">
        <v>1816.11</v>
      </c>
      <c r="J29" s="1296" t="s">
        <v>17</v>
      </c>
    </row>
    <row r="30" spans="1:11">
      <c r="A30" s="717" t="s">
        <v>753</v>
      </c>
      <c r="B30" s="171" t="s">
        <v>754</v>
      </c>
      <c r="C30" s="115" t="s">
        <v>750</v>
      </c>
      <c r="D30" s="66" t="s">
        <v>16</v>
      </c>
      <c r="E30" s="61"/>
      <c r="F30" s="1297">
        <v>449</v>
      </c>
      <c r="G30" s="1298" t="s">
        <v>18</v>
      </c>
      <c r="H30" s="1292"/>
      <c r="I30" s="1297">
        <v>452</v>
      </c>
      <c r="J30" s="1298" t="s">
        <v>18</v>
      </c>
    </row>
    <row r="31" spans="1:11" ht="12.95" thickBot="1">
      <c r="A31" s="718" t="s">
        <v>755</v>
      </c>
      <c r="B31" s="392" t="s">
        <v>756</v>
      </c>
      <c r="C31" s="340" t="s">
        <v>26</v>
      </c>
      <c r="D31" s="460" t="s">
        <v>27</v>
      </c>
      <c r="E31" s="61"/>
      <c r="F31" s="1289">
        <f>(F30/F28-1)*-1</f>
        <v>2.7801836133725888E-2</v>
      </c>
      <c r="G31" s="1290" t="s">
        <v>18</v>
      </c>
      <c r="H31" s="1292"/>
      <c r="I31" s="1289">
        <f>(I30/I28-1)*-1</f>
        <v>-3.5410764872523259E-4</v>
      </c>
      <c r="J31" s="1290" t="s">
        <v>18</v>
      </c>
    </row>
    <row r="34" spans="1:6" ht="12.95" thickBot="1"/>
    <row r="35" spans="1:6">
      <c r="A35" s="13" t="s">
        <v>145</v>
      </c>
      <c r="B35" s="1268"/>
      <c r="C35" s="197" t="s">
        <v>40</v>
      </c>
      <c r="D35" s="3"/>
      <c r="E35" s="186"/>
      <c r="F35" s="14"/>
    </row>
    <row r="36" spans="1:6">
      <c r="A36" s="8"/>
      <c r="B36" s="1269"/>
      <c r="C36" s="1269"/>
      <c r="D36" s="1269"/>
      <c r="E36" s="1270"/>
      <c r="F36" s="15"/>
    </row>
    <row r="37" spans="1:6">
      <c r="A37" s="6" t="s">
        <v>41</v>
      </c>
      <c r="B37" s="1269"/>
      <c r="C37" s="207" t="s">
        <v>40</v>
      </c>
      <c r="D37" s="1269"/>
      <c r="E37" s="1270"/>
      <c r="F37" s="15"/>
    </row>
    <row r="38" spans="1:6">
      <c r="A38" s="8"/>
      <c r="C38" s="1269"/>
      <c r="D38" s="1269"/>
      <c r="E38" s="1270"/>
      <c r="F38" s="15"/>
    </row>
    <row r="39" spans="1:6" ht="12.95" thickBot="1">
      <c r="A39" s="9" t="s">
        <v>42</v>
      </c>
      <c r="B39" s="10"/>
      <c r="C39" s="10" t="s">
        <v>43</v>
      </c>
      <c r="D39" s="10"/>
      <c r="E39" s="187"/>
      <c r="F39" s="16"/>
    </row>
    <row r="40" spans="1:6">
      <c r="B40" s="17"/>
      <c r="C40" s="43"/>
      <c r="D40" s="43"/>
    </row>
  </sheetData>
  <mergeCells count="2">
    <mergeCell ref="F10:G11"/>
    <mergeCell ref="I10:J11"/>
  </mergeCells>
  <phoneticPr fontId="25" type="noConversion"/>
  <pageMargins left="0.7" right="0.7" top="0.75" bottom="0.75" header="0.3" footer="0.3"/>
  <pageSetup paperSize="8" orientation="landscape" r:id="rId1"/>
  <headerFooter>
    <oddFooter>&amp;L&amp;1#&amp;"Arial"&amp;11&amp;K000000SW Private Commercial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F6376-A6DE-434A-BEB6-32D88B26330E}">
  <sheetPr>
    <pageSetUpPr fitToPage="1"/>
  </sheetPr>
  <dimension ref="A1:HS362"/>
  <sheetViews>
    <sheetView zoomScaleNormal="100" workbookViewId="0">
      <selection sqref="A1:XFD1048576"/>
    </sheetView>
  </sheetViews>
  <sheetFormatPr defaultColWidth="9.42578125" defaultRowHeight="15" customHeight="1"/>
  <cols>
    <col min="1" max="1" width="7.42578125" customWidth="1"/>
    <col min="2" max="2" width="59.42578125" bestFit="1" customWidth="1"/>
    <col min="3" max="4" width="13.42578125" customWidth="1"/>
    <col min="5" max="5" width="6.5703125" customWidth="1"/>
    <col min="6" max="11" width="20.5703125" customWidth="1"/>
    <col min="12" max="12" width="9.42578125" customWidth="1"/>
  </cols>
  <sheetData>
    <row r="1" spans="1:227" s="18" customFormat="1" ht="20.100000000000001">
      <c r="A1" s="49" t="s">
        <v>0</v>
      </c>
      <c r="B1" s="50"/>
      <c r="C1" s="50"/>
      <c r="D1" s="50"/>
      <c r="G1"/>
      <c r="H1"/>
    </row>
    <row r="2" spans="1:227" s="18" customFormat="1" ht="20.100000000000001">
      <c r="G2"/>
      <c r="H2"/>
    </row>
    <row r="3" spans="1:227" s="18" customFormat="1" ht="20.100000000000001">
      <c r="A3" s="238" t="str">
        <f>"ANNUAL RETURN INFORMATION REQUIREMENTS "&amp;_reportyear</f>
        <v>ANNUAL RETURN INFORMATION REQUIREMENTS 2023-24</v>
      </c>
      <c r="B3" s="20"/>
      <c r="C3" s="20"/>
      <c r="D3" s="20"/>
      <c r="E3" s="21"/>
      <c r="F3" s="21"/>
      <c r="G3" s="169"/>
      <c r="H3" s="169"/>
      <c r="I3" s="21"/>
      <c r="J3" s="21"/>
      <c r="K3" s="21"/>
      <c r="L3" s="21"/>
    </row>
    <row r="4" spans="1:227" s="1" customFormat="1" ht="15" customHeight="1">
      <c r="A4" s="22"/>
      <c r="B4" s="23"/>
      <c r="C4" s="23"/>
      <c r="D4" s="23"/>
      <c r="G4"/>
      <c r="H4"/>
    </row>
    <row r="5" spans="1:227" s="1" customFormat="1" ht="15" customHeight="1" thickBot="1">
      <c r="A5" s="22"/>
      <c r="B5" s="23"/>
      <c r="C5" s="23"/>
      <c r="D5" s="23"/>
      <c r="G5"/>
      <c r="H5"/>
    </row>
    <row r="6" spans="1:227" s="1" customFormat="1" ht="25.35" customHeight="1">
      <c r="A6" s="51" t="s">
        <v>1</v>
      </c>
      <c r="B6" s="24"/>
      <c r="G6"/>
      <c r="H6"/>
    </row>
    <row r="7" spans="1:227" s="1" customFormat="1" ht="25.35" customHeight="1" thickBot="1">
      <c r="A7" s="25" t="s">
        <v>757</v>
      </c>
      <c r="B7" s="26"/>
      <c r="G7"/>
      <c r="H7"/>
    </row>
    <row r="8" spans="1:227" s="1" customFormat="1" ht="15" customHeight="1">
      <c r="A8" s="22"/>
      <c r="G8"/>
      <c r="H8"/>
    </row>
    <row r="9" spans="1:227" s="1" customFormat="1" ht="15" customHeight="1" thickBot="1">
      <c r="G9"/>
      <c r="H9"/>
      <c r="J9"/>
      <c r="K9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</row>
    <row r="10" spans="1:227" s="2" customFormat="1" ht="25.35" customHeight="1">
      <c r="A10" s="28" t="s">
        <v>3</v>
      </c>
      <c r="B10" s="29" t="s">
        <v>4</v>
      </c>
      <c r="C10" s="30" t="s">
        <v>5</v>
      </c>
      <c r="D10" s="31" t="s">
        <v>6</v>
      </c>
      <c r="E10"/>
      <c r="F10" s="1335" t="s">
        <v>758</v>
      </c>
      <c r="G10" s="1335" t="s">
        <v>759</v>
      </c>
      <c r="H10" s="1335" t="s">
        <v>760</v>
      </c>
      <c r="I10" s="1335" t="s">
        <v>761</v>
      </c>
      <c r="J10" s="1335" t="s">
        <v>762</v>
      </c>
      <c r="K10" s="1335" t="s">
        <v>763</v>
      </c>
    </row>
    <row r="11" spans="1:227" s="2" customFormat="1" ht="25.35" customHeight="1">
      <c r="A11" s="33" t="s">
        <v>9</v>
      </c>
      <c r="B11" s="34"/>
      <c r="C11" s="35"/>
      <c r="D11" s="36" t="s">
        <v>10</v>
      </c>
      <c r="E11"/>
      <c r="F11" s="1336"/>
      <c r="G11" s="1336"/>
      <c r="H11" s="1336"/>
      <c r="I11" s="1336"/>
      <c r="J11" s="1336"/>
      <c r="K11" s="1336"/>
    </row>
    <row r="12" spans="1:227" s="1" customFormat="1" ht="25.35" customHeight="1" thickBot="1">
      <c r="A12" s="37"/>
      <c r="B12" s="38"/>
      <c r="C12" s="39"/>
      <c r="D12" s="40"/>
      <c r="E12"/>
      <c r="F12" s="1337"/>
      <c r="G12" s="1337"/>
      <c r="H12" s="1337"/>
      <c r="I12" s="1337"/>
      <c r="J12" s="1337"/>
      <c r="K12" s="1337"/>
    </row>
    <row r="13" spans="1:227" s="1" customFormat="1" ht="15" customHeight="1">
      <c r="B13" s="41"/>
      <c r="E13"/>
      <c r="F13"/>
      <c r="G13"/>
      <c r="H13"/>
      <c r="I13"/>
      <c r="K13"/>
    </row>
    <row r="14" spans="1:227" s="1" customFormat="1" ht="15" customHeight="1" thickBot="1">
      <c r="B14" s="41"/>
      <c r="E14"/>
      <c r="K14"/>
    </row>
    <row r="15" spans="1:227" s="42" customFormat="1" ht="15" customHeight="1" thickBot="1">
      <c r="A15" s="44"/>
      <c r="B15" s="45" t="s">
        <v>764</v>
      </c>
      <c r="C15" s="46"/>
      <c r="D15" s="47"/>
      <c r="E15"/>
      <c r="F15" s="240"/>
      <c r="G15" s="240"/>
      <c r="H15" s="240"/>
      <c r="I15" s="240"/>
      <c r="J15" s="240"/>
      <c r="K15" s="240"/>
    </row>
    <row r="16" spans="1:227" s="1" customFormat="1" ht="15" customHeight="1">
      <c r="A16" s="155" t="s">
        <v>765</v>
      </c>
      <c r="B16" s="63" t="s">
        <v>766</v>
      </c>
      <c r="C16" s="202" t="s">
        <v>21</v>
      </c>
      <c r="D16" s="64" t="s">
        <v>27</v>
      </c>
      <c r="F16" s="902">
        <f>IF(COUNTA(B9a!$B$13:$B$262)=0,NA(),COUNTA(B9a!$B$13:$B$262))</f>
        <v>189</v>
      </c>
      <c r="G16" s="902">
        <f>IF(COUNTA(B9b!$B$13:$B$262)=0,NA(),COUNTA(B9b!$B$13:$B$262))</f>
        <v>189</v>
      </c>
      <c r="H16" s="902">
        <f>IF(COUNTA(B9c!$B$13:$B$262)=0,NA(),COUNTA(B9c!$B$13:$B$262))</f>
        <v>189</v>
      </c>
      <c r="I16" s="902">
        <f>IF(COUNTA(B9d!$B$13:$B$262)=0,NA(),COUNTA(B9d!$B$13:$B$262))</f>
        <v>189</v>
      </c>
      <c r="J16" s="902">
        <f>IF(COUNTA(B9e!$B$13:$B$262)=0,NA(),COUNTA(B9e!$B$13:$B$262))</f>
        <v>189</v>
      </c>
      <c r="K16" s="902">
        <f>IF(COUNTA(B9f!$B$13:$B$262)=0,NA(),COUNTA(B9f!$B$13:$B$262))</f>
        <v>189</v>
      </c>
      <c r="L16" s="42"/>
    </row>
    <row r="17" spans="1:12" s="1" customFormat="1" ht="15" customHeight="1">
      <c r="A17" s="116" t="s">
        <v>767</v>
      </c>
      <c r="B17" s="65" t="s">
        <v>768</v>
      </c>
      <c r="C17" s="241" t="s">
        <v>21</v>
      </c>
      <c r="D17" s="66" t="s">
        <v>27</v>
      </c>
      <c r="F17" s="721">
        <f>IF(ISERROR(F16),NA(),COUNTIF(B9a!$K$13:$K$262,"&lt;"&amp;0))</f>
        <v>49</v>
      </c>
      <c r="G17" s="721">
        <f>IF(ISERROR(G16),NA(),COUNTIF(B9b!$K$13:$K$262,"&lt;"&amp;0))</f>
        <v>85</v>
      </c>
      <c r="H17" s="721">
        <f>IF(ISERROR(H16),NA(),COUNTIF(B9c!$K$13:$K$262,"&lt;"&amp;0))</f>
        <v>61</v>
      </c>
      <c r="I17" s="721">
        <f>IF(ISERROR(I16),NA(),COUNTIF(B9d!$K$13:$K$262,"&lt;"&amp;0))</f>
        <v>94</v>
      </c>
      <c r="J17" s="721">
        <f>IF(ISERROR(J16),NA(),COUNTIF(B9e!$K$13:$K$262,"&lt;"&amp;0))</f>
        <v>64</v>
      </c>
      <c r="K17" s="721">
        <f>IF(ISERROR(K16),NA(),COUNTIF(B9f!$K$13:$K$262,"&lt;"&amp;0))</f>
        <v>96</v>
      </c>
      <c r="L17" s="42"/>
    </row>
    <row r="18" spans="1:12" s="1" customFormat="1" ht="15" customHeight="1">
      <c r="A18" s="116" t="s">
        <v>769</v>
      </c>
      <c r="B18" s="65" t="s">
        <v>770</v>
      </c>
      <c r="C18" s="241" t="s">
        <v>21</v>
      </c>
      <c r="D18" s="66" t="s">
        <v>27</v>
      </c>
      <c r="F18" s="720">
        <f>IF(ISERROR(F16),NA(),B9a!$Q$263)</f>
        <v>48.668344489402614</v>
      </c>
      <c r="G18" s="720">
        <f>IF(ISERROR(G16),NA(),B9b!$Q$263)</f>
        <v>31.269067482622237</v>
      </c>
      <c r="H18" s="720">
        <f>IF(ISERROR(H16),NA(),B9c!$Q$263)</f>
        <v>18.630759999742498</v>
      </c>
      <c r="I18" s="720">
        <f>IF(ISERROR(I16),NA(),B9d!$Q$263)</f>
        <v>0.44759385918337058</v>
      </c>
      <c r="J18" s="720">
        <f>IF(ISERROR(J16),NA(),B9e!$Q$263)</f>
        <v>-16.205540971411779</v>
      </c>
      <c r="K18" s="720">
        <f>IF(ISERROR(K16),NA(),B9f!$Q$263)</f>
        <v>-35.060640132465949</v>
      </c>
      <c r="L18" s="42"/>
    </row>
    <row r="19" spans="1:12" s="1" customFormat="1" ht="15" customHeight="1">
      <c r="A19" s="116" t="s">
        <v>771</v>
      </c>
      <c r="B19" s="65" t="s">
        <v>772</v>
      </c>
      <c r="C19" s="241" t="s">
        <v>21</v>
      </c>
      <c r="D19" s="66" t="s">
        <v>27</v>
      </c>
      <c r="F19" s="721">
        <f t="shared" ref="F19:G19" si="0">ROUNDDOWN(F18,0)</f>
        <v>48</v>
      </c>
      <c r="G19" s="721">
        <f t="shared" si="0"/>
        <v>31</v>
      </c>
      <c r="H19" s="721">
        <f>ROUNDDOWN(H18,0)</f>
        <v>18</v>
      </c>
      <c r="I19" s="721">
        <f>ROUNDDOWN(I18,0)</f>
        <v>0</v>
      </c>
      <c r="J19" s="721">
        <f>ROUNDDOWN(J18,0)</f>
        <v>-16</v>
      </c>
      <c r="K19" s="721">
        <f>ROUNDDOWN(K18,0)</f>
        <v>-35</v>
      </c>
      <c r="L19" s="42"/>
    </row>
    <row r="20" spans="1:12" s="1" customFormat="1" ht="15" customHeight="1">
      <c r="A20" s="116" t="s">
        <v>773</v>
      </c>
      <c r="B20" s="65" t="s">
        <v>774</v>
      </c>
      <c r="C20" s="241" t="s">
        <v>775</v>
      </c>
      <c r="D20" s="66" t="s">
        <v>27</v>
      </c>
      <c r="F20" s="719" t="str" cm="1">
        <f t="array" ref="F20">_xlfn.IFS(F18=100,"A",F18&gt;=90,"B",F18&gt;=50,"C",F18&lt;50,"D")</f>
        <v>D</v>
      </c>
      <c r="G20" s="719" t="str" cm="1">
        <f t="array" ref="G20">_xlfn.IFS(G18=100,"A",G18&gt;=90,"B",G18&gt;=50,"C",G18&lt;50,"D")</f>
        <v>D</v>
      </c>
      <c r="H20" s="719" t="str" cm="1">
        <f t="array" ref="H20">_xlfn.IFS(H18=100,"A",H18&gt;=90,"B",H18&gt;=50,"C",H18&lt;50,"D")</f>
        <v>D</v>
      </c>
      <c r="I20" s="719" t="str" cm="1">
        <f t="array" ref="I20">_xlfn.IFS(I18=100,"A",I18&gt;=90,"B",I18&gt;=50,"C",I18&lt;50,"D")</f>
        <v>D</v>
      </c>
      <c r="J20" s="719" t="str" cm="1">
        <f t="array" ref="J20">_xlfn.IFS(J18=100,"A",J18&gt;=90,"B",J18&gt;=50,"C",J18&lt;50,"D")</f>
        <v>D</v>
      </c>
      <c r="K20" s="719" t="str" cm="1">
        <f t="array" ref="K20">_xlfn.IFS(K18=100,"A",K18&gt;=90,"B",K18&gt;=50,"C",K18&lt;50,"D")</f>
        <v>D</v>
      </c>
      <c r="L20" s="42"/>
    </row>
    <row r="21" spans="1:12" s="1" customFormat="1" ht="15" customHeight="1" thickBot="1">
      <c r="A21" s="156" t="s">
        <v>776</v>
      </c>
      <c r="B21" s="396" t="s">
        <v>777</v>
      </c>
      <c r="C21" s="128" t="s">
        <v>26</v>
      </c>
      <c r="D21" s="67" t="s">
        <v>27</v>
      </c>
      <c r="F21" s="722">
        <f>IF(ISERROR(F16),NA(),B9a!$R$263)</f>
        <v>0.70101372658003214</v>
      </c>
      <c r="G21" s="722">
        <f>IF(ISERROR(G16),NA(),B9b!$R$263)</f>
        <v>0.63242984326077534</v>
      </c>
      <c r="H21" s="722">
        <f>IF(ISERROR(H16),NA(),B9c!$R$263)</f>
        <v>0.59402040011976731</v>
      </c>
      <c r="I21" s="722">
        <f>IF(ISERROR(I16),NA(),B9d!$R$263)</f>
        <v>0.52602119105768042</v>
      </c>
      <c r="J21" s="722">
        <f>IF(ISERROR(J16),NA(),B9e!$R$263)</f>
        <v>0.45763167995219378</v>
      </c>
      <c r="K21" s="722">
        <f>IF(ISERROR(K16),NA(),B9f!$R$263)</f>
        <v>0.38950609341455411</v>
      </c>
      <c r="L21" s="42"/>
    </row>
    <row r="23" spans="1:12" s="1" customFormat="1" ht="15" customHeight="1" thickBot="1">
      <c r="A23" s="44"/>
      <c r="B23" s="45" t="s">
        <v>778</v>
      </c>
      <c r="C23" s="46"/>
      <c r="D23" s="47"/>
      <c r="F23" s="242"/>
      <c r="G23" s="243"/>
      <c r="H23" s="243"/>
      <c r="I23" s="243"/>
      <c r="J23" s="243"/>
      <c r="K23" s="244"/>
      <c r="L23" s="42"/>
    </row>
    <row r="24" spans="1:12" s="1" customFormat="1" ht="15" customHeight="1">
      <c r="A24" s="155" t="s">
        <v>779</v>
      </c>
      <c r="B24" s="63" t="s">
        <v>780</v>
      </c>
      <c r="C24" s="114" t="s">
        <v>21</v>
      </c>
      <c r="D24" s="64" t="s">
        <v>16</v>
      </c>
      <c r="E24"/>
      <c r="F24" s="1124">
        <v>91</v>
      </c>
      <c r="G24" s="1124"/>
      <c r="H24" s="1124"/>
      <c r="I24" s="1124"/>
      <c r="J24" s="1124"/>
      <c r="K24" s="1124"/>
      <c r="L24" s="42"/>
    </row>
    <row r="25" spans="1:12" s="1" customFormat="1" ht="15" customHeight="1">
      <c r="A25" s="116" t="s">
        <v>781</v>
      </c>
      <c r="B25" s="65" t="s">
        <v>782</v>
      </c>
      <c r="C25" s="115" t="s">
        <v>21</v>
      </c>
      <c r="D25" s="66" t="s">
        <v>27</v>
      </c>
      <c r="E25"/>
      <c r="F25" s="729">
        <f t="shared" ref="F25:K25" si="1">IF(OR(ISERROR(F24),F24=""),NA(),F19-F24)</f>
        <v>-43</v>
      </c>
      <c r="G25" s="723" t="e">
        <f>IF(OR(ISERROR(G24),G24=""),NA(),G19-G24)</f>
        <v>#N/A</v>
      </c>
      <c r="H25" s="723" t="e">
        <f t="shared" si="1"/>
        <v>#N/A</v>
      </c>
      <c r="I25" s="723" t="e">
        <f t="shared" si="1"/>
        <v>#N/A</v>
      </c>
      <c r="J25" s="723" t="e">
        <f t="shared" si="1"/>
        <v>#N/A</v>
      </c>
      <c r="K25" s="723" t="e">
        <f t="shared" si="1"/>
        <v>#N/A</v>
      </c>
    </row>
    <row r="26" spans="1:12" s="1" customFormat="1" ht="15" customHeight="1">
      <c r="A26" s="116" t="s">
        <v>783</v>
      </c>
      <c r="B26" s="65" t="s">
        <v>784</v>
      </c>
      <c r="C26" s="115" t="s">
        <v>26</v>
      </c>
      <c r="D26" s="66" t="s">
        <v>27</v>
      </c>
      <c r="E26"/>
      <c r="F26" s="724">
        <f>F25/F24</f>
        <v>-0.47252747252747251</v>
      </c>
      <c r="G26" s="724" t="e">
        <f t="shared" ref="G26:K26" si="2">G25/G24</f>
        <v>#N/A</v>
      </c>
      <c r="H26" s="724" t="e">
        <f t="shared" si="2"/>
        <v>#N/A</v>
      </c>
      <c r="I26" s="724" t="e">
        <f t="shared" si="2"/>
        <v>#N/A</v>
      </c>
      <c r="J26" s="724" t="e">
        <f t="shared" si="2"/>
        <v>#N/A</v>
      </c>
      <c r="K26" s="724" t="e">
        <f t="shared" si="2"/>
        <v>#N/A</v>
      </c>
      <c r="L26" s="42"/>
    </row>
    <row r="27" spans="1:12" s="1" customFormat="1" ht="15" customHeight="1">
      <c r="A27" s="116" t="s">
        <v>785</v>
      </c>
      <c r="B27" s="65" t="s">
        <v>786</v>
      </c>
      <c r="C27" s="115" t="s">
        <v>21</v>
      </c>
      <c r="D27" s="66" t="s">
        <v>27</v>
      </c>
      <c r="E27"/>
      <c r="F27" s="725">
        <f>_xlfn.XLOOKUP(-F$26,$F$41:$F$47,$H$41:$H$47,,1,-1)</f>
        <v>5</v>
      </c>
      <c r="G27" s="725" t="e">
        <f t="shared" ref="G27:K27" si="3">_xlfn.XLOOKUP(-G$26,$F$41:$F$47,$H$41:$H$47,,1,-1)</f>
        <v>#N/A</v>
      </c>
      <c r="H27" s="725" t="e">
        <f t="shared" si="3"/>
        <v>#N/A</v>
      </c>
      <c r="I27" s="725" t="e">
        <f t="shared" si="3"/>
        <v>#N/A</v>
      </c>
      <c r="J27" s="725" t="e">
        <f t="shared" si="3"/>
        <v>#N/A</v>
      </c>
      <c r="K27" s="725" t="e">
        <f t="shared" si="3"/>
        <v>#N/A</v>
      </c>
      <c r="L27" s="42"/>
    </row>
    <row r="28" spans="1:12" s="1" customFormat="1" ht="15" customHeight="1">
      <c r="A28" s="116" t="s">
        <v>787</v>
      </c>
      <c r="B28" s="65" t="s">
        <v>788</v>
      </c>
      <c r="C28" s="115" t="s">
        <v>21</v>
      </c>
      <c r="D28" s="66" t="s">
        <v>27</v>
      </c>
      <c r="E28"/>
      <c r="F28" s="726">
        <f t="shared" ref="F28:K28" si="4">IF(OR(ISERROR(F24),F24=""),NA(),_xlfn.XLOOKUP(F20,$F$34:$F$37,$I$34:$I$37))</f>
        <v>1.25</v>
      </c>
      <c r="G28" s="725" t="e">
        <f t="shared" si="4"/>
        <v>#N/A</v>
      </c>
      <c r="H28" s="725" t="e">
        <f t="shared" si="4"/>
        <v>#N/A</v>
      </c>
      <c r="I28" s="725" t="e">
        <f t="shared" si="4"/>
        <v>#N/A</v>
      </c>
      <c r="J28" s="725" t="e">
        <f t="shared" si="4"/>
        <v>#N/A</v>
      </c>
      <c r="K28" s="725" t="e">
        <f t="shared" si="4"/>
        <v>#N/A</v>
      </c>
      <c r="L28" s="42"/>
    </row>
    <row r="29" spans="1:12" s="1" customFormat="1" ht="15" customHeight="1" thickBot="1">
      <c r="A29" s="156" t="s">
        <v>789</v>
      </c>
      <c r="B29" s="127" t="s">
        <v>790</v>
      </c>
      <c r="C29" s="128" t="s">
        <v>21</v>
      </c>
      <c r="D29" s="67" t="s">
        <v>27</v>
      </c>
      <c r="E29"/>
      <c r="F29" s="727">
        <f t="shared" ref="F29:K29" si="5">F28+F27</f>
        <v>6.25</v>
      </c>
      <c r="G29" s="728" t="e">
        <f t="shared" si="5"/>
        <v>#N/A</v>
      </c>
      <c r="H29" s="728" t="e">
        <f t="shared" si="5"/>
        <v>#N/A</v>
      </c>
      <c r="I29" s="728" t="e">
        <f t="shared" si="5"/>
        <v>#N/A</v>
      </c>
      <c r="J29" s="728" t="e">
        <f t="shared" si="5"/>
        <v>#N/A</v>
      </c>
      <c r="K29" s="728" t="e">
        <f t="shared" si="5"/>
        <v>#N/A</v>
      </c>
      <c r="L29" s="42"/>
    </row>
    <row r="30" spans="1:12" s="1" customFormat="1" ht="15" customHeight="1">
      <c r="A30"/>
      <c r="B30"/>
      <c r="C30"/>
      <c r="D30"/>
      <c r="E30"/>
      <c r="F30" s="77"/>
      <c r="G30"/>
      <c r="H30"/>
      <c r="I30"/>
      <c r="J30"/>
      <c r="K30"/>
      <c r="L30" s="42"/>
    </row>
    <row r="31" spans="1:12" s="1" customFormat="1" ht="15" customHeight="1" thickBot="1">
      <c r="A31"/>
      <c r="B31"/>
      <c r="C31"/>
      <c r="D31"/>
      <c r="E31"/>
      <c r="F31" s="77"/>
      <c r="G31"/>
      <c r="H31"/>
      <c r="I31"/>
      <c r="J31"/>
      <c r="K31"/>
      <c r="L31" s="42"/>
    </row>
    <row r="32" spans="1:12" s="1" customFormat="1" ht="15.95" thickBot="1">
      <c r="A32"/>
      <c r="B32"/>
      <c r="C32"/>
      <c r="D32"/>
      <c r="E32"/>
      <c r="F32" s="1338" t="s">
        <v>791</v>
      </c>
      <c r="G32" s="1339"/>
      <c r="H32" s="1339"/>
      <c r="I32" s="1339"/>
      <c r="J32" s="1339"/>
      <c r="K32" s="1340"/>
      <c r="L32" s="42"/>
    </row>
    <row r="33" spans="1:12" s="1" customFormat="1" ht="15.95" thickBot="1">
      <c r="A33"/>
      <c r="B33" s="77"/>
      <c r="C33"/>
      <c r="D33"/>
      <c r="E33"/>
      <c r="F33" s="245" t="s">
        <v>792</v>
      </c>
      <c r="G33" s="245" t="s">
        <v>793</v>
      </c>
      <c r="H33" s="245" t="s">
        <v>794</v>
      </c>
      <c r="I33" s="245" t="s">
        <v>795</v>
      </c>
      <c r="J33" s="1341" t="s">
        <v>4</v>
      </c>
      <c r="K33" s="1342"/>
      <c r="L33" s="42"/>
    </row>
    <row r="34" spans="1:12" s="1" customFormat="1" ht="15.6">
      <c r="A34"/>
      <c r="B34"/>
      <c r="C34"/>
      <c r="D34"/>
      <c r="E34"/>
      <c r="F34" s="246" t="s">
        <v>796</v>
      </c>
      <c r="G34" s="246">
        <v>100</v>
      </c>
      <c r="H34" s="247">
        <v>50</v>
      </c>
      <c r="I34" s="248">
        <v>12.5</v>
      </c>
      <c r="J34" s="1343" t="s">
        <v>797</v>
      </c>
      <c r="K34" s="1344"/>
      <c r="L34" s="42"/>
    </row>
    <row r="35" spans="1:12" s="1" customFormat="1" ht="15.6">
      <c r="A35"/>
      <c r="B35"/>
      <c r="C35" s="749"/>
      <c r="D35"/>
      <c r="E35"/>
      <c r="F35" s="249" t="s">
        <v>798</v>
      </c>
      <c r="G35" s="249" t="s">
        <v>799</v>
      </c>
      <c r="H35" s="250">
        <v>45</v>
      </c>
      <c r="I35" s="251">
        <v>11.25</v>
      </c>
      <c r="J35" s="1345" t="s">
        <v>800</v>
      </c>
      <c r="K35" s="1346"/>
      <c r="L35" s="42"/>
    </row>
    <row r="36" spans="1:12" s="1" customFormat="1" ht="15.6">
      <c r="A36"/>
      <c r="D36"/>
      <c r="E36"/>
      <c r="F36" s="249" t="s">
        <v>27</v>
      </c>
      <c r="G36" s="249" t="s">
        <v>801</v>
      </c>
      <c r="H36" s="250">
        <v>30</v>
      </c>
      <c r="I36" s="251">
        <v>7.5</v>
      </c>
      <c r="J36" s="1345" t="s">
        <v>802</v>
      </c>
      <c r="K36" s="1346"/>
      <c r="L36" s="42"/>
    </row>
    <row r="37" spans="1:12" s="1" customFormat="1" ht="15.95" thickBot="1">
      <c r="A37" s="61"/>
      <c r="B37"/>
      <c r="C37" s="748"/>
      <c r="D37" s="61"/>
      <c r="E37" s="61"/>
      <c r="F37" s="252" t="s">
        <v>803</v>
      </c>
      <c r="G37" s="252" t="s">
        <v>804</v>
      </c>
      <c r="H37" s="252">
        <v>5</v>
      </c>
      <c r="I37" s="253">
        <v>1.25</v>
      </c>
      <c r="J37" s="1347" t="s">
        <v>805</v>
      </c>
      <c r="K37" s="1348"/>
      <c r="L37" s="42"/>
    </row>
    <row r="38" spans="1:12" s="1" customFormat="1" ht="15" customHeight="1" thickBot="1">
      <c r="A38" s="61"/>
      <c r="C38" s="61"/>
      <c r="D38" s="61"/>
      <c r="E38" s="61"/>
      <c r="I38" s="61"/>
      <c r="K38" s="42"/>
      <c r="L38" s="42"/>
    </row>
    <row r="39" spans="1:12" s="1" customFormat="1" ht="15.95" thickBot="1">
      <c r="A39" s="61"/>
      <c r="C39" s="61"/>
      <c r="D39" s="61"/>
      <c r="E39" s="61"/>
      <c r="F39" s="1338" t="s">
        <v>806</v>
      </c>
      <c r="G39" s="1339"/>
      <c r="H39" s="1340"/>
      <c r="I39" s="61"/>
      <c r="K39" s="42"/>
      <c r="L39" s="42"/>
    </row>
    <row r="40" spans="1:12" s="1" customFormat="1" ht="15" customHeight="1" thickBot="1">
      <c r="A40" s="61"/>
      <c r="C40" s="61"/>
      <c r="D40" s="61"/>
      <c r="E40" s="61"/>
      <c r="F40" s="798" t="s">
        <v>807</v>
      </c>
      <c r="G40" s="245" t="s">
        <v>794</v>
      </c>
      <c r="H40" s="245" t="s">
        <v>795</v>
      </c>
      <c r="I40" s="61"/>
      <c r="K40" s="42"/>
      <c r="L40" s="42"/>
    </row>
    <row r="41" spans="1:12" s="1" customFormat="1" ht="15" customHeight="1">
      <c r="A41" s="61"/>
      <c r="C41" s="61"/>
      <c r="D41" s="61"/>
      <c r="E41" s="61"/>
      <c r="F41" s="247">
        <v>0</v>
      </c>
      <c r="G41" s="247">
        <v>50</v>
      </c>
      <c r="H41" s="248">
        <v>12.5</v>
      </c>
      <c r="I41" s="61"/>
      <c r="K41" s="42"/>
      <c r="L41" s="42"/>
    </row>
    <row r="42" spans="1:12" s="1" customFormat="1" ht="15" customHeight="1">
      <c r="A42" s="61"/>
      <c r="C42" s="61"/>
      <c r="D42" s="61"/>
      <c r="E42" s="61"/>
      <c r="F42" s="254">
        <v>0.05</v>
      </c>
      <c r="G42" s="250">
        <v>45</v>
      </c>
      <c r="H42" s="251">
        <v>11.25</v>
      </c>
      <c r="I42" s="61"/>
      <c r="K42" s="42"/>
      <c r="L42" s="42"/>
    </row>
    <row r="43" spans="1:12" s="1" customFormat="1" ht="15" customHeight="1">
      <c r="A43" s="61"/>
      <c r="C43" s="61"/>
      <c r="D43" s="61"/>
      <c r="E43" s="61"/>
      <c r="F43" s="254">
        <v>0.1</v>
      </c>
      <c r="G43" s="250">
        <v>40</v>
      </c>
      <c r="H43" s="251">
        <v>10</v>
      </c>
      <c r="I43" s="61"/>
      <c r="K43" s="42"/>
      <c r="L43" s="42"/>
    </row>
    <row r="44" spans="1:12" s="1" customFormat="1" ht="15" customHeight="1">
      <c r="A44" s="61"/>
      <c r="C44" s="61"/>
      <c r="D44" s="61"/>
      <c r="E44" s="61"/>
      <c r="F44" s="254">
        <v>0.15</v>
      </c>
      <c r="G44" s="250">
        <v>35</v>
      </c>
      <c r="H44" s="251">
        <v>8.75</v>
      </c>
      <c r="I44" s="61"/>
      <c r="K44" s="42"/>
      <c r="L44" s="42"/>
    </row>
    <row r="45" spans="1:12" s="1" customFormat="1" ht="15" customHeight="1">
      <c r="A45" s="61"/>
      <c r="C45" s="61"/>
      <c r="D45" s="61"/>
      <c r="E45" s="61"/>
      <c r="F45" s="254">
        <v>0.2</v>
      </c>
      <c r="G45" s="250">
        <v>30</v>
      </c>
      <c r="H45" s="251">
        <v>7.5</v>
      </c>
      <c r="I45" s="61"/>
      <c r="K45" s="42"/>
      <c r="L45" s="42"/>
    </row>
    <row r="46" spans="1:12" s="1" customFormat="1" ht="15" customHeight="1">
      <c r="A46" s="61"/>
      <c r="C46" s="61"/>
      <c r="D46" s="61"/>
      <c r="E46" s="61"/>
      <c r="F46" s="254">
        <v>0.25</v>
      </c>
      <c r="G46" s="250">
        <v>25</v>
      </c>
      <c r="H46" s="251">
        <v>6.25</v>
      </c>
      <c r="I46" s="61"/>
      <c r="K46" s="42"/>
      <c r="L46" s="42"/>
    </row>
    <row r="47" spans="1:12" s="1" customFormat="1" ht="15" customHeight="1" thickBot="1">
      <c r="A47" s="61"/>
      <c r="C47" s="61"/>
      <c r="D47" s="61"/>
      <c r="E47" s="61"/>
      <c r="F47" s="255" t="s">
        <v>808</v>
      </c>
      <c r="G47" s="256">
        <v>20</v>
      </c>
      <c r="H47" s="257">
        <v>5</v>
      </c>
      <c r="I47" s="61"/>
      <c r="K47" s="42"/>
      <c r="L47" s="42"/>
    </row>
    <row r="48" spans="1:12" s="1" customFormat="1" ht="15" customHeight="1">
      <c r="A48" s="61"/>
      <c r="C48" s="61"/>
      <c r="D48" s="61"/>
      <c r="E48" s="61"/>
      <c r="F48" s="77"/>
      <c r="G48"/>
      <c r="H48"/>
      <c r="I48" s="61"/>
      <c r="K48" s="42"/>
      <c r="L48" s="42"/>
    </row>
    <row r="49" spans="1:10" s="1" customFormat="1" ht="15" customHeight="1">
      <c r="A49" s="77"/>
      <c r="B49"/>
      <c r="C49"/>
      <c r="D49"/>
      <c r="E49"/>
      <c r="F49"/>
      <c r="G49"/>
      <c r="H49"/>
      <c r="I49"/>
      <c r="J49"/>
    </row>
    <row r="50" spans="1:10" s="1" customFormat="1" ht="14.25" customHeight="1" thickBot="1">
      <c r="G50"/>
      <c r="H50"/>
      <c r="I50"/>
    </row>
    <row r="51" spans="1:10" s="1" customFormat="1" ht="15" customHeight="1">
      <c r="A51" s="13" t="s">
        <v>145</v>
      </c>
      <c r="B51" s="1268"/>
      <c r="C51" s="197" t="s">
        <v>40</v>
      </c>
      <c r="D51" s="3"/>
      <c r="E51" s="4"/>
      <c r="F51" s="5"/>
      <c r="G51"/>
      <c r="H51"/>
      <c r="I51"/>
    </row>
    <row r="52" spans="1:10" s="1" customFormat="1" ht="15" customHeight="1">
      <c r="A52" s="8"/>
      <c r="B52" s="1269"/>
      <c r="C52" s="1269"/>
      <c r="D52" s="1274"/>
      <c r="E52" s="1274"/>
      <c r="F52" s="7"/>
      <c r="G52"/>
      <c r="H52"/>
      <c r="I52"/>
    </row>
    <row r="53" spans="1:10" s="1" customFormat="1" ht="15" customHeight="1">
      <c r="A53" s="6" t="s">
        <v>41</v>
      </c>
      <c r="B53"/>
      <c r="C53" s="207" t="s">
        <v>40</v>
      </c>
      <c r="D53" s="1269"/>
      <c r="E53" s="1274"/>
      <c r="F53" s="7"/>
      <c r="G53"/>
      <c r="H53"/>
      <c r="I53"/>
    </row>
    <row r="54" spans="1:10" s="1" customFormat="1" ht="15" customHeight="1">
      <c r="A54" s="8"/>
      <c r="B54" s="1269"/>
      <c r="C54" s="1269"/>
      <c r="D54" s="1274"/>
      <c r="E54" s="1274"/>
      <c r="F54" s="7"/>
      <c r="G54"/>
      <c r="H54"/>
      <c r="I54"/>
    </row>
    <row r="55" spans="1:10" s="1" customFormat="1" ht="15" customHeight="1" thickBot="1">
      <c r="A55" s="9" t="s">
        <v>42</v>
      </c>
      <c r="B55" s="10"/>
      <c r="C55" s="10" t="s">
        <v>146</v>
      </c>
      <c r="D55" s="10"/>
      <c r="E55" s="11"/>
      <c r="F55" s="12"/>
      <c r="G55"/>
      <c r="H55"/>
      <c r="I55"/>
    </row>
    <row r="56" spans="1:10" ht="15" customHeight="1">
      <c r="A56" s="77"/>
    </row>
    <row r="57" spans="1:10" ht="15" customHeight="1">
      <c r="A57" s="77"/>
    </row>
    <row r="58" spans="1:10" ht="15" customHeight="1">
      <c r="A58" s="77"/>
    </row>
    <row r="59" spans="1:10" ht="15" customHeight="1">
      <c r="A59" s="77"/>
    </row>
    <row r="60" spans="1:10" ht="15" customHeight="1">
      <c r="A60" s="77"/>
    </row>
    <row r="61" spans="1:10" ht="15" customHeight="1">
      <c r="A61" s="77"/>
    </row>
    <row r="62" spans="1:10" ht="15" customHeight="1">
      <c r="A62" s="77"/>
    </row>
    <row r="63" spans="1:10" ht="15" customHeight="1">
      <c r="A63" s="77"/>
    </row>
    <row r="64" spans="1:10" ht="15" customHeight="1">
      <c r="A64" s="77"/>
    </row>
    <row r="65" spans="1:1" ht="15" customHeight="1">
      <c r="A65" s="77"/>
    </row>
    <row r="66" spans="1:1" ht="15" customHeight="1">
      <c r="A66" s="77"/>
    </row>
    <row r="67" spans="1:1" ht="15" customHeight="1">
      <c r="A67" s="77"/>
    </row>
    <row r="68" spans="1:1" ht="15" customHeight="1">
      <c r="A68" s="77"/>
    </row>
    <row r="69" spans="1:1" ht="15" customHeight="1">
      <c r="A69" s="77"/>
    </row>
    <row r="70" spans="1:1" ht="15" customHeight="1">
      <c r="A70" s="77"/>
    </row>
    <row r="71" spans="1:1" ht="15" customHeight="1">
      <c r="A71" s="77"/>
    </row>
    <row r="72" spans="1:1" ht="15" customHeight="1">
      <c r="A72" s="77"/>
    </row>
    <row r="73" spans="1:1" ht="15" customHeight="1">
      <c r="A73" s="77"/>
    </row>
    <row r="74" spans="1:1" ht="15" customHeight="1">
      <c r="A74" s="77"/>
    </row>
    <row r="75" spans="1:1" ht="15" customHeight="1">
      <c r="A75" s="77"/>
    </row>
    <row r="76" spans="1:1" ht="15" customHeight="1">
      <c r="A76" s="77"/>
    </row>
    <row r="77" spans="1:1" ht="15" customHeight="1">
      <c r="A77" s="77"/>
    </row>
    <row r="78" spans="1:1" ht="15" customHeight="1">
      <c r="A78" s="77"/>
    </row>
    <row r="79" spans="1:1" ht="15" customHeight="1">
      <c r="A79" s="77"/>
    </row>
    <row r="80" spans="1:1" ht="15" customHeight="1">
      <c r="A80" s="77"/>
    </row>
    <row r="81" spans="1:1" ht="15" customHeight="1">
      <c r="A81" s="77"/>
    </row>
    <row r="82" spans="1:1" ht="15" customHeight="1">
      <c r="A82" s="77"/>
    </row>
    <row r="83" spans="1:1" ht="15" customHeight="1">
      <c r="A83" s="77"/>
    </row>
    <row r="84" spans="1:1" ht="15" customHeight="1">
      <c r="A84" s="77"/>
    </row>
    <row r="85" spans="1:1" ht="15" customHeight="1">
      <c r="A85" s="77"/>
    </row>
    <row r="86" spans="1:1" ht="15" customHeight="1">
      <c r="A86" s="77"/>
    </row>
    <row r="87" spans="1:1" ht="15" customHeight="1">
      <c r="A87" s="77"/>
    </row>
    <row r="88" spans="1:1" ht="15" customHeight="1">
      <c r="A88" s="77"/>
    </row>
    <row r="89" spans="1:1" ht="15" customHeight="1">
      <c r="A89" s="77"/>
    </row>
    <row r="90" spans="1:1" ht="15" customHeight="1">
      <c r="A90" s="77"/>
    </row>
    <row r="91" spans="1:1" ht="15" customHeight="1">
      <c r="A91" s="77"/>
    </row>
    <row r="92" spans="1:1" ht="15" customHeight="1">
      <c r="A92" s="77"/>
    </row>
    <row r="93" spans="1:1" ht="15" customHeight="1">
      <c r="A93" s="77"/>
    </row>
    <row r="94" spans="1:1" ht="15" customHeight="1">
      <c r="A94" s="77"/>
    </row>
    <row r="95" spans="1:1" ht="15" customHeight="1">
      <c r="A95" s="77"/>
    </row>
    <row r="96" spans="1:1" ht="15" customHeight="1">
      <c r="A96" s="77"/>
    </row>
    <row r="97" spans="1:1" ht="15" customHeight="1">
      <c r="A97" s="77"/>
    </row>
    <row r="98" spans="1:1" ht="15" customHeight="1">
      <c r="A98" s="77"/>
    </row>
    <row r="99" spans="1:1" ht="15" customHeight="1">
      <c r="A99" s="77"/>
    </row>
    <row r="100" spans="1:1" ht="15" customHeight="1">
      <c r="A100" s="77"/>
    </row>
    <row r="101" spans="1:1" ht="15" customHeight="1">
      <c r="A101" s="77"/>
    </row>
    <row r="102" spans="1:1" ht="15" customHeight="1">
      <c r="A102" s="77"/>
    </row>
    <row r="103" spans="1:1" ht="15" customHeight="1">
      <c r="A103" s="77"/>
    </row>
    <row r="104" spans="1:1" ht="15" customHeight="1">
      <c r="A104" s="77"/>
    </row>
    <row r="105" spans="1:1" ht="15" customHeight="1">
      <c r="A105" s="77"/>
    </row>
    <row r="106" spans="1:1" ht="15" customHeight="1">
      <c r="A106" s="77"/>
    </row>
    <row r="107" spans="1:1" ht="15" customHeight="1">
      <c r="A107" s="77"/>
    </row>
    <row r="108" spans="1:1" ht="15" customHeight="1">
      <c r="A108" s="77"/>
    </row>
    <row r="109" spans="1:1" ht="15" customHeight="1">
      <c r="A109" s="77"/>
    </row>
    <row r="110" spans="1:1" ht="15" customHeight="1">
      <c r="A110" s="77"/>
    </row>
    <row r="111" spans="1:1" ht="15" customHeight="1">
      <c r="A111" s="77"/>
    </row>
    <row r="112" spans="1:1" ht="15" customHeight="1">
      <c r="A112" s="77"/>
    </row>
    <row r="113" spans="1:1" ht="15" customHeight="1">
      <c r="A113" s="77"/>
    </row>
    <row r="114" spans="1:1" ht="15" customHeight="1">
      <c r="A114" s="77"/>
    </row>
    <row r="115" spans="1:1" ht="15" customHeight="1">
      <c r="A115" s="77"/>
    </row>
    <row r="116" spans="1:1" ht="15" customHeight="1">
      <c r="A116" s="77"/>
    </row>
    <row r="117" spans="1:1" ht="15" customHeight="1">
      <c r="A117" s="77"/>
    </row>
    <row r="118" spans="1:1" ht="15" customHeight="1">
      <c r="A118" s="77"/>
    </row>
    <row r="119" spans="1:1" ht="15" customHeight="1">
      <c r="A119" s="77"/>
    </row>
    <row r="120" spans="1:1" ht="15" customHeight="1">
      <c r="A120" s="77"/>
    </row>
    <row r="121" spans="1:1" ht="15" customHeight="1">
      <c r="A121" s="77"/>
    </row>
    <row r="122" spans="1:1" ht="15" customHeight="1">
      <c r="A122" s="77"/>
    </row>
    <row r="123" spans="1:1" ht="15" customHeight="1">
      <c r="A123" s="77"/>
    </row>
    <row r="124" spans="1:1" ht="15" customHeight="1">
      <c r="A124" s="77"/>
    </row>
    <row r="125" spans="1:1" ht="15" customHeight="1">
      <c r="A125" s="77"/>
    </row>
    <row r="126" spans="1:1" ht="15" customHeight="1">
      <c r="A126" s="77"/>
    </row>
    <row r="127" spans="1:1" ht="15" customHeight="1">
      <c r="A127" s="77"/>
    </row>
    <row r="128" spans="1:1" ht="15" customHeight="1">
      <c r="A128" s="77"/>
    </row>
    <row r="129" spans="1:1" ht="15" customHeight="1">
      <c r="A129" s="77"/>
    </row>
    <row r="130" spans="1:1" ht="15" customHeight="1">
      <c r="A130" s="77"/>
    </row>
    <row r="131" spans="1:1" ht="15" customHeight="1">
      <c r="A131" s="77"/>
    </row>
    <row r="132" spans="1:1" ht="15" customHeight="1">
      <c r="A132" s="77"/>
    </row>
    <row r="133" spans="1:1" ht="15" customHeight="1">
      <c r="A133" s="77"/>
    </row>
    <row r="134" spans="1:1" ht="15" customHeight="1">
      <c r="A134" s="77"/>
    </row>
    <row r="135" spans="1:1" ht="15" customHeight="1">
      <c r="A135" s="77"/>
    </row>
    <row r="136" spans="1:1" ht="15" customHeight="1">
      <c r="A136" s="77"/>
    </row>
    <row r="137" spans="1:1" ht="15" customHeight="1">
      <c r="A137" s="77"/>
    </row>
    <row r="138" spans="1:1" ht="15" customHeight="1">
      <c r="A138" s="77"/>
    </row>
    <row r="139" spans="1:1" ht="15" customHeight="1">
      <c r="A139" s="77"/>
    </row>
    <row r="140" spans="1:1" ht="15" customHeight="1">
      <c r="A140" s="77"/>
    </row>
    <row r="141" spans="1:1" ht="15" customHeight="1">
      <c r="A141" s="77"/>
    </row>
    <row r="142" spans="1:1" ht="15" customHeight="1">
      <c r="A142" s="77"/>
    </row>
    <row r="143" spans="1:1" ht="15" customHeight="1">
      <c r="A143" s="77"/>
    </row>
    <row r="144" spans="1:1" ht="15" customHeight="1">
      <c r="A144" s="77"/>
    </row>
    <row r="145" spans="1:1" ht="15" customHeight="1">
      <c r="A145" s="77"/>
    </row>
    <row r="146" spans="1:1" ht="15" customHeight="1">
      <c r="A146" s="77"/>
    </row>
    <row r="147" spans="1:1" ht="15" customHeight="1">
      <c r="A147" s="77"/>
    </row>
    <row r="148" spans="1:1" ht="15" customHeight="1">
      <c r="A148" s="77"/>
    </row>
    <row r="149" spans="1:1" ht="15" customHeight="1">
      <c r="A149" s="77"/>
    </row>
    <row r="150" spans="1:1" ht="15" customHeight="1">
      <c r="A150" s="77"/>
    </row>
    <row r="151" spans="1:1" ht="15" customHeight="1">
      <c r="A151" s="77"/>
    </row>
    <row r="152" spans="1:1" ht="15" customHeight="1">
      <c r="A152" s="77"/>
    </row>
    <row r="153" spans="1:1" ht="15" customHeight="1">
      <c r="A153" s="77"/>
    </row>
    <row r="154" spans="1:1" ht="15" customHeight="1">
      <c r="A154" s="77"/>
    </row>
    <row r="155" spans="1:1" ht="15" customHeight="1">
      <c r="A155" s="77"/>
    </row>
    <row r="156" spans="1:1" ht="15" customHeight="1">
      <c r="A156" s="77"/>
    </row>
    <row r="157" spans="1:1" ht="15" customHeight="1">
      <c r="A157" s="77"/>
    </row>
    <row r="158" spans="1:1" ht="15" customHeight="1">
      <c r="A158" s="77"/>
    </row>
    <row r="159" spans="1:1" ht="15" customHeight="1">
      <c r="A159" s="77"/>
    </row>
    <row r="160" spans="1:1" ht="15" customHeight="1">
      <c r="A160" s="77"/>
    </row>
    <row r="161" spans="1:1" ht="15" customHeight="1">
      <c r="A161" s="77"/>
    </row>
    <row r="162" spans="1:1" ht="15" customHeight="1">
      <c r="A162" s="77"/>
    </row>
    <row r="163" spans="1:1" ht="15" customHeight="1">
      <c r="A163" s="77"/>
    </row>
    <row r="164" spans="1:1" ht="15" customHeight="1">
      <c r="A164" s="77"/>
    </row>
    <row r="165" spans="1:1" ht="15" customHeight="1">
      <c r="A165" s="77"/>
    </row>
    <row r="166" spans="1:1" ht="15" customHeight="1">
      <c r="A166" s="77"/>
    </row>
    <row r="167" spans="1:1" ht="15" customHeight="1">
      <c r="A167" s="77"/>
    </row>
    <row r="168" spans="1:1" ht="15" customHeight="1">
      <c r="A168" s="77"/>
    </row>
    <row r="169" spans="1:1" ht="15" customHeight="1">
      <c r="A169" s="77"/>
    </row>
    <row r="170" spans="1:1" ht="15" customHeight="1">
      <c r="A170" s="77"/>
    </row>
    <row r="171" spans="1:1" ht="15" customHeight="1">
      <c r="A171" s="77"/>
    </row>
    <row r="172" spans="1:1" ht="15" customHeight="1">
      <c r="A172" s="77"/>
    </row>
    <row r="173" spans="1:1" ht="15" customHeight="1">
      <c r="A173" s="77"/>
    </row>
    <row r="174" spans="1:1" ht="15" customHeight="1">
      <c r="A174" s="77"/>
    </row>
    <row r="175" spans="1:1" ht="15" customHeight="1">
      <c r="A175" s="77"/>
    </row>
    <row r="176" spans="1:1" ht="15" customHeight="1">
      <c r="A176" s="77"/>
    </row>
    <row r="177" spans="1:1" ht="15" customHeight="1">
      <c r="A177" s="77"/>
    </row>
    <row r="178" spans="1:1" ht="15" customHeight="1">
      <c r="A178" s="77"/>
    </row>
    <row r="179" spans="1:1" ht="15" customHeight="1">
      <c r="A179" s="77"/>
    </row>
    <row r="180" spans="1:1" ht="15" customHeight="1">
      <c r="A180" s="77"/>
    </row>
    <row r="181" spans="1:1" ht="15" customHeight="1">
      <c r="A181" s="77"/>
    </row>
    <row r="182" spans="1:1" ht="15" customHeight="1">
      <c r="A182" s="77"/>
    </row>
    <row r="183" spans="1:1" ht="15" customHeight="1">
      <c r="A183" s="77"/>
    </row>
    <row r="184" spans="1:1" ht="15" customHeight="1">
      <c r="A184" s="77"/>
    </row>
    <row r="185" spans="1:1" ht="15" customHeight="1">
      <c r="A185" s="77"/>
    </row>
    <row r="186" spans="1:1" ht="15" customHeight="1">
      <c r="A186" s="77"/>
    </row>
    <row r="187" spans="1:1" ht="15" customHeight="1">
      <c r="A187" s="77"/>
    </row>
    <row r="188" spans="1:1" ht="15" customHeight="1">
      <c r="A188" s="77"/>
    </row>
    <row r="189" spans="1:1" ht="15" customHeight="1">
      <c r="A189" s="77"/>
    </row>
    <row r="190" spans="1:1" ht="15" customHeight="1">
      <c r="A190" s="77"/>
    </row>
    <row r="191" spans="1:1" ht="15" customHeight="1">
      <c r="A191" s="77"/>
    </row>
    <row r="192" spans="1:1" ht="15" customHeight="1">
      <c r="A192" s="77"/>
    </row>
    <row r="193" spans="1:1" ht="15" customHeight="1">
      <c r="A193" s="77"/>
    </row>
    <row r="194" spans="1:1" ht="15" customHeight="1">
      <c r="A194" s="77"/>
    </row>
    <row r="195" spans="1:1" ht="15" customHeight="1">
      <c r="A195" s="77"/>
    </row>
    <row r="196" spans="1:1" ht="15" customHeight="1">
      <c r="A196" s="77"/>
    </row>
    <row r="197" spans="1:1" ht="15" customHeight="1">
      <c r="A197" s="77"/>
    </row>
    <row r="198" spans="1:1" ht="15" customHeight="1">
      <c r="A198" s="77"/>
    </row>
    <row r="199" spans="1:1" ht="15" customHeight="1">
      <c r="A199" s="77"/>
    </row>
    <row r="200" spans="1:1" ht="15" customHeight="1">
      <c r="A200" s="77"/>
    </row>
    <row r="201" spans="1:1" ht="15" customHeight="1">
      <c r="A201" s="77"/>
    </row>
    <row r="202" spans="1:1" ht="15" customHeight="1">
      <c r="A202" s="77"/>
    </row>
    <row r="203" spans="1:1" ht="15" customHeight="1">
      <c r="A203" s="77"/>
    </row>
    <row r="204" spans="1:1" ht="15" customHeight="1">
      <c r="A204" s="77"/>
    </row>
    <row r="205" spans="1:1" ht="15" customHeight="1">
      <c r="A205" s="77"/>
    </row>
    <row r="206" spans="1:1" ht="15" customHeight="1">
      <c r="A206" s="77"/>
    </row>
    <row r="207" spans="1:1" ht="15" customHeight="1">
      <c r="A207" s="77"/>
    </row>
    <row r="208" spans="1:1" ht="15" customHeight="1">
      <c r="A208" s="77"/>
    </row>
    <row r="209" spans="1:1" ht="15" customHeight="1">
      <c r="A209" s="77"/>
    </row>
    <row r="210" spans="1:1" ht="15" customHeight="1">
      <c r="A210" s="77"/>
    </row>
    <row r="211" spans="1:1" ht="15" customHeight="1">
      <c r="A211" s="77"/>
    </row>
    <row r="212" spans="1:1" ht="15" customHeight="1">
      <c r="A212" s="77"/>
    </row>
    <row r="213" spans="1:1" ht="15" customHeight="1">
      <c r="A213" s="77"/>
    </row>
    <row r="214" spans="1:1" ht="15" customHeight="1">
      <c r="A214" s="77"/>
    </row>
    <row r="215" spans="1:1" ht="15" customHeight="1">
      <c r="A215" s="77"/>
    </row>
    <row r="216" spans="1:1" ht="15" customHeight="1">
      <c r="A216" s="77"/>
    </row>
    <row r="217" spans="1:1" ht="15" customHeight="1">
      <c r="A217" s="77"/>
    </row>
    <row r="218" spans="1:1" ht="15" customHeight="1">
      <c r="A218" s="77"/>
    </row>
    <row r="219" spans="1:1" ht="15" customHeight="1">
      <c r="A219" s="77"/>
    </row>
    <row r="220" spans="1:1" ht="15" customHeight="1">
      <c r="A220" s="77"/>
    </row>
    <row r="221" spans="1:1" ht="15" customHeight="1">
      <c r="A221" s="77"/>
    </row>
    <row r="222" spans="1:1" ht="15" customHeight="1">
      <c r="A222" s="77"/>
    </row>
    <row r="223" spans="1:1" ht="15" customHeight="1">
      <c r="A223" s="77"/>
    </row>
    <row r="224" spans="1:1" ht="15" customHeight="1">
      <c r="A224" s="77"/>
    </row>
    <row r="225" spans="1:1" ht="15" customHeight="1">
      <c r="A225" s="77"/>
    </row>
    <row r="226" spans="1:1" ht="15" customHeight="1">
      <c r="A226" s="77"/>
    </row>
    <row r="227" spans="1:1" ht="15" customHeight="1">
      <c r="A227" s="77"/>
    </row>
    <row r="228" spans="1:1" ht="15" customHeight="1">
      <c r="A228" s="77"/>
    </row>
    <row r="229" spans="1:1" ht="15" customHeight="1">
      <c r="A229" s="77"/>
    </row>
    <row r="230" spans="1:1" ht="15" customHeight="1">
      <c r="A230" s="77"/>
    </row>
    <row r="231" spans="1:1" ht="15" customHeight="1">
      <c r="A231" s="77"/>
    </row>
    <row r="232" spans="1:1" ht="15" customHeight="1">
      <c r="A232" s="77"/>
    </row>
    <row r="233" spans="1:1" ht="15" customHeight="1">
      <c r="A233" s="77"/>
    </row>
    <row r="234" spans="1:1" ht="15" customHeight="1">
      <c r="A234" s="77"/>
    </row>
    <row r="235" spans="1:1" ht="15" customHeight="1">
      <c r="A235" s="77"/>
    </row>
    <row r="236" spans="1:1" ht="15" customHeight="1">
      <c r="A236" s="77"/>
    </row>
    <row r="237" spans="1:1" ht="15" customHeight="1">
      <c r="A237" s="77"/>
    </row>
    <row r="238" spans="1:1" ht="15" customHeight="1">
      <c r="A238" s="77"/>
    </row>
    <row r="239" spans="1:1" ht="15" customHeight="1">
      <c r="A239" s="77"/>
    </row>
    <row r="240" spans="1:1" ht="15" customHeight="1">
      <c r="A240" s="77"/>
    </row>
    <row r="241" spans="1:1" ht="15" customHeight="1">
      <c r="A241" s="77"/>
    </row>
    <row r="242" spans="1:1" ht="15" customHeight="1">
      <c r="A242" s="77"/>
    </row>
    <row r="243" spans="1:1" ht="15" customHeight="1">
      <c r="A243" s="77"/>
    </row>
    <row r="244" spans="1:1" ht="15" customHeight="1">
      <c r="A244" s="77"/>
    </row>
    <row r="245" spans="1:1" ht="15" customHeight="1">
      <c r="A245" s="77"/>
    </row>
    <row r="246" spans="1:1" ht="15" customHeight="1">
      <c r="A246" s="77"/>
    </row>
    <row r="247" spans="1:1" ht="15" customHeight="1">
      <c r="A247" s="77"/>
    </row>
    <row r="248" spans="1:1" ht="15" customHeight="1">
      <c r="A248" s="77"/>
    </row>
    <row r="249" spans="1:1" ht="15" customHeight="1">
      <c r="A249" s="77"/>
    </row>
    <row r="250" spans="1:1" ht="15" customHeight="1">
      <c r="A250" s="77"/>
    </row>
    <row r="251" spans="1:1" ht="15" customHeight="1">
      <c r="A251" s="77"/>
    </row>
    <row r="252" spans="1:1" ht="15" customHeight="1">
      <c r="A252" s="77"/>
    </row>
    <row r="253" spans="1:1" ht="15" customHeight="1">
      <c r="A253" s="77"/>
    </row>
    <row r="254" spans="1:1" ht="15" customHeight="1">
      <c r="A254" s="77"/>
    </row>
    <row r="255" spans="1:1" ht="15" customHeight="1">
      <c r="A255" s="77"/>
    </row>
    <row r="256" spans="1:1" ht="15" customHeight="1">
      <c r="A256" s="77"/>
    </row>
    <row r="257" spans="1:1" ht="15" customHeight="1">
      <c r="A257" s="77"/>
    </row>
    <row r="258" spans="1:1" ht="15" customHeight="1">
      <c r="A258" s="77"/>
    </row>
    <row r="259" spans="1:1" ht="15" customHeight="1">
      <c r="A259" s="77"/>
    </row>
    <row r="260" spans="1:1" ht="15" customHeight="1">
      <c r="A260" s="77"/>
    </row>
    <row r="261" spans="1:1" ht="15" customHeight="1">
      <c r="A261" s="77"/>
    </row>
    <row r="262" spans="1:1" ht="15" customHeight="1">
      <c r="A262" s="77"/>
    </row>
    <row r="263" spans="1:1" ht="15" customHeight="1">
      <c r="A263" s="77"/>
    </row>
    <row r="264" spans="1:1" ht="15" customHeight="1">
      <c r="A264" s="77"/>
    </row>
    <row r="265" spans="1:1" ht="15" customHeight="1">
      <c r="A265" s="77"/>
    </row>
    <row r="266" spans="1:1" ht="15" customHeight="1">
      <c r="A266" s="77"/>
    </row>
    <row r="267" spans="1:1" ht="15" customHeight="1">
      <c r="A267" s="77"/>
    </row>
    <row r="268" spans="1:1" ht="15" customHeight="1">
      <c r="A268" s="77"/>
    </row>
    <row r="269" spans="1:1" ht="15" customHeight="1">
      <c r="A269" s="77"/>
    </row>
    <row r="270" spans="1:1" ht="15" customHeight="1">
      <c r="A270" s="77"/>
    </row>
    <row r="271" spans="1:1" ht="15" customHeight="1">
      <c r="A271" s="77"/>
    </row>
    <row r="272" spans="1:1" ht="15" customHeight="1">
      <c r="A272" s="77"/>
    </row>
    <row r="273" spans="1:1" ht="15" customHeight="1">
      <c r="A273" s="77"/>
    </row>
    <row r="274" spans="1:1" ht="15" customHeight="1">
      <c r="A274" s="77"/>
    </row>
    <row r="275" spans="1:1" ht="15" customHeight="1">
      <c r="A275" s="77"/>
    </row>
    <row r="276" spans="1:1" ht="15" customHeight="1">
      <c r="A276" s="77"/>
    </row>
    <row r="277" spans="1:1" ht="15" customHeight="1">
      <c r="A277" s="77"/>
    </row>
    <row r="278" spans="1:1" ht="15" customHeight="1">
      <c r="A278" s="77"/>
    </row>
    <row r="279" spans="1:1" ht="15" customHeight="1">
      <c r="A279" s="77"/>
    </row>
    <row r="280" spans="1:1" ht="15" customHeight="1">
      <c r="A280" s="77"/>
    </row>
    <row r="281" spans="1:1" ht="15" customHeight="1">
      <c r="A281" s="77"/>
    </row>
    <row r="282" spans="1:1" ht="15" customHeight="1">
      <c r="A282" s="77"/>
    </row>
    <row r="283" spans="1:1" ht="15" customHeight="1">
      <c r="A283" s="77"/>
    </row>
    <row r="284" spans="1:1" ht="15" customHeight="1">
      <c r="A284" s="77"/>
    </row>
    <row r="285" spans="1:1" ht="15" customHeight="1">
      <c r="A285" s="77"/>
    </row>
    <row r="286" spans="1:1" ht="15" customHeight="1">
      <c r="A286" s="77"/>
    </row>
    <row r="287" spans="1:1" ht="15" customHeight="1">
      <c r="A287" s="77"/>
    </row>
    <row r="288" spans="1:1" ht="15" customHeight="1">
      <c r="A288" s="77"/>
    </row>
    <row r="289" spans="1:1" ht="15" customHeight="1">
      <c r="A289" s="77"/>
    </row>
    <row r="290" spans="1:1" ht="15" customHeight="1">
      <c r="A290" s="77"/>
    </row>
    <row r="291" spans="1:1" ht="15" customHeight="1">
      <c r="A291" s="77"/>
    </row>
    <row r="292" spans="1:1" ht="15" customHeight="1">
      <c r="A292" s="77"/>
    </row>
    <row r="293" spans="1:1" ht="15" customHeight="1">
      <c r="A293" s="77"/>
    </row>
    <row r="294" spans="1:1" ht="15" customHeight="1">
      <c r="A294" s="77"/>
    </row>
    <row r="295" spans="1:1" ht="15" customHeight="1">
      <c r="A295" s="77"/>
    </row>
    <row r="296" spans="1:1" ht="15" customHeight="1">
      <c r="A296" s="77"/>
    </row>
    <row r="297" spans="1:1" ht="15" customHeight="1">
      <c r="A297" s="77"/>
    </row>
    <row r="298" spans="1:1" ht="15" customHeight="1">
      <c r="A298" s="77"/>
    </row>
    <row r="299" spans="1:1" ht="15" customHeight="1">
      <c r="A299" s="77"/>
    </row>
    <row r="300" spans="1:1" ht="15" customHeight="1">
      <c r="A300" s="77"/>
    </row>
    <row r="301" spans="1:1" ht="15" customHeight="1">
      <c r="A301" s="77"/>
    </row>
    <row r="302" spans="1:1" ht="15" customHeight="1">
      <c r="A302" s="77"/>
    </row>
    <row r="303" spans="1:1" ht="15" customHeight="1">
      <c r="A303" s="77"/>
    </row>
    <row r="304" spans="1:1" ht="15" customHeight="1">
      <c r="A304" s="77"/>
    </row>
    <row r="305" spans="1:1" ht="15" customHeight="1">
      <c r="A305" s="77"/>
    </row>
    <row r="306" spans="1:1" ht="15" customHeight="1">
      <c r="A306" s="77"/>
    </row>
    <row r="307" spans="1:1" ht="15" customHeight="1">
      <c r="A307" s="77"/>
    </row>
    <row r="308" spans="1:1" ht="15" customHeight="1">
      <c r="A308" s="77"/>
    </row>
    <row r="309" spans="1:1" ht="15" customHeight="1">
      <c r="A309" s="77"/>
    </row>
    <row r="310" spans="1:1" ht="15" customHeight="1">
      <c r="A310" s="77"/>
    </row>
    <row r="311" spans="1:1" ht="15" customHeight="1">
      <c r="A311" s="77"/>
    </row>
    <row r="312" spans="1:1" ht="15" customHeight="1">
      <c r="A312" s="77"/>
    </row>
    <row r="313" spans="1:1" ht="15" customHeight="1">
      <c r="A313" s="77"/>
    </row>
    <row r="314" spans="1:1" ht="15" customHeight="1">
      <c r="A314" s="77"/>
    </row>
    <row r="315" spans="1:1" ht="15" customHeight="1">
      <c r="A315" s="77"/>
    </row>
    <row r="316" spans="1:1" ht="15" customHeight="1">
      <c r="A316" s="77"/>
    </row>
    <row r="317" spans="1:1" ht="15" customHeight="1">
      <c r="A317" s="77"/>
    </row>
    <row r="318" spans="1:1" ht="15" customHeight="1">
      <c r="A318" s="77"/>
    </row>
    <row r="319" spans="1:1" ht="15" customHeight="1">
      <c r="A319" s="77"/>
    </row>
    <row r="320" spans="1:1" ht="15" customHeight="1">
      <c r="A320" s="77"/>
    </row>
    <row r="321" spans="1:1" ht="15" customHeight="1">
      <c r="A321" s="77"/>
    </row>
    <row r="322" spans="1:1" ht="15" customHeight="1">
      <c r="A322" s="77"/>
    </row>
    <row r="323" spans="1:1" ht="15" customHeight="1">
      <c r="A323" s="77"/>
    </row>
    <row r="324" spans="1:1" ht="15" customHeight="1">
      <c r="A324" s="77"/>
    </row>
    <row r="325" spans="1:1" ht="15" customHeight="1">
      <c r="A325" s="77"/>
    </row>
    <row r="326" spans="1:1" ht="15" customHeight="1">
      <c r="A326" s="77"/>
    </row>
    <row r="327" spans="1:1" ht="15" customHeight="1">
      <c r="A327" s="77"/>
    </row>
    <row r="328" spans="1:1" ht="15" customHeight="1">
      <c r="A328" s="77"/>
    </row>
    <row r="329" spans="1:1" ht="15" customHeight="1">
      <c r="A329" s="77"/>
    </row>
    <row r="330" spans="1:1" ht="15" customHeight="1">
      <c r="A330" s="77"/>
    </row>
    <row r="331" spans="1:1" ht="15" customHeight="1">
      <c r="A331" s="77"/>
    </row>
    <row r="332" spans="1:1" ht="15" customHeight="1">
      <c r="A332" s="77"/>
    </row>
    <row r="333" spans="1:1" ht="15" customHeight="1">
      <c r="A333" s="77"/>
    </row>
    <row r="334" spans="1:1" ht="15" customHeight="1">
      <c r="A334" s="77"/>
    </row>
    <row r="335" spans="1:1" ht="15" customHeight="1">
      <c r="A335" s="77"/>
    </row>
    <row r="336" spans="1:1" ht="15" customHeight="1">
      <c r="A336" s="77"/>
    </row>
    <row r="337" spans="1:1" ht="15" customHeight="1">
      <c r="A337" s="77"/>
    </row>
    <row r="338" spans="1:1" ht="15" customHeight="1">
      <c r="A338" s="77"/>
    </row>
    <row r="339" spans="1:1" ht="15" customHeight="1">
      <c r="A339" s="77"/>
    </row>
    <row r="340" spans="1:1" ht="15" customHeight="1">
      <c r="A340" s="77"/>
    </row>
    <row r="341" spans="1:1" ht="15" customHeight="1">
      <c r="A341" s="77"/>
    </row>
    <row r="342" spans="1:1" ht="15" customHeight="1">
      <c r="A342" s="77"/>
    </row>
    <row r="343" spans="1:1" ht="15" customHeight="1">
      <c r="A343" s="77"/>
    </row>
    <row r="344" spans="1:1" ht="15" customHeight="1">
      <c r="A344" s="77"/>
    </row>
    <row r="345" spans="1:1" ht="15" customHeight="1">
      <c r="A345" s="77"/>
    </row>
    <row r="346" spans="1:1" ht="15" customHeight="1">
      <c r="A346" s="77"/>
    </row>
    <row r="347" spans="1:1" ht="15" customHeight="1">
      <c r="A347" s="77"/>
    </row>
    <row r="348" spans="1:1" ht="15" customHeight="1">
      <c r="A348" s="77"/>
    </row>
    <row r="349" spans="1:1" ht="15" customHeight="1">
      <c r="A349" s="77"/>
    </row>
    <row r="350" spans="1:1" ht="15" customHeight="1">
      <c r="A350" s="77"/>
    </row>
    <row r="351" spans="1:1" ht="15" customHeight="1">
      <c r="A351" s="77"/>
    </row>
    <row r="352" spans="1:1" ht="15" customHeight="1">
      <c r="A352" s="77"/>
    </row>
    <row r="353" spans="1:1" ht="15" customHeight="1">
      <c r="A353" s="77"/>
    </row>
    <row r="354" spans="1:1" ht="15" customHeight="1">
      <c r="A354" s="77"/>
    </row>
    <row r="355" spans="1:1" ht="15" customHeight="1">
      <c r="A355" s="77"/>
    </row>
    <row r="356" spans="1:1" ht="15" customHeight="1">
      <c r="A356" s="77"/>
    </row>
    <row r="357" spans="1:1" ht="15" customHeight="1">
      <c r="A357" s="77"/>
    </row>
    <row r="358" spans="1:1" ht="15" customHeight="1">
      <c r="A358" s="77"/>
    </row>
    <row r="359" spans="1:1" ht="15" customHeight="1">
      <c r="A359" s="77"/>
    </row>
    <row r="360" spans="1:1" ht="15" customHeight="1">
      <c r="A360" s="77"/>
    </row>
    <row r="361" spans="1:1" ht="15" customHeight="1">
      <c r="A361" s="77"/>
    </row>
    <row r="362" spans="1:1" ht="15" customHeight="1">
      <c r="A362" s="77"/>
    </row>
  </sheetData>
  <mergeCells count="13">
    <mergeCell ref="F39:H39"/>
    <mergeCell ref="F32:K32"/>
    <mergeCell ref="J33:K33"/>
    <mergeCell ref="J34:K34"/>
    <mergeCell ref="J35:K35"/>
    <mergeCell ref="J36:K36"/>
    <mergeCell ref="J37:K37"/>
    <mergeCell ref="K10:K12"/>
    <mergeCell ref="F10:F12"/>
    <mergeCell ref="G10:G12"/>
    <mergeCell ref="H10:H12"/>
    <mergeCell ref="I10:I12"/>
    <mergeCell ref="J10:J12"/>
  </mergeCells>
  <pageMargins left="0.7" right="0.7" top="0.75" bottom="0.75" header="0.3" footer="0.3"/>
  <pageSetup paperSize="9" scale="38" orientation="portrait" r:id="rId1"/>
  <headerFooter>
    <oddFooter>&amp;L&amp;1#&amp;"Arial"&amp;11&amp;K000000SW Private Commercial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8B31F-97B0-4291-99AC-FDBDFA47065B}">
  <sheetPr>
    <pageSetUpPr fitToPage="1"/>
  </sheetPr>
  <dimension ref="A1:R275"/>
  <sheetViews>
    <sheetView zoomScaleNormal="100" zoomScalePageLayoutView="55" workbookViewId="0">
      <selection sqref="A1:XFD1048576"/>
    </sheetView>
  </sheetViews>
  <sheetFormatPr defaultColWidth="9.42578125" defaultRowHeight="12.6"/>
  <cols>
    <col min="1" max="1" width="7.42578125" style="91" customWidth="1"/>
    <col min="2" max="2" width="54.5703125" style="91" customWidth="1"/>
    <col min="3" max="3" width="19.5703125" style="91" customWidth="1"/>
    <col min="4" max="4" width="16.42578125" style="91" customWidth="1"/>
    <col min="5" max="5" width="12.42578125" style="91" customWidth="1"/>
    <col min="6" max="6" width="19.42578125" style="91" customWidth="1"/>
    <col min="7" max="7" width="20.5703125" style="91" customWidth="1"/>
    <col min="8" max="8" width="18" style="91" customWidth="1"/>
    <col min="9" max="9" width="1.5703125" style="91" customWidth="1"/>
    <col min="10" max="10" width="14.5703125" style="91" customWidth="1"/>
    <col min="11" max="11" width="11.5703125" style="91" customWidth="1"/>
    <col min="12" max="12" width="2.42578125" style="91" customWidth="1"/>
    <col min="13" max="13" width="23.5703125" style="91" customWidth="1"/>
    <col min="14" max="14" width="12.42578125" style="91" customWidth="1"/>
    <col min="15" max="15" width="23.5703125" style="91" customWidth="1"/>
    <col min="16" max="16" width="25.5703125" style="91" customWidth="1"/>
    <col min="17" max="17" width="12.5703125" style="91" customWidth="1"/>
    <col min="18" max="18" width="15.5703125" style="91" customWidth="1"/>
    <col min="19" max="16384" width="9.42578125" style="91"/>
  </cols>
  <sheetData>
    <row r="1" spans="1:18" s="86" customFormat="1" ht="20.100000000000001">
      <c r="A1" s="84" t="s">
        <v>0</v>
      </c>
      <c r="B1" s="85"/>
      <c r="C1" s="85"/>
    </row>
    <row r="2" spans="1:18" s="86" customFormat="1" ht="20.100000000000001"/>
    <row r="3" spans="1:18" s="86" customFormat="1" ht="20.100000000000001">
      <c r="A3" s="238" t="str">
        <f>"ANNUAL RETURN INFORMATION REQUIREMENTS "&amp;_reportyear</f>
        <v>ANNUAL RETURN INFORMATION REQUIREMENTS 2023-24</v>
      </c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 ht="15.6">
      <c r="A4" s="89"/>
      <c r="B4" s="90"/>
      <c r="C4" s="90"/>
    </row>
    <row r="5" spans="1:18" ht="15.95" thickBot="1">
      <c r="A5" s="89"/>
      <c r="B5" s="90"/>
      <c r="C5" s="90"/>
    </row>
    <row r="6" spans="1:18" ht="20.100000000000001">
      <c r="A6" s="1349" t="s">
        <v>1</v>
      </c>
      <c r="B6" s="1350"/>
      <c r="C6" s="1350"/>
      <c r="D6" s="1350"/>
      <c r="E6" s="1350"/>
      <c r="F6" s="1350"/>
      <c r="G6" s="1351"/>
    </row>
    <row r="7" spans="1:18" ht="20.45" thickBot="1">
      <c r="A7" s="1352" t="s">
        <v>809</v>
      </c>
      <c r="B7" s="1353"/>
      <c r="C7" s="1353"/>
      <c r="D7" s="1353"/>
      <c r="E7" s="1353"/>
      <c r="F7" s="1353"/>
      <c r="G7" s="1354"/>
    </row>
    <row r="8" spans="1:18" ht="15.6">
      <c r="A8" s="89"/>
      <c r="R8" s="385"/>
    </row>
    <row r="9" spans="1:18" ht="15.95" thickBot="1">
      <c r="A9" s="89"/>
      <c r="B9" s="92">
        <v>1</v>
      </c>
      <c r="C9" s="93">
        <v>2</v>
      </c>
      <c r="D9" s="93">
        <v>3</v>
      </c>
      <c r="E9" s="93">
        <v>4</v>
      </c>
      <c r="F9" s="93">
        <v>5</v>
      </c>
      <c r="G9" s="93">
        <v>6</v>
      </c>
      <c r="H9" s="94">
        <v>7</v>
      </c>
      <c r="J9" s="95">
        <v>8</v>
      </c>
      <c r="K9" s="96">
        <v>9</v>
      </c>
      <c r="M9" s="92">
        <v>10</v>
      </c>
      <c r="N9" s="93">
        <v>11</v>
      </c>
      <c r="O9" s="93">
        <v>12</v>
      </c>
      <c r="P9" s="93">
        <v>13</v>
      </c>
      <c r="Q9" s="94">
        <v>14</v>
      </c>
      <c r="R9" s="94">
        <v>15</v>
      </c>
    </row>
    <row r="10" spans="1:18">
      <c r="B10" s="1355" t="s">
        <v>810</v>
      </c>
      <c r="C10" s="1358" t="s">
        <v>811</v>
      </c>
      <c r="D10" s="1358" t="s">
        <v>812</v>
      </c>
      <c r="E10" s="1358" t="s">
        <v>813</v>
      </c>
      <c r="F10" s="1358" t="s">
        <v>814</v>
      </c>
      <c r="G10" s="1358" t="s">
        <v>815</v>
      </c>
      <c r="H10" s="1362" t="s">
        <v>816</v>
      </c>
      <c r="J10" s="1365" t="s">
        <v>817</v>
      </c>
      <c r="K10" s="1368" t="s">
        <v>818</v>
      </c>
      <c r="M10" s="1355" t="s">
        <v>819</v>
      </c>
      <c r="N10" s="1358" t="s">
        <v>820</v>
      </c>
      <c r="O10" s="1358" t="s">
        <v>821</v>
      </c>
      <c r="P10" s="1358" t="s">
        <v>822</v>
      </c>
      <c r="Q10" s="1362" t="s">
        <v>764</v>
      </c>
      <c r="R10" s="1362" t="s">
        <v>777</v>
      </c>
    </row>
    <row r="11" spans="1:18">
      <c r="B11" s="1356"/>
      <c r="C11" s="1358"/>
      <c r="D11" s="1358"/>
      <c r="E11" s="1358"/>
      <c r="F11" s="1358"/>
      <c r="G11" s="1358"/>
      <c r="H11" s="1363" t="s">
        <v>750</v>
      </c>
      <c r="J11" s="1366" t="s">
        <v>750</v>
      </c>
      <c r="K11" s="1369" t="s">
        <v>750</v>
      </c>
      <c r="M11" s="1356"/>
      <c r="N11" s="1360"/>
      <c r="O11" s="1360"/>
      <c r="P11" s="1360"/>
      <c r="Q11" s="1363"/>
      <c r="R11" s="1363"/>
    </row>
    <row r="12" spans="1:18">
      <c r="B12" s="1357"/>
      <c r="C12" s="1359"/>
      <c r="D12" s="1359"/>
      <c r="E12" s="1359"/>
      <c r="F12" s="1359"/>
      <c r="G12" s="1359"/>
      <c r="H12" s="1364"/>
      <c r="J12" s="1367"/>
      <c r="K12" s="1370"/>
      <c r="M12" s="1357"/>
      <c r="N12" s="1361"/>
      <c r="O12" s="1361"/>
      <c r="P12" s="1361"/>
      <c r="Q12" s="1364"/>
      <c r="R12" s="1364"/>
    </row>
    <row r="13" spans="1:18">
      <c r="B13" s="1125" t="s">
        <v>823</v>
      </c>
      <c r="C13" s="1126">
        <v>44.805232590789238</v>
      </c>
      <c r="D13" s="1127">
        <v>0</v>
      </c>
      <c r="E13" s="1127">
        <v>0</v>
      </c>
      <c r="F13" s="1126">
        <v>35.72103654</v>
      </c>
      <c r="G13" s="1126">
        <v>34.680618000000003</v>
      </c>
      <c r="H13" s="1128">
        <f>+C13+D13-E13-F13</f>
        <v>9.0841960507892381</v>
      </c>
      <c r="J13" s="1129">
        <v>2.8576829232000001</v>
      </c>
      <c r="K13" s="1128">
        <f>+H13-J13</f>
        <v>6.2265131275892376</v>
      </c>
      <c r="M13" s="105">
        <f>+IF(ISERROR(K13/(F13+J13)),0,K13/(F13+J13))</f>
        <v>0.16139761024283528</v>
      </c>
      <c r="N13" s="1126">
        <v>96.461717997572492</v>
      </c>
      <c r="O13" s="108">
        <f>IF(K13&lt;0,N13/$N$263,0)</f>
        <v>0</v>
      </c>
      <c r="P13" s="1130">
        <f>(M13^2*O13)*100</f>
        <v>0</v>
      </c>
      <c r="Q13" s="1131"/>
    </row>
    <row r="14" spans="1:18">
      <c r="B14" s="1132" t="s">
        <v>824</v>
      </c>
      <c r="C14" s="1133">
        <v>13.237434145810694</v>
      </c>
      <c r="D14" s="1134">
        <v>0</v>
      </c>
      <c r="E14" s="1134">
        <v>0</v>
      </c>
      <c r="F14" s="1133">
        <v>10.329233460000001</v>
      </c>
      <c r="G14" s="1133">
        <v>10.028382000000001</v>
      </c>
      <c r="H14" s="1135">
        <f>+C14+D14-E14-F14</f>
        <v>2.9082006858106926</v>
      </c>
      <c r="J14" s="1136">
        <v>0.82633867680000006</v>
      </c>
      <c r="K14" s="1135">
        <f t="shared" ref="K14:K37" si="0">+H14-J14</f>
        <v>2.0818620090106927</v>
      </c>
      <c r="M14" s="106">
        <f>+IF(ISERROR(K14/(F14+J14)),0,K14/(F14+J14))</f>
        <v>0.18662081903832134</v>
      </c>
      <c r="N14" s="1133">
        <v>35.958425916330448</v>
      </c>
      <c r="O14" s="109">
        <f t="shared" ref="O14:O77" si="1">IF(K14&lt;0,N14/$N$263,0)</f>
        <v>0</v>
      </c>
      <c r="P14" s="1137">
        <f t="shared" ref="P14:P37" si="2">(M14^2*O14)*100</f>
        <v>0</v>
      </c>
      <c r="Q14" s="1131"/>
    </row>
    <row r="15" spans="1:18">
      <c r="B15" s="1132" t="s">
        <v>825</v>
      </c>
      <c r="C15" s="1133">
        <v>98.19974832593806</v>
      </c>
      <c r="D15" s="1134">
        <v>0</v>
      </c>
      <c r="E15" s="1134">
        <v>0</v>
      </c>
      <c r="F15" s="1133">
        <v>95.898326130000001</v>
      </c>
      <c r="G15" s="1133">
        <v>93.105170999999999</v>
      </c>
      <c r="H15" s="1135">
        <f t="shared" ref="H15:H37" si="3">+C15+D15-E15-F15</f>
        <v>2.3014221959380592</v>
      </c>
      <c r="J15" s="1136">
        <v>7.6718660904</v>
      </c>
      <c r="K15" s="1135">
        <f t="shared" si="0"/>
        <v>-5.3704438944619408</v>
      </c>
      <c r="M15" s="106">
        <f>+IF(ISERROR(K15/(F15+J15)),0,K15/(F15+J15))</f>
        <v>-5.1853180720505952E-2</v>
      </c>
      <c r="N15" s="1133">
        <v>301.6719100557126</v>
      </c>
      <c r="O15" s="109">
        <f>IF(K15&lt;0,N15/$N$263,0)</f>
        <v>5.6381975946319211E-2</v>
      </c>
      <c r="P15" s="1137">
        <f>(M15^2*O15)*100</f>
        <v>1.5159717037030083E-2</v>
      </c>
      <c r="Q15" s="1131"/>
    </row>
    <row r="16" spans="1:18">
      <c r="B16" s="1132" t="s">
        <v>826</v>
      </c>
      <c r="C16" s="1133">
        <v>24.261232180175281</v>
      </c>
      <c r="D16" s="1134">
        <v>0</v>
      </c>
      <c r="E16" s="1134">
        <v>0</v>
      </c>
      <c r="F16" s="1133">
        <v>17.851696320000002</v>
      </c>
      <c r="G16" s="1133">
        <v>17.331744</v>
      </c>
      <c r="H16" s="1135">
        <f t="shared" si="3"/>
        <v>6.4095358601752785</v>
      </c>
      <c r="J16" s="1136">
        <v>1.4281357056000001</v>
      </c>
      <c r="K16" s="1135">
        <f t="shared" si="0"/>
        <v>4.9814001545752786</v>
      </c>
      <c r="M16" s="106">
        <f t="shared" ref="M16:M37" si="4">+IF(ISERROR(K16/(F16+J16)),0,K16/(F16+J16))</f>
        <v>0.25837362835738992</v>
      </c>
      <c r="N16" s="1133">
        <v>56.942466876744888</v>
      </c>
      <c r="O16" s="109">
        <f>IF(K16&lt;0,N16/$N$263,0)</f>
        <v>0</v>
      </c>
      <c r="P16" s="1137">
        <f>(M16^2*O16)*100</f>
        <v>0</v>
      </c>
      <c r="Q16" s="1131"/>
    </row>
    <row r="17" spans="2:17">
      <c r="B17" s="1132" t="s">
        <v>827</v>
      </c>
      <c r="C17" s="1133">
        <v>3.3489776943591831</v>
      </c>
      <c r="D17" s="1134">
        <v>0</v>
      </c>
      <c r="E17" s="1134">
        <v>0</v>
      </c>
      <c r="F17" s="1133">
        <v>4.9073361200000001</v>
      </c>
      <c r="G17" s="1133">
        <v>4.7644039999999999</v>
      </c>
      <c r="H17" s="1135">
        <f t="shared" si="3"/>
        <v>-1.5583584256408169</v>
      </c>
      <c r="J17" s="1136">
        <v>0.47504368734702213</v>
      </c>
      <c r="K17" s="1135">
        <f t="shared" si="0"/>
        <v>-2.0334021129878392</v>
      </c>
      <c r="M17" s="106">
        <f t="shared" si="4"/>
        <v>-0.37778867076831285</v>
      </c>
      <c r="N17" s="1133">
        <v>8.2390723337071474</v>
      </c>
      <c r="O17" s="109">
        <f t="shared" si="1"/>
        <v>1.5398688530638149E-3</v>
      </c>
      <c r="P17" s="1137">
        <f t="shared" si="2"/>
        <v>2.1977667297975869E-2</v>
      </c>
      <c r="Q17" s="1131"/>
    </row>
    <row r="18" spans="2:17">
      <c r="B18" s="1132" t="s">
        <v>828</v>
      </c>
      <c r="C18" s="1133">
        <v>0.29682845076530612</v>
      </c>
      <c r="D18" s="1134">
        <v>0</v>
      </c>
      <c r="E18" s="1134">
        <v>0</v>
      </c>
      <c r="F18" s="1133">
        <v>0.1236</v>
      </c>
      <c r="G18" s="1133">
        <v>0.12</v>
      </c>
      <c r="H18" s="1135">
        <f t="shared" si="3"/>
        <v>0.17322845076530613</v>
      </c>
      <c r="J18" s="1136">
        <v>9.888000000000001E-3</v>
      </c>
      <c r="K18" s="1135">
        <f t="shared" si="0"/>
        <v>0.16334045076530612</v>
      </c>
      <c r="M18" s="106">
        <f t="shared" si="4"/>
        <v>1.2236339653400015</v>
      </c>
      <c r="N18" s="1133">
        <v>0.34592844375176973</v>
      </c>
      <c r="O18" s="109">
        <f t="shared" si="1"/>
        <v>0</v>
      </c>
      <c r="P18" s="1137">
        <f t="shared" si="2"/>
        <v>0</v>
      </c>
      <c r="Q18" s="1131"/>
    </row>
    <row r="19" spans="2:17">
      <c r="B19" s="1132" t="s">
        <v>829</v>
      </c>
      <c r="C19" s="1133">
        <v>0.17909999999999998</v>
      </c>
      <c r="D19" s="1134">
        <v>0</v>
      </c>
      <c r="E19" s="1134">
        <v>0</v>
      </c>
      <c r="F19" s="1133">
        <v>0.18152205000000002</v>
      </c>
      <c r="G19" s="1133">
        <v>0.176235</v>
      </c>
      <c r="H19" s="1135">
        <f t="shared" si="3"/>
        <v>-2.4220500000000367E-3</v>
      </c>
      <c r="J19" s="1136">
        <v>1.6377079571353533E-2</v>
      </c>
      <c r="K19" s="1135">
        <f t="shared" si="0"/>
        <v>-1.879912957135357E-2</v>
      </c>
      <c r="M19" s="106">
        <f t="shared" si="4"/>
        <v>-9.4993492958115544E-2</v>
      </c>
      <c r="N19" s="1133">
        <v>0.39614386300605892</v>
      </c>
      <c r="O19" s="109">
        <f t="shared" si="1"/>
        <v>7.4038626105972892E-5</v>
      </c>
      <c r="P19" s="1137">
        <f t="shared" si="2"/>
        <v>6.6810706697750224E-5</v>
      </c>
      <c r="Q19" s="1131"/>
    </row>
    <row r="20" spans="2:17">
      <c r="B20" s="1132" t="s">
        <v>830</v>
      </c>
      <c r="C20" s="1133">
        <v>28.96340091636829</v>
      </c>
      <c r="D20" s="1134">
        <v>0</v>
      </c>
      <c r="E20" s="1134">
        <v>0</v>
      </c>
      <c r="F20" s="1133">
        <v>25.250075079999998</v>
      </c>
      <c r="G20" s="1133">
        <v>24.514635999999999</v>
      </c>
      <c r="H20" s="1135">
        <f t="shared" si="3"/>
        <v>3.7133258363682913</v>
      </c>
      <c r="J20" s="1136">
        <v>2.0200060064000001</v>
      </c>
      <c r="K20" s="1135">
        <f t="shared" si="0"/>
        <v>1.6933198299682912</v>
      </c>
      <c r="M20" s="106">
        <f t="shared" si="4"/>
        <v>6.2094418590224708E-2</v>
      </c>
      <c r="N20" s="1133">
        <v>68.004967021720987</v>
      </c>
      <c r="O20" s="109">
        <f t="shared" si="1"/>
        <v>0</v>
      </c>
      <c r="P20" s="1137">
        <f t="shared" si="2"/>
        <v>0</v>
      </c>
      <c r="Q20" s="1131"/>
    </row>
    <row r="21" spans="2:17">
      <c r="B21" s="1132" t="s">
        <v>831</v>
      </c>
      <c r="C21" s="1133">
        <v>108.19242300000002</v>
      </c>
      <c r="D21" s="1134">
        <v>0</v>
      </c>
      <c r="E21" s="1134">
        <v>0</v>
      </c>
      <c r="F21" s="1133">
        <v>98.798233449999998</v>
      </c>
      <c r="G21" s="1133">
        <v>95.920614999999998</v>
      </c>
      <c r="H21" s="1135">
        <f t="shared" si="3"/>
        <v>9.3941895500000214</v>
      </c>
      <c r="J21" s="1136">
        <v>7.9038586759999996</v>
      </c>
      <c r="K21" s="1135">
        <f t="shared" si="0"/>
        <v>1.4903308740000218</v>
      </c>
      <c r="M21" s="106">
        <f t="shared" si="4"/>
        <v>1.3967213241143885E-2</v>
      </c>
      <c r="N21" s="1133">
        <v>342.2293845436605</v>
      </c>
      <c r="O21" s="109">
        <f t="shared" si="1"/>
        <v>0</v>
      </c>
      <c r="P21" s="1137">
        <f t="shared" si="2"/>
        <v>0</v>
      </c>
      <c r="Q21" s="1131"/>
    </row>
    <row r="22" spans="2:17">
      <c r="B22" s="1132" t="s">
        <v>832</v>
      </c>
      <c r="C22" s="1133">
        <v>1.746</v>
      </c>
      <c r="D22" s="1134">
        <v>0</v>
      </c>
      <c r="E22" s="1134">
        <v>0</v>
      </c>
      <c r="F22" s="1133">
        <v>1.0185433100000001</v>
      </c>
      <c r="G22" s="1133">
        <v>0.98887700000000001</v>
      </c>
      <c r="H22" s="1135">
        <f t="shared" si="3"/>
        <v>0.72745668999999991</v>
      </c>
      <c r="J22" s="1136">
        <v>8.1483464800000002E-2</v>
      </c>
      <c r="K22" s="1135">
        <f t="shared" si="0"/>
        <v>0.64597322519999989</v>
      </c>
      <c r="M22" s="106">
        <f t="shared" si="4"/>
        <v>0.58723409284055528</v>
      </c>
      <c r="N22" s="1133">
        <v>3.6106713337824581</v>
      </c>
      <c r="O22" s="109">
        <f t="shared" si="1"/>
        <v>0</v>
      </c>
      <c r="P22" s="1137">
        <f t="shared" si="2"/>
        <v>0</v>
      </c>
      <c r="Q22" s="1131"/>
    </row>
    <row r="23" spans="2:17">
      <c r="B23" s="1132" t="s">
        <v>833</v>
      </c>
      <c r="C23" s="1133">
        <v>0.57959522861800006</v>
      </c>
      <c r="D23" s="1134">
        <v>0</v>
      </c>
      <c r="E23" s="1134">
        <v>0</v>
      </c>
      <c r="F23" s="1133">
        <v>1.69123219</v>
      </c>
      <c r="G23" s="1133">
        <v>1.6419729999999999</v>
      </c>
      <c r="H23" s="1135">
        <f t="shared" si="3"/>
        <v>-1.1116369613820001</v>
      </c>
      <c r="J23" s="1136">
        <v>0.16240275333866869</v>
      </c>
      <c r="K23" s="1135">
        <f t="shared" si="0"/>
        <v>-1.2740397147206688</v>
      </c>
      <c r="M23" s="106">
        <f t="shared" si="4"/>
        <v>-0.68731964689117053</v>
      </c>
      <c r="N23" s="1133">
        <v>5.6343877850728976</v>
      </c>
      <c r="O23" s="109">
        <f t="shared" si="1"/>
        <v>1.0530576629144766E-3</v>
      </c>
      <c r="P23" s="1137">
        <f t="shared" si="2"/>
        <v>4.9747317718296935E-2</v>
      </c>
      <c r="Q23" s="1131"/>
    </row>
    <row r="24" spans="2:17">
      <c r="B24" s="1132" t="s">
        <v>834</v>
      </c>
      <c r="C24" s="1133">
        <v>0.43651086246829274</v>
      </c>
      <c r="D24" s="1134">
        <v>0</v>
      </c>
      <c r="E24" s="1134">
        <v>0</v>
      </c>
      <c r="F24" s="1133">
        <v>0.34949136000000003</v>
      </c>
      <c r="G24" s="1133">
        <v>0.339312</v>
      </c>
      <c r="H24" s="1135">
        <f t="shared" si="3"/>
        <v>8.7019502468292709E-2</v>
      </c>
      <c r="J24" s="1136">
        <v>2.7959308800000002E-2</v>
      </c>
      <c r="K24" s="1135">
        <f t="shared" si="0"/>
        <v>5.906019366829271E-2</v>
      </c>
      <c r="M24" s="106">
        <f t="shared" si="4"/>
        <v>0.15647129161555934</v>
      </c>
      <c r="N24" s="1133">
        <v>0.70578080898727436</v>
      </c>
      <c r="O24" s="109">
        <f t="shared" si="1"/>
        <v>0</v>
      </c>
      <c r="P24" s="1137">
        <f t="shared" si="2"/>
        <v>0</v>
      </c>
      <c r="Q24" s="1131"/>
    </row>
    <row r="25" spans="2:17">
      <c r="B25" s="1132" t="s">
        <v>835</v>
      </c>
      <c r="C25" s="1133">
        <v>2</v>
      </c>
      <c r="D25" s="1134">
        <v>0</v>
      </c>
      <c r="E25" s="1134">
        <v>0</v>
      </c>
      <c r="F25" s="1133">
        <v>1.3603869200000001</v>
      </c>
      <c r="G25" s="1133">
        <v>1.320764</v>
      </c>
      <c r="H25" s="1135">
        <f t="shared" si="3"/>
        <v>0.63961307999999995</v>
      </c>
      <c r="J25" s="1136">
        <v>0.1088309536</v>
      </c>
      <c r="K25" s="1135">
        <f t="shared" si="0"/>
        <v>0.53078212639999989</v>
      </c>
      <c r="M25" s="106">
        <f t="shared" si="4"/>
        <v>0.36126849253435317</v>
      </c>
      <c r="N25" s="1133">
        <v>5.4070630615047843</v>
      </c>
      <c r="O25" s="109">
        <f t="shared" si="1"/>
        <v>0</v>
      </c>
      <c r="P25" s="1137">
        <f t="shared" si="2"/>
        <v>0</v>
      </c>
      <c r="Q25" s="1131"/>
    </row>
    <row r="26" spans="2:17">
      <c r="B26" s="1132" t="s">
        <v>836</v>
      </c>
      <c r="C26" s="1133">
        <v>3.5820000000000005E-2</v>
      </c>
      <c r="D26" s="1134">
        <v>0</v>
      </c>
      <c r="E26" s="1134">
        <v>0</v>
      </c>
      <c r="F26" s="1133">
        <v>6.7526800000000005E-3</v>
      </c>
      <c r="G26" s="1133">
        <v>6.5560000000000002E-3</v>
      </c>
      <c r="H26" s="1135">
        <f t="shared" si="3"/>
        <v>2.9067320000000004E-2</v>
      </c>
      <c r="J26" s="1136">
        <v>5.4021440000000004E-4</v>
      </c>
      <c r="K26" s="1135">
        <f t="shared" si="0"/>
        <v>2.8527105600000005E-2</v>
      </c>
      <c r="M26" s="106">
        <f t="shared" si="4"/>
        <v>3.9116301478326636</v>
      </c>
      <c r="N26" s="1133">
        <v>4.5187185941258416E-2</v>
      </c>
      <c r="O26" s="109">
        <f t="shared" si="1"/>
        <v>0</v>
      </c>
      <c r="P26" s="1137">
        <f t="shared" si="2"/>
        <v>0</v>
      </c>
      <c r="Q26" s="1131"/>
    </row>
    <row r="27" spans="2:17">
      <c r="B27" s="1132" t="s">
        <v>837</v>
      </c>
      <c r="C27" s="1133">
        <v>0.24875</v>
      </c>
      <c r="D27" s="1134">
        <v>0</v>
      </c>
      <c r="E27" s="1134">
        <v>0</v>
      </c>
      <c r="F27" s="1133">
        <v>0.13394738</v>
      </c>
      <c r="G27" s="1133">
        <v>0.13004599999999999</v>
      </c>
      <c r="H27" s="1135">
        <f t="shared" si="3"/>
        <v>0.11480261999999999</v>
      </c>
      <c r="J27" s="1136">
        <v>1.0715790400000001E-2</v>
      </c>
      <c r="K27" s="1135">
        <f t="shared" si="0"/>
        <v>0.10408682959999999</v>
      </c>
      <c r="M27" s="106">
        <f t="shared" si="4"/>
        <v>0.71951160279562054</v>
      </c>
      <c r="N27" s="1133">
        <v>0.44756831789436913</v>
      </c>
      <c r="O27" s="109">
        <f t="shared" si="1"/>
        <v>0</v>
      </c>
      <c r="P27" s="1137">
        <f t="shared" si="2"/>
        <v>0</v>
      </c>
      <c r="Q27" s="1131"/>
    </row>
    <row r="28" spans="2:17">
      <c r="B28" s="1132" t="s">
        <v>838</v>
      </c>
      <c r="C28" s="1133">
        <v>9.4524999999999998E-2</v>
      </c>
      <c r="D28" s="1134">
        <v>0</v>
      </c>
      <c r="E28" s="1134">
        <v>0</v>
      </c>
      <c r="F28" s="1133">
        <v>9.5644770000000004E-2</v>
      </c>
      <c r="G28" s="1133">
        <v>9.2858999999999997E-2</v>
      </c>
      <c r="H28" s="1135">
        <f t="shared" si="3"/>
        <v>-1.119770000000006E-3</v>
      </c>
      <c r="J28" s="1136">
        <v>7.6515816000000004E-3</v>
      </c>
      <c r="K28" s="1135">
        <f t="shared" si="0"/>
        <v>-8.7713516000000064E-3</v>
      </c>
      <c r="M28" s="106">
        <f t="shared" si="4"/>
        <v>-8.4914437578258145E-2</v>
      </c>
      <c r="N28" s="1133">
        <v>0.15068903590886634</v>
      </c>
      <c r="O28" s="109">
        <f t="shared" si="1"/>
        <v>2.8163529035297555E-5</v>
      </c>
      <c r="P28" s="1137">
        <f t="shared" si="2"/>
        <v>2.0307204770585383E-5</v>
      </c>
      <c r="Q28" s="1131"/>
    </row>
    <row r="29" spans="2:17">
      <c r="B29" s="1132" t="s">
        <v>839</v>
      </c>
      <c r="C29" s="1133">
        <v>0.14924999999999999</v>
      </c>
      <c r="D29" s="1134">
        <v>0</v>
      </c>
      <c r="E29" s="1134">
        <v>0</v>
      </c>
      <c r="F29" s="1133">
        <v>0.10753715</v>
      </c>
      <c r="G29" s="1133">
        <v>0.104405</v>
      </c>
      <c r="H29" s="1135">
        <f t="shared" si="3"/>
        <v>4.1712849999999996E-2</v>
      </c>
      <c r="J29" s="1136">
        <v>1.2968059166299169E-2</v>
      </c>
      <c r="K29" s="1135">
        <f t="shared" si="0"/>
        <v>2.8744790833700826E-2</v>
      </c>
      <c r="M29" s="106">
        <f t="shared" si="4"/>
        <v>0.2385356702217955</v>
      </c>
      <c r="N29" s="1133">
        <v>0.42858310213041206</v>
      </c>
      <c r="O29" s="109">
        <f t="shared" si="1"/>
        <v>0</v>
      </c>
      <c r="P29" s="1137">
        <f t="shared" si="2"/>
        <v>0</v>
      </c>
      <c r="Q29" s="1131"/>
    </row>
    <row r="30" spans="2:17">
      <c r="B30" s="1132" t="s">
        <v>840</v>
      </c>
      <c r="C30" s="1133">
        <v>20.765273632327709</v>
      </c>
      <c r="D30" s="1134">
        <v>0</v>
      </c>
      <c r="E30" s="1134">
        <v>0</v>
      </c>
      <c r="F30" s="1133">
        <v>26.478241930000003</v>
      </c>
      <c r="G30" s="1133">
        <v>25.707031000000001</v>
      </c>
      <c r="H30" s="1135">
        <f t="shared" si="3"/>
        <v>-5.712968297672294</v>
      </c>
      <c r="J30" s="1136">
        <v>2.206636344587924</v>
      </c>
      <c r="K30" s="1135">
        <f t="shared" si="0"/>
        <v>-7.919604642260218</v>
      </c>
      <c r="M30" s="106">
        <f t="shared" si="4"/>
        <v>-0.27608988145075147</v>
      </c>
      <c r="N30" s="1133">
        <v>81.060021016692119</v>
      </c>
      <c r="O30" s="109">
        <f t="shared" si="1"/>
        <v>1.5149982490339322E-2</v>
      </c>
      <c r="P30" s="1137">
        <f t="shared" si="2"/>
        <v>0.1154816848303486</v>
      </c>
      <c r="Q30" s="1131"/>
    </row>
    <row r="31" spans="2:17">
      <c r="B31" s="1132" t="s">
        <v>841</v>
      </c>
      <c r="C31" s="1133">
        <v>3.88</v>
      </c>
      <c r="D31" s="1134">
        <v>0</v>
      </c>
      <c r="E31" s="1134">
        <v>0</v>
      </c>
      <c r="F31" s="1133">
        <v>3.0520578900000004</v>
      </c>
      <c r="G31" s="1133">
        <v>2.9631630000000002</v>
      </c>
      <c r="H31" s="1135">
        <f t="shared" si="3"/>
        <v>0.82794210999999951</v>
      </c>
      <c r="J31" s="1136">
        <v>0.24416463120000004</v>
      </c>
      <c r="K31" s="1135">
        <f t="shared" si="0"/>
        <v>0.58377747879999942</v>
      </c>
      <c r="M31" s="106">
        <f t="shared" si="4"/>
        <v>0.17710499671832633</v>
      </c>
      <c r="N31" s="1133">
        <v>5.936059211389713</v>
      </c>
      <c r="O31" s="109">
        <f t="shared" si="1"/>
        <v>0</v>
      </c>
      <c r="P31" s="1137">
        <f t="shared" si="2"/>
        <v>0</v>
      </c>
      <c r="Q31" s="1131"/>
    </row>
    <row r="32" spans="2:17">
      <c r="B32" s="1132" t="s">
        <v>842</v>
      </c>
      <c r="C32" s="1133">
        <v>0.5441746007382352</v>
      </c>
      <c r="D32" s="1134">
        <v>0</v>
      </c>
      <c r="E32" s="1134">
        <v>0</v>
      </c>
      <c r="F32" s="1133">
        <v>0.30049117000000003</v>
      </c>
      <c r="G32" s="1133">
        <v>0.29173900000000003</v>
      </c>
      <c r="H32" s="1135">
        <f t="shared" si="3"/>
        <v>0.24368343073823517</v>
      </c>
      <c r="J32" s="1136">
        <v>2.4039293600000004E-2</v>
      </c>
      <c r="K32" s="1135">
        <f t="shared" si="0"/>
        <v>0.21964413713823516</v>
      </c>
      <c r="M32" s="106">
        <f t="shared" si="4"/>
        <v>0.67680591430996595</v>
      </c>
      <c r="N32" s="1133">
        <v>0.42459157765141536</v>
      </c>
      <c r="O32" s="109">
        <f t="shared" si="1"/>
        <v>0</v>
      </c>
      <c r="P32" s="1137">
        <f t="shared" si="2"/>
        <v>0</v>
      </c>
      <c r="Q32" s="1131"/>
    </row>
    <row r="33" spans="2:17">
      <c r="B33" s="1132" t="s">
        <v>843</v>
      </c>
      <c r="C33" s="1133">
        <v>1.4119321796608695</v>
      </c>
      <c r="D33" s="1134">
        <v>0</v>
      </c>
      <c r="E33" s="1134">
        <v>0</v>
      </c>
      <c r="F33" s="1133">
        <v>1.3533983700000001</v>
      </c>
      <c r="G33" s="1133">
        <v>1.313979</v>
      </c>
      <c r="H33" s="1135">
        <f t="shared" si="3"/>
        <v>5.8533809660869407E-2</v>
      </c>
      <c r="J33" s="1136">
        <v>0.11909207996619746</v>
      </c>
      <c r="K33" s="1135">
        <f t="shared" si="0"/>
        <v>-6.0558270305328052E-2</v>
      </c>
      <c r="M33" s="106">
        <f t="shared" si="4"/>
        <v>-4.1126426529094449E-2</v>
      </c>
      <c r="N33" s="1133">
        <v>2.7056609739042075</v>
      </c>
      <c r="O33" s="109">
        <f t="shared" si="1"/>
        <v>5.0568351531764656E-4</v>
      </c>
      <c r="P33" s="1137">
        <f t="shared" si="2"/>
        <v>8.5530448048228594E-5</v>
      </c>
      <c r="Q33" s="1131"/>
    </row>
    <row r="34" spans="2:17">
      <c r="B34" s="1132" t="s">
        <v>844</v>
      </c>
      <c r="C34" s="1133">
        <v>1.04575</v>
      </c>
      <c r="D34" s="1134">
        <v>0</v>
      </c>
      <c r="E34" s="1134">
        <v>0</v>
      </c>
      <c r="F34" s="1133">
        <v>0.85414192</v>
      </c>
      <c r="G34" s="1133">
        <v>0.829264</v>
      </c>
      <c r="H34" s="1135">
        <f t="shared" si="3"/>
        <v>0.19160807999999996</v>
      </c>
      <c r="J34" s="1136">
        <v>0.11776352722095296</v>
      </c>
      <c r="K34" s="1135">
        <f t="shared" si="0"/>
        <v>7.3844552779047001E-2</v>
      </c>
      <c r="M34" s="106">
        <f t="shared" si="4"/>
        <v>7.5979153106093433E-2</v>
      </c>
      <c r="N34" s="1133">
        <v>1.5743388413955453</v>
      </c>
      <c r="O34" s="109">
        <f t="shared" si="1"/>
        <v>0</v>
      </c>
      <c r="P34" s="1137">
        <f t="shared" si="2"/>
        <v>0</v>
      </c>
      <c r="Q34" s="1131"/>
    </row>
    <row r="35" spans="2:17">
      <c r="B35" s="1132" t="s">
        <v>845</v>
      </c>
      <c r="C35" s="1133">
        <v>0.97</v>
      </c>
      <c r="D35" s="1134">
        <v>0</v>
      </c>
      <c r="E35" s="1134">
        <v>0</v>
      </c>
      <c r="F35" s="1133">
        <v>0.63065561000000003</v>
      </c>
      <c r="G35" s="1133">
        <v>0.61228700000000003</v>
      </c>
      <c r="H35" s="1135">
        <f t="shared" si="3"/>
        <v>0.33934438999999994</v>
      </c>
      <c r="J35" s="1136">
        <v>5.0452448800000001E-2</v>
      </c>
      <c r="K35" s="1135">
        <f t="shared" si="0"/>
        <v>0.28889194119999995</v>
      </c>
      <c r="M35" s="106">
        <f t="shared" si="4"/>
        <v>0.42414993842383814</v>
      </c>
      <c r="N35" s="1133">
        <v>1.017953866084774</v>
      </c>
      <c r="O35" s="109">
        <f t="shared" si="1"/>
        <v>0</v>
      </c>
      <c r="P35" s="1137">
        <f t="shared" si="2"/>
        <v>0</v>
      </c>
      <c r="Q35" s="1131"/>
    </row>
    <row r="36" spans="2:17">
      <c r="B36" s="1132" t="s">
        <v>846</v>
      </c>
      <c r="C36" s="1133">
        <v>6.984</v>
      </c>
      <c r="D36" s="1134">
        <v>0</v>
      </c>
      <c r="E36" s="1134">
        <v>0</v>
      </c>
      <c r="F36" s="1133">
        <v>6.5609352000000003</v>
      </c>
      <c r="G36" s="1133">
        <v>6.3698399999999999</v>
      </c>
      <c r="H36" s="1135">
        <f t="shared" si="3"/>
        <v>0.42306479999999969</v>
      </c>
      <c r="J36" s="1136">
        <v>0.52487481600000008</v>
      </c>
      <c r="K36" s="1135">
        <f t="shared" si="0"/>
        <v>-0.10181001600000039</v>
      </c>
      <c r="M36" s="106">
        <f t="shared" si="4"/>
        <v>-1.4368154913850345E-2</v>
      </c>
      <c r="N36" s="1133">
        <v>12.623901208046995</v>
      </c>
      <c r="O36" s="109">
        <f t="shared" si="1"/>
        <v>2.3593860433653506E-3</v>
      </c>
      <c r="P36" s="1137">
        <f t="shared" si="2"/>
        <v>4.8708079889590354E-5</v>
      </c>
      <c r="Q36" s="1131"/>
    </row>
    <row r="37" spans="2:17">
      <c r="B37" s="1138" t="s">
        <v>847</v>
      </c>
      <c r="C37" s="1139">
        <v>0.15920000000000001</v>
      </c>
      <c r="D37" s="1140">
        <v>0</v>
      </c>
      <c r="E37" s="1140">
        <v>0</v>
      </c>
      <c r="F37" s="1139">
        <v>8.3780199999999999E-2</v>
      </c>
      <c r="G37" s="1139">
        <v>8.1339999999999996E-2</v>
      </c>
      <c r="H37" s="1141">
        <f t="shared" si="3"/>
        <v>7.5419800000000009E-2</v>
      </c>
      <c r="J37" s="1142">
        <v>6.7024160000000001E-3</v>
      </c>
      <c r="K37" s="1141">
        <f t="shared" si="0"/>
        <v>6.8717384000000006E-2</v>
      </c>
      <c r="M37" s="111">
        <f t="shared" si="4"/>
        <v>0.75945399279790948</v>
      </c>
      <c r="N37" s="1139">
        <v>7.2837885705891336E-2</v>
      </c>
      <c r="O37" s="112">
        <f t="shared" si="1"/>
        <v>0</v>
      </c>
      <c r="P37" s="1143">
        <f t="shared" si="2"/>
        <v>0</v>
      </c>
      <c r="Q37" s="1131"/>
    </row>
    <row r="38" spans="2:17">
      <c r="B38" s="1132" t="s">
        <v>848</v>
      </c>
      <c r="C38" s="1133">
        <v>1.9900000000000001E-2</v>
      </c>
      <c r="D38" s="1134">
        <v>0</v>
      </c>
      <c r="E38" s="1134">
        <v>0</v>
      </c>
      <c r="F38" s="1133">
        <v>1.0539990000000001E-2</v>
      </c>
      <c r="G38" s="1133">
        <v>1.0233000000000001E-2</v>
      </c>
      <c r="H38" s="1135">
        <f>+C38+D38-E38-F38</f>
        <v>9.3600100000000002E-3</v>
      </c>
      <c r="J38" s="1136">
        <v>8.4319920000000006E-4</v>
      </c>
      <c r="K38" s="1135">
        <f>+H38-J38</f>
        <v>8.5168107999999999E-3</v>
      </c>
      <c r="M38" s="106">
        <f>+IF(ISERROR(K38/(F38+J38)),0,K38/(F38+J38))</f>
        <v>0.74819197417890582</v>
      </c>
      <c r="N38" s="1133">
        <v>5.6849081526549335E-2</v>
      </c>
      <c r="O38" s="109">
        <f t="shared" si="1"/>
        <v>0</v>
      </c>
      <c r="P38" s="1137">
        <f>(M38^2*O38)*100</f>
        <v>0</v>
      </c>
      <c r="Q38" s="1131"/>
    </row>
    <row r="39" spans="2:17">
      <c r="B39" s="1132" t="s">
        <v>849</v>
      </c>
      <c r="C39" s="1133">
        <v>16.975000000000001</v>
      </c>
      <c r="D39" s="1134">
        <v>0</v>
      </c>
      <c r="E39" s="1134">
        <v>0</v>
      </c>
      <c r="F39" s="1133">
        <v>13.94905516</v>
      </c>
      <c r="G39" s="1133">
        <v>13.542771999999999</v>
      </c>
      <c r="H39" s="1135">
        <f t="shared" ref="H39:H62" si="5">+C39+D39-E39-F39</f>
        <v>3.0259448400000011</v>
      </c>
      <c r="J39" s="1136">
        <v>1.1159244128000001</v>
      </c>
      <c r="K39" s="1135">
        <f t="shared" ref="K39:K62" si="6">+H39-J39</f>
        <v>1.910020427200001</v>
      </c>
      <c r="M39" s="106">
        <f>+IF(ISERROR(K39/(F39+J39)),0,K39/(F39+J39))</f>
        <v>0.12678546412691893</v>
      </c>
      <c r="N39" s="1133">
        <v>26.697579041032569</v>
      </c>
      <c r="O39" s="109">
        <f t="shared" si="1"/>
        <v>0</v>
      </c>
      <c r="P39" s="1137">
        <f t="shared" ref="P39:P62" si="7">(M39^2*O39)*100</f>
        <v>0</v>
      </c>
      <c r="Q39" s="1131"/>
    </row>
    <row r="40" spans="2:17">
      <c r="B40" s="1132" t="s">
        <v>850</v>
      </c>
      <c r="C40" s="1133">
        <v>0.24875</v>
      </c>
      <c r="D40" s="1134">
        <v>0</v>
      </c>
      <c r="E40" s="1134">
        <v>0</v>
      </c>
      <c r="F40" s="1133">
        <v>0.16761190000000001</v>
      </c>
      <c r="G40" s="1133">
        <v>0.16273000000000001</v>
      </c>
      <c r="H40" s="1135">
        <f t="shared" si="5"/>
        <v>8.1138099999999991E-2</v>
      </c>
      <c r="J40" s="1136">
        <v>1.3408952000000002E-2</v>
      </c>
      <c r="K40" s="1135">
        <f t="shared" si="6"/>
        <v>6.7729147999999989E-2</v>
      </c>
      <c r="M40" s="106">
        <f t="shared" ref="M40:M62" si="8">+IF(ISERROR(K40/(F40+J40)),0,K40/(F40+J40))</f>
        <v>0.37415108398672209</v>
      </c>
      <c r="N40" s="1133">
        <v>0.31622301599143071</v>
      </c>
      <c r="O40" s="109">
        <f t="shared" si="1"/>
        <v>0</v>
      </c>
      <c r="P40" s="1137">
        <f t="shared" si="7"/>
        <v>0</v>
      </c>
      <c r="Q40" s="1131"/>
    </row>
    <row r="41" spans="2:17">
      <c r="B41" s="1132" t="s">
        <v>851</v>
      </c>
      <c r="C41" s="1133">
        <v>0.34825</v>
      </c>
      <c r="D41" s="1134">
        <v>0</v>
      </c>
      <c r="E41" s="1134">
        <v>0</v>
      </c>
      <c r="F41" s="1133">
        <v>0.31482052999999999</v>
      </c>
      <c r="G41" s="1133">
        <v>0.30565100000000001</v>
      </c>
      <c r="H41" s="1135">
        <f t="shared" si="5"/>
        <v>3.3429470000000017E-2</v>
      </c>
      <c r="J41" s="1136">
        <v>2.51856424E-2</v>
      </c>
      <c r="K41" s="1135">
        <f t="shared" si="6"/>
        <v>8.2438276000000171E-3</v>
      </c>
      <c r="M41" s="106">
        <f t="shared" si="8"/>
        <v>2.4246111597943501E-2</v>
      </c>
      <c r="N41" s="1133">
        <v>0.44768651702157602</v>
      </c>
      <c r="O41" s="109">
        <f t="shared" si="1"/>
        <v>0</v>
      </c>
      <c r="P41" s="1137">
        <f t="shared" si="7"/>
        <v>0</v>
      </c>
      <c r="Q41" s="1131"/>
    </row>
    <row r="42" spans="2:17">
      <c r="B42" s="1132" t="s">
        <v>852</v>
      </c>
      <c r="C42" s="1133">
        <v>0.12934999999999999</v>
      </c>
      <c r="D42" s="1134">
        <v>0</v>
      </c>
      <c r="E42" s="1134">
        <v>0</v>
      </c>
      <c r="F42" s="1133">
        <v>9.7818070000000007E-2</v>
      </c>
      <c r="G42" s="1133">
        <v>9.4968999999999998E-2</v>
      </c>
      <c r="H42" s="1135">
        <f t="shared" si="5"/>
        <v>3.1531929999999986E-2</v>
      </c>
      <c r="J42" s="1136">
        <v>7.8254456000000014E-3</v>
      </c>
      <c r="K42" s="1135">
        <f t="shared" si="6"/>
        <v>2.3706484399999984E-2</v>
      </c>
      <c r="M42" s="106">
        <f t="shared" si="8"/>
        <v>0.22440075252474825</v>
      </c>
      <c r="N42" s="1133">
        <v>0.17410031217505736</v>
      </c>
      <c r="O42" s="109">
        <f t="shared" si="1"/>
        <v>0</v>
      </c>
      <c r="P42" s="1137">
        <f t="shared" si="7"/>
        <v>0</v>
      </c>
      <c r="Q42" s="1131"/>
    </row>
    <row r="43" spans="2:17">
      <c r="B43" s="1132" t="s">
        <v>853</v>
      </c>
      <c r="C43" s="1133">
        <v>2.3880000000000002E-2</v>
      </c>
      <c r="D43" s="1134">
        <v>0</v>
      </c>
      <c r="E43" s="1134">
        <v>0</v>
      </c>
      <c r="F43" s="1133">
        <v>1.1125029999999999E-2</v>
      </c>
      <c r="G43" s="1133">
        <v>1.0801E-2</v>
      </c>
      <c r="H43" s="1135">
        <f t="shared" si="5"/>
        <v>1.2754970000000003E-2</v>
      </c>
      <c r="J43" s="1136">
        <v>8.9000240000000001E-4</v>
      </c>
      <c r="K43" s="1135">
        <f t="shared" si="6"/>
        <v>1.1864967600000003E-2</v>
      </c>
      <c r="M43" s="106">
        <f t="shared" si="8"/>
        <v>0.98751024591494274</v>
      </c>
      <c r="N43" s="1133">
        <v>2.4871473167865331E-2</v>
      </c>
      <c r="O43" s="109">
        <f t="shared" si="1"/>
        <v>0</v>
      </c>
      <c r="P43" s="1137">
        <f t="shared" si="7"/>
        <v>0</v>
      </c>
      <c r="Q43" s="1131"/>
    </row>
    <row r="44" spans="2:17">
      <c r="B44" s="1132" t="s">
        <v>854</v>
      </c>
      <c r="C44" s="1133">
        <v>0.39749999999999996</v>
      </c>
      <c r="D44" s="1134">
        <v>0</v>
      </c>
      <c r="E44" s="1134">
        <v>0</v>
      </c>
      <c r="F44" s="1133">
        <v>0.38299314000000001</v>
      </c>
      <c r="G44" s="1133">
        <v>0.371838</v>
      </c>
      <c r="H44" s="1135">
        <f t="shared" si="5"/>
        <v>1.4506859999999955E-2</v>
      </c>
      <c r="J44" s="1136">
        <v>3.0639451200000001E-2</v>
      </c>
      <c r="K44" s="1135">
        <f t="shared" si="6"/>
        <v>-1.6132591200000046E-2</v>
      </c>
      <c r="M44" s="106">
        <f t="shared" si="8"/>
        <v>-3.9002224542310303E-2</v>
      </c>
      <c r="N44" s="1133">
        <v>0.87760769606610545</v>
      </c>
      <c r="O44" s="109">
        <f t="shared" si="1"/>
        <v>1.6402341205969627E-4</v>
      </c>
      <c r="P44" s="1137">
        <f t="shared" si="7"/>
        <v>2.4950807096204299E-5</v>
      </c>
      <c r="Q44" s="1131"/>
    </row>
    <row r="45" spans="2:17">
      <c r="B45" s="1132" t="s">
        <v>855</v>
      </c>
      <c r="C45" s="1133">
        <v>2.4534155218977531</v>
      </c>
      <c r="D45" s="1134">
        <v>0</v>
      </c>
      <c r="E45" s="1134">
        <v>0</v>
      </c>
      <c r="F45" s="1133">
        <v>2.04033833</v>
      </c>
      <c r="G45" s="1133">
        <v>1.9809110000000001</v>
      </c>
      <c r="H45" s="1135">
        <f t="shared" si="5"/>
        <v>0.41307719189775316</v>
      </c>
      <c r="J45" s="1136">
        <v>0.33429004284920871</v>
      </c>
      <c r="K45" s="1135">
        <f t="shared" si="6"/>
        <v>7.8787149048544447E-2</v>
      </c>
      <c r="M45" s="106">
        <f t="shared" si="8"/>
        <v>3.3178728069357365E-2</v>
      </c>
      <c r="N45" s="1133">
        <v>4.6528947959057039</v>
      </c>
      <c r="O45" s="109">
        <f t="shared" si="1"/>
        <v>0</v>
      </c>
      <c r="P45" s="1137">
        <f t="shared" si="7"/>
        <v>0</v>
      </c>
      <c r="Q45" s="1131"/>
    </row>
    <row r="46" spans="2:17">
      <c r="B46" s="1132" t="s">
        <v>856</v>
      </c>
      <c r="C46" s="1133">
        <v>0.5146158475275362</v>
      </c>
      <c r="D46" s="1134">
        <v>0</v>
      </c>
      <c r="E46" s="1134">
        <v>0</v>
      </c>
      <c r="F46" s="1133">
        <v>0.47487223000000001</v>
      </c>
      <c r="G46" s="1133">
        <v>0.46104099999999998</v>
      </c>
      <c r="H46" s="1135">
        <f t="shared" si="5"/>
        <v>3.974361752753619E-2</v>
      </c>
      <c r="J46" s="1136">
        <v>5.2046008315315813E-2</v>
      </c>
      <c r="K46" s="1135">
        <f t="shared" si="6"/>
        <v>-1.2302390787779623E-2</v>
      </c>
      <c r="M46" s="106">
        <f t="shared" si="8"/>
        <v>-2.3347817352296102E-2</v>
      </c>
      <c r="N46" s="1133">
        <v>0.56171457670388514</v>
      </c>
      <c r="O46" s="109">
        <f t="shared" si="1"/>
        <v>1.0498351585524296E-4</v>
      </c>
      <c r="P46" s="1137">
        <f t="shared" si="7"/>
        <v>5.7228674540728531E-6</v>
      </c>
      <c r="Q46" s="1131"/>
    </row>
    <row r="47" spans="2:17">
      <c r="B47" s="1132" t="s">
        <v>857</v>
      </c>
      <c r="C47" s="1133">
        <v>7.4624999999999997E-2</v>
      </c>
      <c r="D47" s="1134">
        <v>0</v>
      </c>
      <c r="E47" s="1134">
        <v>0</v>
      </c>
      <c r="F47" s="1133">
        <v>4.0079360000000001E-2</v>
      </c>
      <c r="G47" s="1133">
        <v>3.8912000000000002E-2</v>
      </c>
      <c r="H47" s="1135">
        <f t="shared" si="5"/>
        <v>3.4545639999999996E-2</v>
      </c>
      <c r="J47" s="1136">
        <v>3.2063488000000002E-3</v>
      </c>
      <c r="K47" s="1135">
        <f t="shared" si="6"/>
        <v>3.1339291199999994E-2</v>
      </c>
      <c r="M47" s="106">
        <f t="shared" si="8"/>
        <v>0.72401011947851002</v>
      </c>
      <c r="N47" s="1133">
        <v>5.3296013931140002E-2</v>
      </c>
      <c r="O47" s="109">
        <f t="shared" si="1"/>
        <v>0</v>
      </c>
      <c r="P47" s="1137">
        <f t="shared" si="7"/>
        <v>0</v>
      </c>
      <c r="Q47" s="1131"/>
    </row>
    <row r="48" spans="2:17">
      <c r="B48" s="1132" t="s">
        <v>858</v>
      </c>
      <c r="C48" s="1133">
        <v>0.17909999999999998</v>
      </c>
      <c r="D48" s="1134">
        <v>0</v>
      </c>
      <c r="E48" s="1134">
        <v>0</v>
      </c>
      <c r="F48" s="1133">
        <v>0.13389793999999999</v>
      </c>
      <c r="G48" s="1133">
        <v>0.129998</v>
      </c>
      <c r="H48" s="1135">
        <f t="shared" si="5"/>
        <v>4.5202059999999988E-2</v>
      </c>
      <c r="J48" s="1136">
        <v>1.702372212817941E-2</v>
      </c>
      <c r="K48" s="1135">
        <f t="shared" si="6"/>
        <v>2.8178337871820579E-2</v>
      </c>
      <c r="M48" s="106">
        <f t="shared" si="8"/>
        <v>0.1867083722407484</v>
      </c>
      <c r="N48" s="1133">
        <v>0.298457678014384</v>
      </c>
      <c r="O48" s="109">
        <f t="shared" si="1"/>
        <v>0</v>
      </c>
      <c r="P48" s="1137">
        <f t="shared" si="7"/>
        <v>0</v>
      </c>
      <c r="Q48" s="1131"/>
    </row>
    <row r="49" spans="2:17">
      <c r="B49" s="1132" t="s">
        <v>859</v>
      </c>
      <c r="C49" s="1133">
        <v>4.9750000000000003E-2</v>
      </c>
      <c r="D49" s="1134">
        <v>0</v>
      </c>
      <c r="E49" s="1134">
        <v>0</v>
      </c>
      <c r="F49" s="1133">
        <v>2.996064E-2</v>
      </c>
      <c r="G49" s="1133">
        <v>2.9087999999999999E-2</v>
      </c>
      <c r="H49" s="1135">
        <f t="shared" si="5"/>
        <v>1.9789360000000002E-2</v>
      </c>
      <c r="J49" s="1136">
        <v>2.3968512000000003E-3</v>
      </c>
      <c r="K49" s="1135">
        <f t="shared" si="6"/>
        <v>1.7392508800000001E-2</v>
      </c>
      <c r="M49" s="106">
        <f t="shared" si="8"/>
        <v>0.53751104164713492</v>
      </c>
      <c r="N49" s="1133">
        <v>0.11935766107542313</v>
      </c>
      <c r="O49" s="109">
        <f t="shared" si="1"/>
        <v>0</v>
      </c>
      <c r="P49" s="1137">
        <f t="shared" si="7"/>
        <v>0</v>
      </c>
      <c r="Q49" s="1131"/>
    </row>
    <row r="50" spans="2:17">
      <c r="B50" s="1132" t="s">
        <v>860</v>
      </c>
      <c r="C50" s="1133">
        <v>1.4161999999999999</v>
      </c>
      <c r="D50" s="1134">
        <v>0</v>
      </c>
      <c r="E50" s="1134">
        <v>0</v>
      </c>
      <c r="F50" s="1133">
        <v>1.1891216100000002</v>
      </c>
      <c r="G50" s="1133">
        <v>1.154487</v>
      </c>
      <c r="H50" s="1135">
        <f t="shared" si="5"/>
        <v>0.22707838999999974</v>
      </c>
      <c r="J50" s="1136">
        <v>9.5129728800000021E-2</v>
      </c>
      <c r="K50" s="1135">
        <f t="shared" si="6"/>
        <v>0.13194866119999971</v>
      </c>
      <c r="M50" s="106">
        <f t="shared" si="8"/>
        <v>0.10274364309660138</v>
      </c>
      <c r="N50" s="1133">
        <v>1.9950474548223407</v>
      </c>
      <c r="O50" s="109">
        <f t="shared" si="1"/>
        <v>0</v>
      </c>
      <c r="P50" s="1137">
        <f t="shared" si="7"/>
        <v>0</v>
      </c>
      <c r="Q50" s="1131"/>
    </row>
    <row r="51" spans="2:17">
      <c r="B51" s="1132" t="s">
        <v>861</v>
      </c>
      <c r="C51" s="1133">
        <v>0.14924999999999999</v>
      </c>
      <c r="D51" s="1134">
        <v>0</v>
      </c>
      <c r="E51" s="1134">
        <v>0</v>
      </c>
      <c r="F51" s="1133">
        <v>0.10877727</v>
      </c>
      <c r="G51" s="1133">
        <v>0.10560899999999999</v>
      </c>
      <c r="H51" s="1135">
        <f t="shared" si="5"/>
        <v>4.0472729999999998E-2</v>
      </c>
      <c r="J51" s="1136">
        <v>8.7021815999999991E-3</v>
      </c>
      <c r="K51" s="1135">
        <f t="shared" si="6"/>
        <v>3.1770548400000001E-2</v>
      </c>
      <c r="M51" s="106">
        <f t="shared" si="8"/>
        <v>0.27043493961968751</v>
      </c>
      <c r="N51" s="1133">
        <v>0.143899237614078</v>
      </c>
      <c r="O51" s="109">
        <f t="shared" si="1"/>
        <v>0</v>
      </c>
      <c r="P51" s="1137">
        <f t="shared" si="7"/>
        <v>0</v>
      </c>
      <c r="Q51" s="1131"/>
    </row>
    <row r="52" spans="2:17">
      <c r="B52" s="1132" t="s">
        <v>862</v>
      </c>
      <c r="C52" s="1133">
        <v>0.32712231706585371</v>
      </c>
      <c r="D52" s="1134">
        <v>0</v>
      </c>
      <c r="E52" s="1134">
        <v>0</v>
      </c>
      <c r="F52" s="1133">
        <v>0.24578066000000001</v>
      </c>
      <c r="G52" s="1133">
        <v>0.238622</v>
      </c>
      <c r="H52" s="1135">
        <f t="shared" si="5"/>
        <v>8.1341657065853695E-2</v>
      </c>
      <c r="J52" s="1136">
        <v>2.4670642359388113E-2</v>
      </c>
      <c r="K52" s="1135">
        <f t="shared" si="6"/>
        <v>5.6671014706465586E-2</v>
      </c>
      <c r="M52" s="106">
        <f t="shared" si="8"/>
        <v>0.20954239899040505</v>
      </c>
      <c r="N52" s="1133">
        <v>0.35708329333863797</v>
      </c>
      <c r="O52" s="109">
        <f t="shared" si="1"/>
        <v>0</v>
      </c>
      <c r="P52" s="1137">
        <f t="shared" si="7"/>
        <v>0</v>
      </c>
      <c r="Q52" s="1131"/>
    </row>
    <row r="53" spans="2:17">
      <c r="B53" s="1132" t="s">
        <v>863</v>
      </c>
      <c r="C53" s="1133">
        <v>0.14924999999999999</v>
      </c>
      <c r="D53" s="1134">
        <v>0</v>
      </c>
      <c r="E53" s="1134">
        <v>0</v>
      </c>
      <c r="F53" s="1133">
        <v>0.10914807</v>
      </c>
      <c r="G53" s="1133">
        <v>0.10596899999999999</v>
      </c>
      <c r="H53" s="1135">
        <f t="shared" si="5"/>
        <v>4.0101929999999994E-2</v>
      </c>
      <c r="J53" s="1136">
        <v>8.7318455999999996E-3</v>
      </c>
      <c r="K53" s="1135">
        <f t="shared" si="6"/>
        <v>3.1370084399999998E-2</v>
      </c>
      <c r="M53" s="106">
        <f t="shared" si="8"/>
        <v>0.26611899270820311</v>
      </c>
      <c r="N53" s="1133">
        <v>0.11192162925539401</v>
      </c>
      <c r="O53" s="109">
        <f t="shared" si="1"/>
        <v>0</v>
      </c>
      <c r="P53" s="1137">
        <f t="shared" si="7"/>
        <v>0</v>
      </c>
      <c r="Q53" s="1131"/>
    </row>
    <row r="54" spans="2:17">
      <c r="B54" s="1132" t="s">
        <v>864</v>
      </c>
      <c r="C54" s="1133">
        <v>0.44775000000000004</v>
      </c>
      <c r="D54" s="1134">
        <v>0</v>
      </c>
      <c r="E54" s="1134">
        <v>0</v>
      </c>
      <c r="F54" s="1133">
        <v>0.46011336000000003</v>
      </c>
      <c r="G54" s="1133">
        <v>0.446712</v>
      </c>
      <c r="H54" s="1135">
        <f t="shared" si="5"/>
        <v>-1.236335999999999E-2</v>
      </c>
      <c r="J54" s="1136">
        <v>8.1435975794062865E-2</v>
      </c>
      <c r="K54" s="1135">
        <f t="shared" si="6"/>
        <v>-9.3799335794062855E-2</v>
      </c>
      <c r="M54" s="106">
        <f t="shared" si="8"/>
        <v>-0.17320552273695763</v>
      </c>
      <c r="N54" s="1133">
        <v>0.77634526959693939</v>
      </c>
      <c r="O54" s="109">
        <f t="shared" si="1"/>
        <v>1.4509763374511594E-4</v>
      </c>
      <c r="P54" s="1137">
        <f t="shared" si="7"/>
        <v>4.3529512277563459E-4</v>
      </c>
      <c r="Q54" s="1131"/>
    </row>
    <row r="55" spans="2:17">
      <c r="B55" s="1132" t="s">
        <v>865</v>
      </c>
      <c r="C55" s="1133">
        <v>0.19900000000000001</v>
      </c>
      <c r="D55" s="1134">
        <v>0</v>
      </c>
      <c r="E55" s="1134">
        <v>0</v>
      </c>
      <c r="F55" s="1133">
        <v>0.15099182</v>
      </c>
      <c r="G55" s="1133">
        <v>0.146594</v>
      </c>
      <c r="H55" s="1135">
        <f t="shared" si="5"/>
        <v>4.8008180000000011E-2</v>
      </c>
      <c r="J55" s="1136">
        <v>3.1294426191662068E-2</v>
      </c>
      <c r="K55" s="1135">
        <f t="shared" si="6"/>
        <v>1.6713753808337943E-2</v>
      </c>
      <c r="M55" s="106">
        <f t="shared" si="8"/>
        <v>9.1689604440943526E-2</v>
      </c>
      <c r="N55" s="1133">
        <v>0.28602194143045129</v>
      </c>
      <c r="O55" s="109">
        <f t="shared" si="1"/>
        <v>0</v>
      </c>
      <c r="P55" s="1137">
        <f t="shared" si="7"/>
        <v>0</v>
      </c>
      <c r="Q55" s="1131"/>
    </row>
    <row r="56" spans="2:17">
      <c r="B56" s="1132" t="s">
        <v>866</v>
      </c>
      <c r="C56" s="1133">
        <v>9.9500000000000005E-2</v>
      </c>
      <c r="D56" s="1134">
        <v>0</v>
      </c>
      <c r="E56" s="1134">
        <v>0</v>
      </c>
      <c r="F56" s="1133">
        <v>5.9180710000000004E-2</v>
      </c>
      <c r="G56" s="1133">
        <v>5.7457000000000001E-2</v>
      </c>
      <c r="H56" s="1135">
        <f t="shared" si="5"/>
        <v>4.0319290000000001E-2</v>
      </c>
      <c r="J56" s="1136">
        <v>4.7344568000000009E-3</v>
      </c>
      <c r="K56" s="1135">
        <f t="shared" si="6"/>
        <v>3.5584833199999999E-2</v>
      </c>
      <c r="M56" s="106">
        <f t="shared" si="8"/>
        <v>0.55675100264308464</v>
      </c>
      <c r="N56" s="1133">
        <v>0.101262426469166</v>
      </c>
      <c r="O56" s="109">
        <f t="shared" si="1"/>
        <v>0</v>
      </c>
      <c r="P56" s="1137">
        <f t="shared" si="7"/>
        <v>0</v>
      </c>
      <c r="Q56" s="1131"/>
    </row>
    <row r="57" spans="2:17">
      <c r="B57" s="1132" t="s">
        <v>867</v>
      </c>
      <c r="C57" s="1133">
        <v>9.9282555224626839E-2</v>
      </c>
      <c r="D57" s="1134">
        <v>0</v>
      </c>
      <c r="E57" s="1134">
        <v>0</v>
      </c>
      <c r="F57" s="1133">
        <v>8.0493469999999998E-2</v>
      </c>
      <c r="G57" s="1133">
        <v>7.8148999999999996E-2</v>
      </c>
      <c r="H57" s="1135">
        <f t="shared" si="5"/>
        <v>1.8789085224626842E-2</v>
      </c>
      <c r="J57" s="1136">
        <v>6.4394776000000001E-3</v>
      </c>
      <c r="K57" s="1135">
        <f t="shared" si="6"/>
        <v>1.2349607624626842E-2</v>
      </c>
      <c r="M57" s="106">
        <f t="shared" si="8"/>
        <v>0.14205900024752918</v>
      </c>
      <c r="N57" s="1133">
        <v>0.149228839007192</v>
      </c>
      <c r="O57" s="109">
        <f t="shared" si="1"/>
        <v>0</v>
      </c>
      <c r="P57" s="1137">
        <f t="shared" si="7"/>
        <v>0</v>
      </c>
      <c r="Q57" s="1131"/>
    </row>
    <row r="58" spans="2:17">
      <c r="B58" s="1132" t="s">
        <v>868</v>
      </c>
      <c r="C58" s="1133">
        <v>5.4950973344444445E-2</v>
      </c>
      <c r="D58" s="1134">
        <v>0</v>
      </c>
      <c r="E58" s="1134">
        <v>0</v>
      </c>
      <c r="F58" s="1133">
        <v>5.1524720000000003E-2</v>
      </c>
      <c r="G58" s="1133">
        <v>5.0023999999999999E-2</v>
      </c>
      <c r="H58" s="1135">
        <f t="shared" si="5"/>
        <v>3.4262533444444424E-3</v>
      </c>
      <c r="J58" s="1136">
        <v>4.1219776E-3</v>
      </c>
      <c r="K58" s="1135">
        <f t="shared" si="6"/>
        <v>-6.9572425555555761E-4</v>
      </c>
      <c r="M58" s="106">
        <f t="shared" si="8"/>
        <v>-1.2502525496779122E-2</v>
      </c>
      <c r="N58" s="1133">
        <v>0.101262426469166</v>
      </c>
      <c r="O58" s="109">
        <f t="shared" si="1"/>
        <v>1.8925778314580336E-5</v>
      </c>
      <c r="P58" s="1137">
        <f t="shared" si="7"/>
        <v>2.9583479071687234E-7</v>
      </c>
      <c r="Q58" s="1131"/>
    </row>
    <row r="59" spans="2:17">
      <c r="B59" s="1132" t="s">
        <v>869</v>
      </c>
      <c r="C59" s="1133">
        <v>3.9800000000000002E-2</v>
      </c>
      <c r="D59" s="1134">
        <v>0</v>
      </c>
      <c r="E59" s="1134">
        <v>0</v>
      </c>
      <c r="F59" s="1133">
        <v>2.4161740000000001E-2</v>
      </c>
      <c r="G59" s="1133">
        <v>2.3458E-2</v>
      </c>
      <c r="H59" s="1135">
        <f t="shared" si="5"/>
        <v>1.5638260000000001E-2</v>
      </c>
      <c r="J59" s="1136">
        <v>1.9329392000000001E-3</v>
      </c>
      <c r="K59" s="1135">
        <f t="shared" si="6"/>
        <v>1.37053208E-2</v>
      </c>
      <c r="M59" s="106">
        <f t="shared" si="8"/>
        <v>0.52521514807509107</v>
      </c>
      <c r="N59" s="1133">
        <v>7.106135190818666E-2</v>
      </c>
      <c r="O59" s="109">
        <f t="shared" si="1"/>
        <v>0</v>
      </c>
      <c r="P59" s="1137">
        <f t="shared" si="7"/>
        <v>0</v>
      </c>
      <c r="Q59" s="1131"/>
    </row>
    <row r="60" spans="2:17">
      <c r="B60" s="1132" t="s">
        <v>870</v>
      </c>
      <c r="C60" s="1133">
        <v>0.16318000000000002</v>
      </c>
      <c r="D60" s="1134">
        <v>0</v>
      </c>
      <c r="E60" s="1134">
        <v>0</v>
      </c>
      <c r="F60" s="1133">
        <v>0.10791104</v>
      </c>
      <c r="G60" s="1133">
        <v>0.104768</v>
      </c>
      <c r="H60" s="1135">
        <f t="shared" si="5"/>
        <v>5.526896000000002E-2</v>
      </c>
      <c r="J60" s="1136">
        <v>8.6328832000000001E-3</v>
      </c>
      <c r="K60" s="1135">
        <f t="shared" si="6"/>
        <v>4.6636076800000023E-2</v>
      </c>
      <c r="M60" s="106">
        <f t="shared" si="8"/>
        <v>0.40015880296022183</v>
      </c>
      <c r="N60" s="1133">
        <v>0.24693819788094867</v>
      </c>
      <c r="O60" s="109">
        <f t="shared" si="1"/>
        <v>0</v>
      </c>
      <c r="P60" s="1137">
        <f t="shared" si="7"/>
        <v>0</v>
      </c>
      <c r="Q60" s="1131"/>
    </row>
    <row r="61" spans="2:17">
      <c r="B61" s="1132" t="s">
        <v>871</v>
      </c>
      <c r="C61" s="1133">
        <v>4.9750000000000003E-2</v>
      </c>
      <c r="D61" s="1134">
        <v>0</v>
      </c>
      <c r="E61" s="1134">
        <v>0</v>
      </c>
      <c r="F61" s="1133">
        <v>2.2684719999999998E-2</v>
      </c>
      <c r="G61" s="1133">
        <v>2.2023999999999998E-2</v>
      </c>
      <c r="H61" s="1135">
        <f t="shared" si="5"/>
        <v>2.7065280000000004E-2</v>
      </c>
      <c r="J61" s="1136">
        <v>1.8147775999999998E-3</v>
      </c>
      <c r="K61" s="1135">
        <f t="shared" si="6"/>
        <v>2.5250502400000003E-2</v>
      </c>
      <c r="M61" s="106">
        <f t="shared" si="8"/>
        <v>1.0306538857351917</v>
      </c>
      <c r="N61" s="1133">
        <v>4.7966412538026006E-2</v>
      </c>
      <c r="O61" s="109">
        <f t="shared" si="1"/>
        <v>0</v>
      </c>
      <c r="P61" s="1137">
        <f t="shared" si="7"/>
        <v>0</v>
      </c>
      <c r="Q61" s="1131"/>
    </row>
    <row r="62" spans="2:17">
      <c r="B62" s="1132" t="s">
        <v>872</v>
      </c>
      <c r="C62" s="1133">
        <v>0.44775000000000004</v>
      </c>
      <c r="D62" s="1134">
        <v>0</v>
      </c>
      <c r="E62" s="1134">
        <v>0</v>
      </c>
      <c r="F62" s="1133">
        <v>0.28854317000000002</v>
      </c>
      <c r="G62" s="1133">
        <v>0.28013900000000003</v>
      </c>
      <c r="H62" s="1135">
        <f t="shared" si="5"/>
        <v>0.15920683000000002</v>
      </c>
      <c r="J62" s="1136">
        <v>2.3083453600000001E-2</v>
      </c>
      <c r="K62" s="1135">
        <f t="shared" si="6"/>
        <v>0.13612337640000002</v>
      </c>
      <c r="M62" s="106">
        <f t="shared" si="8"/>
        <v>0.43681561872815544</v>
      </c>
      <c r="N62" s="1133">
        <v>0.95044558177199667</v>
      </c>
      <c r="O62" s="109">
        <f t="shared" si="1"/>
        <v>0</v>
      </c>
      <c r="P62" s="1137">
        <f t="shared" si="7"/>
        <v>0</v>
      </c>
      <c r="Q62" s="1131"/>
    </row>
    <row r="63" spans="2:17">
      <c r="B63" s="1132" t="s">
        <v>873</v>
      </c>
      <c r="C63" s="1133">
        <v>1.4550000000000001</v>
      </c>
      <c r="D63" s="1134">
        <v>0</v>
      </c>
      <c r="E63" s="1134">
        <v>0</v>
      </c>
      <c r="F63" s="1133">
        <v>1.0042170399999999</v>
      </c>
      <c r="G63" s="1133">
        <v>0.97496799999999995</v>
      </c>
      <c r="H63" s="1135">
        <f>+C63+D63-E63-F63</f>
        <v>0.45078296000000018</v>
      </c>
      <c r="J63" s="1136">
        <v>0.1323797780085971</v>
      </c>
      <c r="K63" s="1135">
        <f>+H63-J63</f>
        <v>0.31840318199140305</v>
      </c>
      <c r="M63" s="106">
        <f>+IF(ISERROR(K63/(F63+J63)),0,K63/(F63+J63))</f>
        <v>0.28013731601789044</v>
      </c>
      <c r="N63" s="1133">
        <v>1.5953273503387908</v>
      </c>
      <c r="O63" s="109">
        <f t="shared" si="1"/>
        <v>0</v>
      </c>
      <c r="P63" s="1137">
        <f>(M63^2*O63)*100</f>
        <v>0</v>
      </c>
      <c r="Q63" s="1131"/>
    </row>
    <row r="64" spans="2:17">
      <c r="B64" s="1132" t="s">
        <v>874</v>
      </c>
      <c r="C64" s="1133">
        <v>5.7710000000000004E-2</v>
      </c>
      <c r="D64" s="1134">
        <v>0</v>
      </c>
      <c r="E64" s="1134">
        <v>0</v>
      </c>
      <c r="F64" s="1133">
        <v>3.7963740000000003E-2</v>
      </c>
      <c r="G64" s="1133">
        <v>3.6858000000000002E-2</v>
      </c>
      <c r="H64" s="1135">
        <f t="shared" ref="H64:H87" si="9">+C64+D64-E64-F64</f>
        <v>1.9746260000000002E-2</v>
      </c>
      <c r="J64" s="1136">
        <v>3.0370992000000002E-3</v>
      </c>
      <c r="K64" s="1135">
        <f t="shared" ref="K64:K87" si="10">+H64-J64</f>
        <v>1.6709160800000001E-2</v>
      </c>
      <c r="M64" s="106">
        <f>+IF(ISERROR(K64/(F64+J64)),0,K64/(F64+J64))</f>
        <v>0.40753216582942531</v>
      </c>
      <c r="N64" s="1133">
        <v>4.7966412538026006E-2</v>
      </c>
      <c r="O64" s="109">
        <f t="shared" si="1"/>
        <v>0</v>
      </c>
      <c r="P64" s="1137">
        <f t="shared" ref="P64:P87" si="11">(M64^2*O64)*100</f>
        <v>0</v>
      </c>
      <c r="Q64" s="1131"/>
    </row>
    <row r="65" spans="2:17">
      <c r="B65" s="1132" t="s">
        <v>875</v>
      </c>
      <c r="C65" s="1133">
        <v>0.32835000000000003</v>
      </c>
      <c r="D65" s="1134">
        <v>0</v>
      </c>
      <c r="E65" s="1134">
        <v>0</v>
      </c>
      <c r="F65" s="1133">
        <v>0.21919636000000001</v>
      </c>
      <c r="G65" s="1133">
        <v>0.212812</v>
      </c>
      <c r="H65" s="1135">
        <f t="shared" si="9"/>
        <v>0.10915364000000002</v>
      </c>
      <c r="J65" s="1136">
        <v>2.2240568171524266E-2</v>
      </c>
      <c r="K65" s="1135">
        <f t="shared" si="10"/>
        <v>8.6913071828475755E-2</v>
      </c>
      <c r="M65" s="106">
        <f t="shared" ref="M65:M87" si="12">+IF(ISERROR(K65/(F65+J65)),0,K65/(F65+J65))</f>
        <v>0.3599825117337892</v>
      </c>
      <c r="N65" s="1133">
        <v>0.52585400412058125</v>
      </c>
      <c r="O65" s="109">
        <f t="shared" si="1"/>
        <v>0</v>
      </c>
      <c r="P65" s="1137">
        <f t="shared" si="11"/>
        <v>0</v>
      </c>
      <c r="Q65" s="1131"/>
    </row>
    <row r="66" spans="2:17">
      <c r="B66" s="1132" t="s">
        <v>876</v>
      </c>
      <c r="C66" s="1133">
        <v>2.3880000000000002E-2</v>
      </c>
      <c r="D66" s="1134">
        <v>0</v>
      </c>
      <c r="E66" s="1134">
        <v>0</v>
      </c>
      <c r="F66" s="1133">
        <v>2.6203200000000003E-2</v>
      </c>
      <c r="G66" s="1133">
        <v>2.5440000000000001E-2</v>
      </c>
      <c r="H66" s="1135">
        <f t="shared" si="9"/>
        <v>-2.323200000000001E-3</v>
      </c>
      <c r="J66" s="1136">
        <v>2.0962560000000003E-3</v>
      </c>
      <c r="K66" s="1135">
        <f t="shared" si="10"/>
        <v>-4.4194560000000013E-3</v>
      </c>
      <c r="M66" s="106">
        <f t="shared" si="12"/>
        <v>-0.15616752491638003</v>
      </c>
      <c r="N66" s="1133">
        <v>6.5731750515072657E-2</v>
      </c>
      <c r="O66" s="109">
        <f t="shared" si="1"/>
        <v>1.2285154344552147E-5</v>
      </c>
      <c r="P66" s="1137">
        <f t="shared" si="11"/>
        <v>2.9961397857667178E-5</v>
      </c>
      <c r="Q66" s="1131"/>
    </row>
    <row r="67" spans="2:17">
      <c r="B67" s="1132" t="s">
        <v>877</v>
      </c>
      <c r="C67" s="1133">
        <v>0.15920000000000001</v>
      </c>
      <c r="D67" s="1134">
        <v>0</v>
      </c>
      <c r="E67" s="1134">
        <v>0</v>
      </c>
      <c r="F67" s="1133">
        <v>0.121952</v>
      </c>
      <c r="G67" s="1133">
        <v>0.11840000000000001</v>
      </c>
      <c r="H67" s="1135">
        <f t="shared" si="9"/>
        <v>3.7248000000000003E-2</v>
      </c>
      <c r="J67" s="1136">
        <v>9.7561599999999998E-3</v>
      </c>
      <c r="K67" s="1135">
        <f t="shared" si="10"/>
        <v>2.7491840000000003E-2</v>
      </c>
      <c r="M67" s="106">
        <f t="shared" si="12"/>
        <v>0.20873300484950971</v>
      </c>
      <c r="N67" s="1133">
        <v>0.23094939370160669</v>
      </c>
      <c r="O67" s="109">
        <f t="shared" si="1"/>
        <v>0</v>
      </c>
      <c r="P67" s="1137">
        <f t="shared" si="11"/>
        <v>0</v>
      </c>
      <c r="Q67" s="1131"/>
    </row>
    <row r="68" spans="2:17">
      <c r="B68" s="1132" t="s">
        <v>878</v>
      </c>
      <c r="C68" s="1133">
        <v>9.9500000000000005E-3</v>
      </c>
      <c r="D68" s="1134">
        <v>0</v>
      </c>
      <c r="E68" s="1134">
        <v>0</v>
      </c>
      <c r="F68" s="1133">
        <v>1.64594E-3</v>
      </c>
      <c r="G68" s="1133">
        <v>1.598E-3</v>
      </c>
      <c r="H68" s="1135">
        <f t="shared" si="9"/>
        <v>8.3040600000000003E-3</v>
      </c>
      <c r="J68" s="1136">
        <v>1.316752E-4</v>
      </c>
      <c r="K68" s="1135">
        <f t="shared" si="10"/>
        <v>8.1723847999999998E-3</v>
      </c>
      <c r="M68" s="106">
        <f t="shared" si="12"/>
        <v>4.5973868810302703</v>
      </c>
      <c r="N68" s="1133">
        <v>2.1318405572455998E-2</v>
      </c>
      <c r="O68" s="109">
        <f t="shared" si="1"/>
        <v>0</v>
      </c>
      <c r="P68" s="1137">
        <f t="shared" si="11"/>
        <v>0</v>
      </c>
      <c r="Q68" s="1131"/>
    </row>
    <row r="69" spans="2:17">
      <c r="B69" s="1132" t="s">
        <v>879</v>
      </c>
      <c r="C69" s="1133">
        <v>0.37809999999999999</v>
      </c>
      <c r="D69" s="1134">
        <v>0</v>
      </c>
      <c r="E69" s="1134">
        <v>0</v>
      </c>
      <c r="F69" s="1133">
        <v>0.22740340000000001</v>
      </c>
      <c r="G69" s="1133">
        <v>0.22078</v>
      </c>
      <c r="H69" s="1135">
        <f t="shared" si="9"/>
        <v>0.15069659999999999</v>
      </c>
      <c r="J69" s="1136">
        <v>1.8192272000000002E-2</v>
      </c>
      <c r="K69" s="1135">
        <f t="shared" si="10"/>
        <v>0.13250432799999998</v>
      </c>
      <c r="M69" s="106">
        <f t="shared" si="12"/>
        <v>0.53952224369817059</v>
      </c>
      <c r="N69" s="1133">
        <v>0.40327317207895935</v>
      </c>
      <c r="O69" s="109">
        <f t="shared" si="1"/>
        <v>0</v>
      </c>
      <c r="P69" s="1137">
        <f t="shared" si="11"/>
        <v>0</v>
      </c>
      <c r="Q69" s="1131"/>
    </row>
    <row r="70" spans="2:17">
      <c r="B70" s="1132" t="s">
        <v>880</v>
      </c>
      <c r="C70" s="1133">
        <v>0.22823562792187499</v>
      </c>
      <c r="D70" s="1134">
        <v>0</v>
      </c>
      <c r="E70" s="1134">
        <v>0</v>
      </c>
      <c r="F70" s="1133">
        <v>0.13668615000000001</v>
      </c>
      <c r="G70" s="1133">
        <v>0.13270499999999999</v>
      </c>
      <c r="H70" s="1135">
        <f t="shared" si="9"/>
        <v>9.1549477921874983E-2</v>
      </c>
      <c r="J70" s="1136">
        <v>1.0934892E-2</v>
      </c>
      <c r="K70" s="1135">
        <f t="shared" si="10"/>
        <v>8.0614585921874982E-2</v>
      </c>
      <c r="M70" s="106">
        <f t="shared" si="12"/>
        <v>0.54609142998648508</v>
      </c>
      <c r="N70" s="1133">
        <v>0.20963098812915065</v>
      </c>
      <c r="O70" s="109">
        <f t="shared" si="1"/>
        <v>0</v>
      </c>
      <c r="P70" s="1137">
        <f t="shared" si="11"/>
        <v>0</v>
      </c>
      <c r="Q70" s="1131"/>
    </row>
    <row r="71" spans="2:17">
      <c r="B71" s="1132" t="s">
        <v>881</v>
      </c>
      <c r="C71" s="1133">
        <v>0.194025</v>
      </c>
      <c r="D71" s="1134">
        <v>0</v>
      </c>
      <c r="E71" s="1134">
        <v>0</v>
      </c>
      <c r="F71" s="1133">
        <v>5.3620770000000005E-2</v>
      </c>
      <c r="G71" s="1133">
        <v>5.2059000000000001E-2</v>
      </c>
      <c r="H71" s="1135">
        <f t="shared" si="9"/>
        <v>0.14040422999999999</v>
      </c>
      <c r="J71" s="1136">
        <v>4.2896616000000004E-3</v>
      </c>
      <c r="K71" s="1135">
        <f t="shared" si="10"/>
        <v>0.1361145684</v>
      </c>
      <c r="M71" s="106">
        <f t="shared" si="12"/>
        <v>2.3504326360434167</v>
      </c>
      <c r="N71" s="1133">
        <v>0.21851365711767401</v>
      </c>
      <c r="O71" s="109">
        <f t="shared" si="1"/>
        <v>0</v>
      </c>
      <c r="P71" s="1137">
        <f t="shared" si="11"/>
        <v>0</v>
      </c>
      <c r="Q71" s="1131"/>
    </row>
    <row r="72" spans="2:17">
      <c r="B72" s="1132" t="s">
        <v>882</v>
      </c>
      <c r="C72" s="1133">
        <v>2.5869999999999997E-2</v>
      </c>
      <c r="D72" s="1134">
        <v>0</v>
      </c>
      <c r="E72" s="1134">
        <v>0</v>
      </c>
      <c r="F72" s="1133">
        <v>1.1116790000000001E-2</v>
      </c>
      <c r="G72" s="1133">
        <v>1.0793000000000001E-2</v>
      </c>
      <c r="H72" s="1135">
        <f t="shared" si="9"/>
        <v>1.4753209999999996E-2</v>
      </c>
      <c r="J72" s="1136">
        <v>1.372950522860515E-3</v>
      </c>
      <c r="K72" s="1135">
        <f t="shared" si="10"/>
        <v>1.3380259477139481E-2</v>
      </c>
      <c r="M72" s="106">
        <f t="shared" si="12"/>
        <v>1.0713000364298209</v>
      </c>
      <c r="N72" s="1133">
        <v>5.3296013931140002E-2</v>
      </c>
      <c r="O72" s="109">
        <f t="shared" si="1"/>
        <v>0</v>
      </c>
      <c r="P72" s="1137">
        <f t="shared" si="11"/>
        <v>0</v>
      </c>
      <c r="Q72" s="1131"/>
    </row>
    <row r="73" spans="2:17">
      <c r="B73" s="1132" t="s">
        <v>883</v>
      </c>
      <c r="C73" s="1133">
        <v>2.1366868340000003</v>
      </c>
      <c r="D73" s="1134">
        <v>0</v>
      </c>
      <c r="E73" s="1134">
        <v>0</v>
      </c>
      <c r="F73" s="1133">
        <v>2.2498444499999999</v>
      </c>
      <c r="G73" s="1133">
        <v>2.1843149999999998</v>
      </c>
      <c r="H73" s="1135">
        <f t="shared" si="9"/>
        <v>-0.11315761599999963</v>
      </c>
      <c r="J73" s="1136">
        <v>0.17998755599999999</v>
      </c>
      <c r="K73" s="1135">
        <f t="shared" si="10"/>
        <v>-0.29314517199999962</v>
      </c>
      <c r="M73" s="106">
        <f t="shared" si="12"/>
        <v>-0.12064421378767518</v>
      </c>
      <c r="N73" s="1133">
        <v>3.8225210572750719</v>
      </c>
      <c r="O73" s="109">
        <f t="shared" si="1"/>
        <v>7.144227988140475E-4</v>
      </c>
      <c r="P73" s="1137">
        <f t="shared" si="11"/>
        <v>1.0398442640665354E-3</v>
      </c>
      <c r="Q73" s="1131"/>
    </row>
    <row r="74" spans="2:17">
      <c r="B74" s="1132" t="s">
        <v>884</v>
      </c>
      <c r="C74" s="1133">
        <v>1.0270567539157898</v>
      </c>
      <c r="D74" s="1134">
        <v>0</v>
      </c>
      <c r="E74" s="1134">
        <v>0</v>
      </c>
      <c r="F74" s="1133">
        <v>0.52026948000000006</v>
      </c>
      <c r="G74" s="1133">
        <v>0.50511600000000001</v>
      </c>
      <c r="H74" s="1135">
        <f t="shared" si="9"/>
        <v>0.5067872739157897</v>
      </c>
      <c r="J74" s="1136">
        <v>7.4617026917230281E-2</v>
      </c>
      <c r="K74" s="1135">
        <f t="shared" si="10"/>
        <v>0.43217024699855944</v>
      </c>
      <c r="M74" s="106">
        <f t="shared" si="12"/>
        <v>0.72647512083962862</v>
      </c>
      <c r="N74" s="1133">
        <v>1.3600489563211113</v>
      </c>
      <c r="O74" s="109">
        <f t="shared" si="1"/>
        <v>0</v>
      </c>
      <c r="P74" s="1137">
        <f t="shared" si="11"/>
        <v>0</v>
      </c>
      <c r="Q74" s="1131"/>
    </row>
    <row r="75" spans="2:17">
      <c r="B75" s="1132" t="s">
        <v>885</v>
      </c>
      <c r="C75" s="1133">
        <v>0.35973728052777776</v>
      </c>
      <c r="D75" s="1134">
        <v>0</v>
      </c>
      <c r="E75" s="1134">
        <v>0</v>
      </c>
      <c r="F75" s="1133">
        <v>0.45975595000000002</v>
      </c>
      <c r="G75" s="1133">
        <v>0.44636500000000001</v>
      </c>
      <c r="H75" s="1135">
        <f t="shared" si="9"/>
        <v>-0.10001866947222227</v>
      </c>
      <c r="J75" s="1136">
        <v>3.6780475999999999E-2</v>
      </c>
      <c r="K75" s="1135">
        <f t="shared" si="10"/>
        <v>-0.13679914547222227</v>
      </c>
      <c r="M75" s="106">
        <f t="shared" si="12"/>
        <v>-0.2755067670951139</v>
      </c>
      <c r="N75" s="1133">
        <v>0.54717240969303726</v>
      </c>
      <c r="O75" s="109">
        <f t="shared" si="1"/>
        <v>1.0226560913843409E-4</v>
      </c>
      <c r="P75" s="1137">
        <f t="shared" si="11"/>
        <v>7.7623666193408017E-4</v>
      </c>
      <c r="Q75" s="1131"/>
    </row>
    <row r="76" spans="2:17">
      <c r="B76" s="1132" t="s">
        <v>886</v>
      </c>
      <c r="C76" s="1133">
        <v>0.29335725318139544</v>
      </c>
      <c r="D76" s="1134">
        <v>0</v>
      </c>
      <c r="E76" s="1134">
        <v>0</v>
      </c>
      <c r="F76" s="1133">
        <v>0.28262788</v>
      </c>
      <c r="G76" s="1133">
        <v>0.27439599999999997</v>
      </c>
      <c r="H76" s="1135">
        <f t="shared" si="9"/>
        <v>1.0729373181395441E-2</v>
      </c>
      <c r="J76" s="1136">
        <v>2.26102304E-2</v>
      </c>
      <c r="K76" s="1135">
        <f t="shared" si="10"/>
        <v>-1.188085721860456E-2</v>
      </c>
      <c r="M76" s="106">
        <f t="shared" si="12"/>
        <v>-3.8923243244545262E-2</v>
      </c>
      <c r="N76" s="1133">
        <v>0.3926139692927314</v>
      </c>
      <c r="O76" s="109">
        <f t="shared" si="1"/>
        <v>7.3378894868811499E-5</v>
      </c>
      <c r="P76" s="1137">
        <f t="shared" si="11"/>
        <v>1.1117040999518242E-5</v>
      </c>
      <c r="Q76" s="1131"/>
    </row>
    <row r="77" spans="2:17">
      <c r="B77" s="1132" t="s">
        <v>887</v>
      </c>
      <c r="C77" s="1133">
        <v>0.39800000000000002</v>
      </c>
      <c r="D77" s="1134">
        <v>0</v>
      </c>
      <c r="E77" s="1134">
        <v>0</v>
      </c>
      <c r="F77" s="1133">
        <v>0.36306470000000002</v>
      </c>
      <c r="G77" s="1133">
        <v>0.35249000000000003</v>
      </c>
      <c r="H77" s="1135">
        <f t="shared" si="9"/>
        <v>3.4935300000000002E-2</v>
      </c>
      <c r="J77" s="1136">
        <v>3.7914338823887013E-2</v>
      </c>
      <c r="K77" s="1135">
        <f t="shared" si="10"/>
        <v>-2.9790388238870105E-3</v>
      </c>
      <c r="M77" s="106">
        <f t="shared" si="12"/>
        <v>-7.4294128506688017E-3</v>
      </c>
      <c r="N77" s="1133">
        <v>0.66264710654384062</v>
      </c>
      <c r="O77" s="109">
        <f t="shared" si="1"/>
        <v>1.2384763704102571E-4</v>
      </c>
      <c r="P77" s="1137">
        <f t="shared" si="11"/>
        <v>6.8359158853110203E-7</v>
      </c>
      <c r="Q77" s="1131"/>
    </row>
    <row r="78" spans="2:17">
      <c r="B78" s="1132" t="s">
        <v>888</v>
      </c>
      <c r="C78" s="1133">
        <v>0.13930000000000001</v>
      </c>
      <c r="D78" s="1134">
        <v>0</v>
      </c>
      <c r="E78" s="1134">
        <v>0</v>
      </c>
      <c r="F78" s="1133">
        <v>0.14163427000000001</v>
      </c>
      <c r="G78" s="1133">
        <v>0.13750899999999999</v>
      </c>
      <c r="H78" s="1135">
        <f t="shared" si="9"/>
        <v>-2.3342699999999994E-3</v>
      </c>
      <c r="J78" s="1136">
        <v>1.1330741600000001E-2</v>
      </c>
      <c r="K78" s="1135">
        <f t="shared" si="10"/>
        <v>-1.3665011600000001E-2</v>
      </c>
      <c r="M78" s="106">
        <f t="shared" si="12"/>
        <v>-8.9334230469211434E-2</v>
      </c>
      <c r="N78" s="1133">
        <v>0.34820062435011473</v>
      </c>
      <c r="O78" s="109">
        <f t="shared" ref="O78:O141" si="13">IF(K78&lt;0,N78/$N$263,0)</f>
        <v>6.5078114906276256E-5</v>
      </c>
      <c r="P78" s="1137">
        <f t="shared" si="11"/>
        <v>5.1936271186998922E-5</v>
      </c>
      <c r="Q78" s="1131"/>
    </row>
    <row r="79" spans="2:17">
      <c r="B79" s="1132" t="s">
        <v>889</v>
      </c>
      <c r="C79" s="1133">
        <v>0.18905</v>
      </c>
      <c r="D79" s="1134">
        <v>0</v>
      </c>
      <c r="E79" s="1134">
        <v>0</v>
      </c>
      <c r="F79" s="1133">
        <v>0.18548137000000001</v>
      </c>
      <c r="G79" s="1133">
        <v>0.18007899999999999</v>
      </c>
      <c r="H79" s="1135">
        <f t="shared" si="9"/>
        <v>3.5686299999999893E-3</v>
      </c>
      <c r="J79" s="1136">
        <v>1.4838509600000001E-2</v>
      </c>
      <c r="K79" s="1135">
        <f t="shared" si="10"/>
        <v>-1.1269879600000011E-2</v>
      </c>
      <c r="M79" s="106">
        <f t="shared" si="12"/>
        <v>-5.6259416801286911E-2</v>
      </c>
      <c r="N79" s="1133">
        <v>0.54361934209762808</v>
      </c>
      <c r="O79" s="109">
        <f t="shared" si="13"/>
        <v>1.016015467414313E-4</v>
      </c>
      <c r="P79" s="1137">
        <f t="shared" si="11"/>
        <v>3.215812886735056E-5</v>
      </c>
      <c r="Q79" s="1131"/>
    </row>
    <row r="80" spans="2:17">
      <c r="B80" s="1132" t="s">
        <v>890</v>
      </c>
      <c r="C80" s="1133">
        <v>0.16915000000000002</v>
      </c>
      <c r="D80" s="1134">
        <v>0</v>
      </c>
      <c r="E80" s="1134">
        <v>0</v>
      </c>
      <c r="F80" s="1133">
        <v>9.8791420000000005E-2</v>
      </c>
      <c r="G80" s="1133">
        <v>9.5913999999999999E-2</v>
      </c>
      <c r="H80" s="1135">
        <f t="shared" si="9"/>
        <v>7.0358580000000018E-2</v>
      </c>
      <c r="J80" s="1136">
        <v>7.9033135999999997E-3</v>
      </c>
      <c r="K80" s="1135">
        <f t="shared" si="10"/>
        <v>6.2455266400000015E-2</v>
      </c>
      <c r="M80" s="106">
        <f t="shared" si="12"/>
        <v>0.58536409710853821</v>
      </c>
      <c r="N80" s="1133">
        <v>0.24693819788094867</v>
      </c>
      <c r="O80" s="109">
        <f t="shared" si="13"/>
        <v>0</v>
      </c>
      <c r="P80" s="1137">
        <f t="shared" si="11"/>
        <v>0</v>
      </c>
      <c r="Q80" s="1131"/>
    </row>
    <row r="81" spans="2:17">
      <c r="B81" s="1132" t="s">
        <v>891</v>
      </c>
      <c r="C81" s="1133">
        <v>0.24875</v>
      </c>
      <c r="D81" s="1134">
        <v>0</v>
      </c>
      <c r="E81" s="1134">
        <v>0</v>
      </c>
      <c r="F81" s="1133">
        <v>0.23310444999999999</v>
      </c>
      <c r="G81" s="1133">
        <v>0.22631499999999999</v>
      </c>
      <c r="H81" s="1135">
        <f t="shared" si="9"/>
        <v>1.5645550000000008E-2</v>
      </c>
      <c r="J81" s="1136">
        <v>3.5019193540761086E-2</v>
      </c>
      <c r="K81" s="1135">
        <f t="shared" si="10"/>
        <v>-1.9373643540761078E-2</v>
      </c>
      <c r="M81" s="106">
        <f t="shared" si="12"/>
        <v>-7.2256378754661482E-2</v>
      </c>
      <c r="N81" s="1133">
        <v>0.54217270492913383</v>
      </c>
      <c r="O81" s="109">
        <f t="shared" si="13"/>
        <v>1.0133117267172746E-4</v>
      </c>
      <c r="P81" s="1137">
        <f t="shared" si="11"/>
        <v>5.2904845865443369E-5</v>
      </c>
      <c r="Q81" s="1131"/>
    </row>
    <row r="82" spans="2:17">
      <c r="B82" s="1132" t="s">
        <v>892</v>
      </c>
      <c r="C82" s="1133">
        <v>0.54613680000000009</v>
      </c>
      <c r="D82" s="1134">
        <v>0</v>
      </c>
      <c r="E82" s="1134">
        <v>0</v>
      </c>
      <c r="F82" s="1133">
        <v>0.47732363000000005</v>
      </c>
      <c r="G82" s="1133">
        <v>0.46342100000000003</v>
      </c>
      <c r="H82" s="1135">
        <f t="shared" si="9"/>
        <v>6.8813170000000035E-2</v>
      </c>
      <c r="J82" s="1136">
        <v>3.8185890400000005E-2</v>
      </c>
      <c r="K82" s="1135">
        <f t="shared" si="10"/>
        <v>3.0627279600000029E-2</v>
      </c>
      <c r="M82" s="106">
        <f t="shared" si="12"/>
        <v>5.9411666299073115E-2</v>
      </c>
      <c r="N82" s="1133">
        <v>0.92202104100872206</v>
      </c>
      <c r="O82" s="109">
        <f t="shared" si="13"/>
        <v>0</v>
      </c>
      <c r="P82" s="1137">
        <f t="shared" si="11"/>
        <v>0</v>
      </c>
      <c r="Q82" s="1131"/>
    </row>
    <row r="83" spans="2:17">
      <c r="B83" s="1132" t="s">
        <v>893</v>
      </c>
      <c r="C83" s="1133">
        <v>0.19900000000000001</v>
      </c>
      <c r="D83" s="1134">
        <v>0</v>
      </c>
      <c r="E83" s="1134">
        <v>0</v>
      </c>
      <c r="F83" s="1133">
        <v>0.15299002</v>
      </c>
      <c r="G83" s="1133">
        <v>0.148534</v>
      </c>
      <c r="H83" s="1135">
        <f t="shared" si="9"/>
        <v>4.6009980000000006E-2</v>
      </c>
      <c r="J83" s="1136">
        <v>1.904543705794769E-2</v>
      </c>
      <c r="K83" s="1135">
        <f t="shared" si="10"/>
        <v>2.6964542942052316E-2</v>
      </c>
      <c r="M83" s="106">
        <f t="shared" si="12"/>
        <v>0.15673828757852917</v>
      </c>
      <c r="N83" s="1133">
        <v>0.26292700206029063</v>
      </c>
      <c r="O83" s="109">
        <f t="shared" si="13"/>
        <v>0</v>
      </c>
      <c r="P83" s="1137">
        <f t="shared" si="11"/>
        <v>0</v>
      </c>
      <c r="Q83" s="1131"/>
    </row>
    <row r="84" spans="2:17">
      <c r="B84" s="1132" t="s">
        <v>894</v>
      </c>
      <c r="C84" s="1133">
        <v>0.99958980000000008</v>
      </c>
      <c r="D84" s="1134">
        <v>0</v>
      </c>
      <c r="E84" s="1134">
        <v>0</v>
      </c>
      <c r="F84" s="1133">
        <v>0.82533591000000006</v>
      </c>
      <c r="G84" s="1133">
        <v>0.80129700000000004</v>
      </c>
      <c r="H84" s="1135">
        <f t="shared" si="9"/>
        <v>0.17425389000000002</v>
      </c>
      <c r="J84" s="1136">
        <v>6.6026872800000011E-2</v>
      </c>
      <c r="K84" s="1135">
        <f t="shared" si="10"/>
        <v>0.10822701720000001</v>
      </c>
      <c r="M84" s="106">
        <f t="shared" si="12"/>
        <v>0.12141747365761793</v>
      </c>
      <c r="N84" s="1133">
        <v>1.602419722651564</v>
      </c>
      <c r="O84" s="109">
        <f t="shared" si="13"/>
        <v>0</v>
      </c>
      <c r="P84" s="1137">
        <f t="shared" si="11"/>
        <v>0</v>
      </c>
      <c r="Q84" s="1131"/>
    </row>
    <row r="85" spans="2:17">
      <c r="B85" s="1132" t="s">
        <v>895</v>
      </c>
      <c r="C85" s="1133">
        <v>0.15920000000000001</v>
      </c>
      <c r="D85" s="1134">
        <v>0</v>
      </c>
      <c r="E85" s="1134">
        <v>0</v>
      </c>
      <c r="F85" s="1133">
        <v>8.7159630000000002E-2</v>
      </c>
      <c r="G85" s="1133">
        <v>8.4621000000000002E-2</v>
      </c>
      <c r="H85" s="1135">
        <f t="shared" si="9"/>
        <v>7.2040370000000006E-2</v>
      </c>
      <c r="J85" s="1136">
        <v>6.9727704000000007E-3</v>
      </c>
      <c r="K85" s="1135">
        <f t="shared" si="10"/>
        <v>6.5067599600000012E-2</v>
      </c>
      <c r="M85" s="106">
        <f t="shared" si="12"/>
        <v>0.69123489174297115</v>
      </c>
      <c r="N85" s="1133">
        <v>0.17232377837735269</v>
      </c>
      <c r="O85" s="109">
        <f t="shared" si="13"/>
        <v>0</v>
      </c>
      <c r="P85" s="1137">
        <f t="shared" si="11"/>
        <v>0</v>
      </c>
      <c r="Q85" s="1131"/>
    </row>
    <row r="86" spans="2:17">
      <c r="B86" s="1132" t="s">
        <v>896</v>
      </c>
      <c r="C86" s="1133">
        <v>2.4563985895698921E-2</v>
      </c>
      <c r="D86" s="1134">
        <v>0</v>
      </c>
      <c r="E86" s="1134">
        <v>0</v>
      </c>
      <c r="F86" s="1133">
        <v>3.8775379999999998E-2</v>
      </c>
      <c r="G86" s="1133">
        <v>3.7645999999999999E-2</v>
      </c>
      <c r="H86" s="1135">
        <f t="shared" si="9"/>
        <v>-1.4211394104301077E-2</v>
      </c>
      <c r="J86" s="1136">
        <v>4.0559047479999995E-3</v>
      </c>
      <c r="K86" s="1135">
        <f t="shared" si="10"/>
        <v>-1.8267298852301078E-2</v>
      </c>
      <c r="M86" s="106">
        <f t="shared" si="12"/>
        <v>-0.42649430106469238</v>
      </c>
      <c r="N86" s="1133">
        <v>7.106135190818666E-2</v>
      </c>
      <c r="O86" s="109">
        <f t="shared" si="13"/>
        <v>1.3281247940056375E-5</v>
      </c>
      <c r="P86" s="1137">
        <f t="shared" si="11"/>
        <v>2.4158243208416554E-4</v>
      </c>
      <c r="Q86" s="1131"/>
    </row>
    <row r="87" spans="2:17">
      <c r="B87" s="1132" t="s">
        <v>897</v>
      </c>
      <c r="C87" s="1133">
        <v>1.6810100000000001</v>
      </c>
      <c r="D87" s="1134">
        <v>0</v>
      </c>
      <c r="E87" s="1134">
        <v>0</v>
      </c>
      <c r="F87" s="1133">
        <v>1.61445393</v>
      </c>
      <c r="G87" s="1133">
        <v>1.567431</v>
      </c>
      <c r="H87" s="1135">
        <f t="shared" si="9"/>
        <v>6.6556070000000078E-2</v>
      </c>
      <c r="J87" s="1136">
        <v>0.21212026494216762</v>
      </c>
      <c r="K87" s="1135">
        <f t="shared" si="10"/>
        <v>-0.14556419494216755</v>
      </c>
      <c r="M87" s="106">
        <f t="shared" si="12"/>
        <v>-7.9692462176044448E-2</v>
      </c>
      <c r="N87" s="1133">
        <v>2.9639181678298052</v>
      </c>
      <c r="O87" s="109">
        <f t="shared" si="13"/>
        <v>5.539513533579461E-4</v>
      </c>
      <c r="P87" s="1137">
        <f t="shared" si="11"/>
        <v>3.5180832949339422E-4</v>
      </c>
      <c r="Q87" s="1131"/>
    </row>
    <row r="88" spans="2:17">
      <c r="B88" s="1132" t="s">
        <v>898</v>
      </c>
      <c r="C88" s="1133">
        <v>0.51739999999999997</v>
      </c>
      <c r="D88" s="1134">
        <v>0</v>
      </c>
      <c r="E88" s="1134">
        <v>0</v>
      </c>
      <c r="F88" s="1133">
        <v>0.50563420999999997</v>
      </c>
      <c r="G88" s="1133">
        <v>0.49090699999999998</v>
      </c>
      <c r="H88" s="1135">
        <f>+C88+D88-E88-F88</f>
        <v>1.1765789999999998E-2</v>
      </c>
      <c r="J88" s="1136">
        <v>4.0450736799999998E-2</v>
      </c>
      <c r="K88" s="1135">
        <f>+H88-J88</f>
        <v>-2.86849468E-2</v>
      </c>
      <c r="M88" s="106">
        <f>+IF(ISERROR(K88/(F88+J88)),0,K88/(F88+J88))</f>
        <v>-5.2528360226903804E-2</v>
      </c>
      <c r="N88" s="1133">
        <v>0.92557410860413136</v>
      </c>
      <c r="O88" s="109">
        <f t="shared" si="13"/>
        <v>1.7298825441923433E-4</v>
      </c>
      <c r="P88" s="1137">
        <f>(M88^2*O88)*100</f>
        <v>4.7731414392333234E-5</v>
      </c>
      <c r="Q88" s="1131"/>
    </row>
    <row r="89" spans="2:17">
      <c r="B89" s="1132" t="s">
        <v>899</v>
      </c>
      <c r="C89" s="1133">
        <v>1.2610000000000001</v>
      </c>
      <c r="D89" s="1134">
        <v>0</v>
      </c>
      <c r="E89" s="1134">
        <v>0</v>
      </c>
      <c r="F89" s="1133">
        <v>0.81499367999999994</v>
      </c>
      <c r="G89" s="1133">
        <v>0.79125599999999996</v>
      </c>
      <c r="H89" s="1135">
        <f t="shared" ref="H89:H112" si="14">+C89+D89-E89-F89</f>
        <v>0.44600632000000018</v>
      </c>
      <c r="J89" s="1136">
        <v>6.5199494400000002E-2</v>
      </c>
      <c r="K89" s="1135">
        <f t="shared" ref="K89:K112" si="15">+H89-J89</f>
        <v>0.38080682560000018</v>
      </c>
      <c r="M89" s="106">
        <f>+IF(ISERROR(K89/(F89+J89)),0,K89/(F89+J89))</f>
        <v>0.43264005751871937</v>
      </c>
      <c r="N89" s="1133">
        <v>1.4478750451293032</v>
      </c>
      <c r="O89" s="109">
        <f t="shared" si="13"/>
        <v>0</v>
      </c>
      <c r="P89" s="1137">
        <f t="shared" ref="P89:P112" si="16">(M89^2*O89)*100</f>
        <v>0</v>
      </c>
      <c r="Q89" s="1131"/>
    </row>
    <row r="90" spans="2:17">
      <c r="B90" s="1132" t="s">
        <v>900</v>
      </c>
      <c r="C90" s="1133">
        <v>0.4285795843591837</v>
      </c>
      <c r="D90" s="1134">
        <v>0</v>
      </c>
      <c r="E90" s="1134">
        <v>0</v>
      </c>
      <c r="F90" s="1133">
        <v>0.12215697</v>
      </c>
      <c r="G90" s="1133">
        <v>0.118599</v>
      </c>
      <c r="H90" s="1135">
        <f t="shared" si="14"/>
        <v>0.30642261435918372</v>
      </c>
      <c r="J90" s="1136">
        <v>9.7725576000000005E-3</v>
      </c>
      <c r="K90" s="1135">
        <f t="shared" si="15"/>
        <v>0.29665005675918371</v>
      </c>
      <c r="M90" s="106">
        <f t="shared" ref="M90:M112" si="17">+IF(ISERROR(K90/(F90+J90)),0,K90/(F90+J90))</f>
        <v>2.2485493744706146</v>
      </c>
      <c r="N90" s="1133">
        <v>0.19056969511377361</v>
      </c>
      <c r="O90" s="109">
        <f t="shared" si="13"/>
        <v>0</v>
      </c>
      <c r="P90" s="1137">
        <f t="shared" si="16"/>
        <v>0</v>
      </c>
      <c r="Q90" s="1131"/>
    </row>
    <row r="91" spans="2:17">
      <c r="B91" s="1132" t="s">
        <v>901</v>
      </c>
      <c r="C91" s="1133">
        <v>5.6715000000000002E-2</v>
      </c>
      <c r="D91" s="1134">
        <v>0</v>
      </c>
      <c r="E91" s="1134">
        <v>0</v>
      </c>
      <c r="F91" s="1133">
        <v>3.2812710000000002E-2</v>
      </c>
      <c r="G91" s="1133">
        <v>3.1857000000000003E-2</v>
      </c>
      <c r="H91" s="1135">
        <f t="shared" si="14"/>
        <v>2.390229E-2</v>
      </c>
      <c r="J91" s="1136">
        <v>2.6250168000000003E-3</v>
      </c>
      <c r="K91" s="1135">
        <f t="shared" si="15"/>
        <v>2.1277273199999999E-2</v>
      </c>
      <c r="M91" s="106">
        <f t="shared" si="17"/>
        <v>0.60041303777983857</v>
      </c>
      <c r="N91" s="1133">
        <v>8.2858849129567078E-2</v>
      </c>
      <c r="O91" s="109">
        <f t="shared" si="13"/>
        <v>0</v>
      </c>
      <c r="P91" s="1137">
        <f t="shared" si="16"/>
        <v>0</v>
      </c>
      <c r="Q91" s="1131"/>
    </row>
    <row r="92" spans="2:17">
      <c r="B92" s="1132" t="s">
        <v>902</v>
      </c>
      <c r="C92" s="1133">
        <v>0.35322499999999996</v>
      </c>
      <c r="D92" s="1134">
        <v>0</v>
      </c>
      <c r="E92" s="1134">
        <v>0</v>
      </c>
      <c r="F92" s="1133">
        <v>0.31597515999999998</v>
      </c>
      <c r="G92" s="1133">
        <v>0.30677199999999999</v>
      </c>
      <c r="H92" s="1135">
        <f t="shared" si="14"/>
        <v>3.7249839999999979E-2</v>
      </c>
      <c r="J92" s="1136">
        <v>2.5278012799999999E-2</v>
      </c>
      <c r="K92" s="1135">
        <f t="shared" si="15"/>
        <v>1.1971827199999979E-2</v>
      </c>
      <c r="M92" s="106">
        <f t="shared" si="17"/>
        <v>3.5081951331823569E-2</v>
      </c>
      <c r="N92" s="1133">
        <v>0.51827397788886076</v>
      </c>
      <c r="O92" s="109">
        <f t="shared" si="13"/>
        <v>0</v>
      </c>
      <c r="P92" s="1137">
        <f t="shared" si="16"/>
        <v>0</v>
      </c>
      <c r="Q92" s="1131"/>
    </row>
    <row r="93" spans="2:17">
      <c r="B93" s="1132" t="s">
        <v>903</v>
      </c>
      <c r="C93" s="1133">
        <v>4.9029286573469395E-2</v>
      </c>
      <c r="D93" s="1134">
        <v>0</v>
      </c>
      <c r="E93" s="1134">
        <v>0</v>
      </c>
      <c r="F93" s="1133">
        <v>2.9832920000000002E-2</v>
      </c>
      <c r="G93" s="1133">
        <v>2.8964E-2</v>
      </c>
      <c r="H93" s="1135">
        <f t="shared" si="14"/>
        <v>1.9196366573469393E-2</v>
      </c>
      <c r="J93" s="1136">
        <v>2.3866336000000002E-3</v>
      </c>
      <c r="K93" s="1135">
        <f t="shared" si="15"/>
        <v>1.6809732973469393E-2</v>
      </c>
      <c r="M93" s="106">
        <f t="shared" si="17"/>
        <v>0.52172457701181152</v>
      </c>
      <c r="N93" s="1133">
        <v>9.0982265710897195E-2</v>
      </c>
      <c r="O93" s="109">
        <f t="shared" si="13"/>
        <v>0</v>
      </c>
      <c r="P93" s="1137">
        <f t="shared" si="16"/>
        <v>0</v>
      </c>
      <c r="Q93" s="1131"/>
    </row>
    <row r="94" spans="2:17">
      <c r="B94" s="1132" t="s">
        <v>904</v>
      </c>
      <c r="C94" s="1133">
        <v>3.9800000000000002E-2</v>
      </c>
      <c r="D94" s="1134">
        <v>0</v>
      </c>
      <c r="E94" s="1134">
        <v>0</v>
      </c>
      <c r="F94" s="1133">
        <v>7.8990699999999994E-3</v>
      </c>
      <c r="G94" s="1133">
        <v>7.6689999999999996E-3</v>
      </c>
      <c r="H94" s="1135">
        <f t="shared" si="14"/>
        <v>3.1900930000000001E-2</v>
      </c>
      <c r="J94" s="1136">
        <v>6.3192559999999997E-4</v>
      </c>
      <c r="K94" s="1135">
        <f t="shared" si="15"/>
        <v>3.1269004400000001E-2</v>
      </c>
      <c r="M94" s="106">
        <f t="shared" si="17"/>
        <v>3.6653405846323501</v>
      </c>
      <c r="N94" s="1133">
        <v>5.3614549436778701E-2</v>
      </c>
      <c r="O94" s="109">
        <f t="shared" si="13"/>
        <v>0</v>
      </c>
      <c r="P94" s="1137">
        <f t="shared" si="16"/>
        <v>0</v>
      </c>
      <c r="Q94" s="1131"/>
    </row>
    <row r="95" spans="2:17">
      <c r="B95" s="1132" t="s">
        <v>905</v>
      </c>
      <c r="C95" s="1133">
        <v>0.61610998463235289</v>
      </c>
      <c r="D95" s="1134">
        <v>0</v>
      </c>
      <c r="E95" s="1134">
        <v>0</v>
      </c>
      <c r="F95" s="1133">
        <v>0.4017</v>
      </c>
      <c r="G95" s="1133">
        <v>0.39</v>
      </c>
      <c r="H95" s="1135">
        <f t="shared" si="14"/>
        <v>0.21440998463235289</v>
      </c>
      <c r="J95" s="1136">
        <v>5.0853152465477454E-2</v>
      </c>
      <c r="K95" s="1135">
        <f t="shared" si="15"/>
        <v>0.16355683216687544</v>
      </c>
      <c r="M95" s="106">
        <f t="shared" si="17"/>
        <v>0.36140911023562522</v>
      </c>
      <c r="N95" s="1133">
        <v>0.49601015857178549</v>
      </c>
      <c r="O95" s="109">
        <f t="shared" si="13"/>
        <v>0</v>
      </c>
      <c r="P95" s="1137">
        <f t="shared" si="16"/>
        <v>0</v>
      </c>
      <c r="Q95" s="1131"/>
    </row>
    <row r="96" spans="2:17">
      <c r="B96" s="1132" t="s">
        <v>906</v>
      </c>
      <c r="C96" s="1133">
        <v>0.35098021380204081</v>
      </c>
      <c r="D96" s="1134">
        <v>0</v>
      </c>
      <c r="E96" s="1134">
        <v>0</v>
      </c>
      <c r="F96" s="1133">
        <v>0.11530026</v>
      </c>
      <c r="G96" s="1133">
        <v>0.111942</v>
      </c>
      <c r="H96" s="1135">
        <f t="shared" si="14"/>
        <v>0.23567995380204082</v>
      </c>
      <c r="J96" s="1136">
        <v>9.2240207999999997E-3</v>
      </c>
      <c r="K96" s="1135">
        <f t="shared" si="15"/>
        <v>0.22645593300204081</v>
      </c>
      <c r="M96" s="106">
        <f t="shared" si="17"/>
        <v>1.8185684875847989</v>
      </c>
      <c r="N96" s="1133">
        <v>0.32006261330440616</v>
      </c>
      <c r="O96" s="109">
        <f t="shared" si="13"/>
        <v>0</v>
      </c>
      <c r="P96" s="1137">
        <f t="shared" si="16"/>
        <v>0</v>
      </c>
      <c r="Q96" s="1131"/>
    </row>
    <row r="97" spans="2:17">
      <c r="B97" s="1132" t="s">
        <v>907</v>
      </c>
      <c r="C97" s="1133">
        <v>0.60478661562608693</v>
      </c>
      <c r="D97" s="1134">
        <v>0</v>
      </c>
      <c r="E97" s="1134">
        <v>0</v>
      </c>
      <c r="F97" s="1133">
        <v>0.48461294000000005</v>
      </c>
      <c r="G97" s="1133">
        <v>0.47049800000000003</v>
      </c>
      <c r="H97" s="1135">
        <f t="shared" si="14"/>
        <v>0.12017367562608688</v>
      </c>
      <c r="J97" s="1136">
        <v>3.8769035200000003E-2</v>
      </c>
      <c r="K97" s="1135">
        <f t="shared" si="15"/>
        <v>8.1404640426086888E-2</v>
      </c>
      <c r="M97" s="106">
        <f t="shared" si="17"/>
        <v>0.15553581186088747</v>
      </c>
      <c r="N97" s="1133">
        <v>0.58813536048829962</v>
      </c>
      <c r="O97" s="109">
        <f t="shared" si="13"/>
        <v>0</v>
      </c>
      <c r="P97" s="1137">
        <f t="shared" si="16"/>
        <v>0</v>
      </c>
      <c r="Q97" s="1131"/>
    </row>
    <row r="98" spans="2:17">
      <c r="B98" s="1132" t="s">
        <v>908</v>
      </c>
      <c r="C98" s="1133">
        <v>4.2627409999999992</v>
      </c>
      <c r="D98" s="1134">
        <v>0</v>
      </c>
      <c r="E98" s="1134">
        <v>0</v>
      </c>
      <c r="F98" s="1133">
        <v>3.9359606300000003</v>
      </c>
      <c r="G98" s="1133">
        <v>3.8213210000000002</v>
      </c>
      <c r="H98" s="1135">
        <f t="shared" si="14"/>
        <v>0.32678036999999893</v>
      </c>
      <c r="J98" s="1136">
        <v>0.31487685040000002</v>
      </c>
      <c r="K98" s="1135">
        <f t="shared" si="15"/>
        <v>1.1903519599998913E-2</v>
      </c>
      <c r="M98" s="106">
        <f t="shared" si="17"/>
        <v>2.8002763349303113E-3</v>
      </c>
      <c r="N98" s="1133">
        <v>5.4325933140372511</v>
      </c>
      <c r="O98" s="109">
        <f t="shared" si="13"/>
        <v>0</v>
      </c>
      <c r="P98" s="1137">
        <f t="shared" si="16"/>
        <v>0</v>
      </c>
      <c r="Q98" s="1131"/>
    </row>
    <row r="99" spans="2:17">
      <c r="B99" s="1132" t="s">
        <v>909</v>
      </c>
      <c r="C99" s="1133">
        <v>6.9307668805494513</v>
      </c>
      <c r="D99" s="1134">
        <v>0</v>
      </c>
      <c r="E99" s="1134">
        <v>0</v>
      </c>
      <c r="F99" s="1133">
        <v>6.6184514300000004</v>
      </c>
      <c r="G99" s="1133">
        <v>6.425681</v>
      </c>
      <c r="H99" s="1135">
        <f t="shared" si="14"/>
        <v>0.31231545054945098</v>
      </c>
      <c r="J99" s="1136">
        <v>0.52947611440000009</v>
      </c>
      <c r="K99" s="1135">
        <f t="shared" si="15"/>
        <v>-0.21716066385054911</v>
      </c>
      <c r="M99" s="106">
        <f t="shared" si="17"/>
        <v>-3.0380926849305052E-2</v>
      </c>
      <c r="N99" s="1133">
        <v>14.301705631692171</v>
      </c>
      <c r="O99" s="109">
        <f t="shared" si="13"/>
        <v>2.6729648868152431E-3</v>
      </c>
      <c r="P99" s="1137">
        <f t="shared" si="16"/>
        <v>2.4671485049689311E-4</v>
      </c>
      <c r="Q99" s="1131"/>
    </row>
    <row r="100" spans="2:17">
      <c r="B100" s="1132" t="s">
        <v>910</v>
      </c>
      <c r="C100" s="1133">
        <v>0.59699999999999998</v>
      </c>
      <c r="D100" s="1134">
        <v>0</v>
      </c>
      <c r="E100" s="1134">
        <v>0</v>
      </c>
      <c r="F100" s="1133">
        <v>0.65315287000000011</v>
      </c>
      <c r="G100" s="1133">
        <v>0.63412900000000005</v>
      </c>
      <c r="H100" s="1135">
        <f t="shared" si="14"/>
        <v>-5.6152870000000132E-2</v>
      </c>
      <c r="J100" s="1136">
        <v>5.2252229600000012E-2</v>
      </c>
      <c r="K100" s="1135">
        <f t="shared" si="15"/>
        <v>-0.10840509960000014</v>
      </c>
      <c r="M100" s="106">
        <f t="shared" si="17"/>
        <v>-0.15367779402427234</v>
      </c>
      <c r="N100" s="1133">
        <v>0.99158760171320171</v>
      </c>
      <c r="O100" s="109">
        <f t="shared" si="13"/>
        <v>1.8532606598386007E-4</v>
      </c>
      <c r="P100" s="1137">
        <f t="shared" si="16"/>
        <v>4.3768205657093392E-4</v>
      </c>
      <c r="Q100" s="1131"/>
    </row>
    <row r="101" spans="2:17">
      <c r="B101" s="1132" t="s">
        <v>911</v>
      </c>
      <c r="C101" s="1133">
        <v>0.58704000000000001</v>
      </c>
      <c r="D101" s="1134">
        <v>0</v>
      </c>
      <c r="E101" s="1134">
        <v>0</v>
      </c>
      <c r="F101" s="1133">
        <v>0.38389439000000003</v>
      </c>
      <c r="G101" s="1133">
        <v>0.37271300000000002</v>
      </c>
      <c r="H101" s="1135">
        <f t="shared" si="14"/>
        <v>0.20314560999999998</v>
      </c>
      <c r="J101" s="1136">
        <v>3.0711551200000003E-2</v>
      </c>
      <c r="K101" s="1135">
        <f t="shared" si="15"/>
        <v>0.17243405879999998</v>
      </c>
      <c r="M101" s="106">
        <f t="shared" si="17"/>
        <v>0.41589866826539329</v>
      </c>
      <c r="N101" s="1133">
        <v>0.75329910827824631</v>
      </c>
      <c r="O101" s="109">
        <f t="shared" si="13"/>
        <v>0</v>
      </c>
      <c r="P101" s="1137">
        <f t="shared" si="16"/>
        <v>0</v>
      </c>
      <c r="Q101" s="1131"/>
    </row>
    <row r="102" spans="2:17">
      <c r="B102" s="1132" t="s">
        <v>912</v>
      </c>
      <c r="C102" s="1133">
        <v>0.39800000000000002</v>
      </c>
      <c r="D102" s="1134">
        <v>0</v>
      </c>
      <c r="E102" s="1134">
        <v>0</v>
      </c>
      <c r="F102" s="1133">
        <v>0.33031894000000001</v>
      </c>
      <c r="G102" s="1133">
        <v>0.32069799999999998</v>
      </c>
      <c r="H102" s="1135">
        <f t="shared" si="14"/>
        <v>6.7681060000000015E-2</v>
      </c>
      <c r="J102" s="1136">
        <v>2.6425515199999999E-2</v>
      </c>
      <c r="K102" s="1135">
        <f t="shared" si="15"/>
        <v>4.1255544800000016E-2</v>
      </c>
      <c r="M102" s="106">
        <f t="shared" si="17"/>
        <v>0.11564452985505019</v>
      </c>
      <c r="N102" s="1133">
        <v>0.86475662940104803</v>
      </c>
      <c r="O102" s="109">
        <f t="shared" si="13"/>
        <v>0</v>
      </c>
      <c r="P102" s="1137">
        <f t="shared" si="16"/>
        <v>0</v>
      </c>
      <c r="Q102" s="1131"/>
    </row>
    <row r="103" spans="2:17">
      <c r="B103" s="1132" t="s">
        <v>913</v>
      </c>
      <c r="C103" s="1133">
        <v>5.7371999999999999E-2</v>
      </c>
      <c r="D103" s="1134">
        <v>0</v>
      </c>
      <c r="E103" s="1134">
        <v>0</v>
      </c>
      <c r="F103" s="1133">
        <v>1.9780119999999998E-2</v>
      </c>
      <c r="G103" s="1133">
        <v>1.9203999999999999E-2</v>
      </c>
      <c r="H103" s="1135">
        <f t="shared" si="14"/>
        <v>3.7591880000000001E-2</v>
      </c>
      <c r="J103" s="1136">
        <v>1.5824095999999999E-3</v>
      </c>
      <c r="K103" s="1135">
        <f t="shared" si="15"/>
        <v>3.60094704E-2</v>
      </c>
      <c r="M103" s="106">
        <f t="shared" si="17"/>
        <v>1.6856370043367899</v>
      </c>
      <c r="N103" s="1133">
        <v>0.11530088392013974</v>
      </c>
      <c r="O103" s="109">
        <f t="shared" si="13"/>
        <v>0</v>
      </c>
      <c r="P103" s="1137">
        <f t="shared" si="16"/>
        <v>0</v>
      </c>
      <c r="Q103" s="1131"/>
    </row>
    <row r="104" spans="2:17">
      <c r="B104" s="1132" t="s">
        <v>914</v>
      </c>
      <c r="C104" s="1133">
        <v>1.8794733177499998E-2</v>
      </c>
      <c r="D104" s="1134">
        <v>0</v>
      </c>
      <c r="E104" s="1134">
        <v>0</v>
      </c>
      <c r="F104" s="1133">
        <v>1.2833800000000001E-2</v>
      </c>
      <c r="G104" s="1133">
        <v>1.2460000000000001E-2</v>
      </c>
      <c r="H104" s="1135">
        <f t="shared" si="14"/>
        <v>5.9609331774999972E-3</v>
      </c>
      <c r="J104" s="1136">
        <v>1.026704E-3</v>
      </c>
      <c r="K104" s="1135">
        <f t="shared" si="15"/>
        <v>4.9342291774999974E-3</v>
      </c>
      <c r="M104" s="106">
        <f t="shared" si="17"/>
        <v>0.35599204599630702</v>
      </c>
      <c r="N104" s="1133">
        <v>6.9180530352083852E-2</v>
      </c>
      <c r="O104" s="109">
        <f t="shared" si="13"/>
        <v>0</v>
      </c>
      <c r="P104" s="1137">
        <f t="shared" si="16"/>
        <v>0</v>
      </c>
      <c r="Q104" s="1131"/>
    </row>
    <row r="105" spans="2:17">
      <c r="B105" s="1132" t="s">
        <v>915</v>
      </c>
      <c r="C105" s="1133">
        <v>2.9543999999999997E-2</v>
      </c>
      <c r="D105" s="1134">
        <v>0</v>
      </c>
      <c r="E105" s="1134">
        <v>0</v>
      </c>
      <c r="F105" s="1133">
        <v>7.5272400000000001E-3</v>
      </c>
      <c r="G105" s="1133">
        <v>7.3080000000000003E-3</v>
      </c>
      <c r="H105" s="1135">
        <f t="shared" si="14"/>
        <v>2.2016759999999996E-2</v>
      </c>
      <c r="J105" s="1136">
        <v>6.0217920000000006E-4</v>
      </c>
      <c r="K105" s="1135">
        <f t="shared" si="15"/>
        <v>2.1414580799999996E-2</v>
      </c>
      <c r="M105" s="106">
        <f t="shared" si="17"/>
        <v>2.6342079640818619</v>
      </c>
      <c r="N105" s="1133">
        <v>5.5728760561400865E-2</v>
      </c>
      <c r="O105" s="109">
        <f t="shared" si="13"/>
        <v>0</v>
      </c>
      <c r="P105" s="1137">
        <f t="shared" si="16"/>
        <v>0</v>
      </c>
      <c r="Q105" s="1131"/>
    </row>
    <row r="106" spans="2:17">
      <c r="B106" s="1132" t="s">
        <v>916</v>
      </c>
      <c r="C106" s="1133">
        <v>6.6059697501292466E-3</v>
      </c>
      <c r="D106" s="1134">
        <v>0</v>
      </c>
      <c r="E106" s="1134">
        <v>0</v>
      </c>
      <c r="F106" s="1133">
        <v>1.6087569999999999E-2</v>
      </c>
      <c r="G106" s="1133">
        <v>1.5618999999999999E-2</v>
      </c>
      <c r="H106" s="1135">
        <f t="shared" si="14"/>
        <v>-9.4816002498707523E-3</v>
      </c>
      <c r="J106" s="1136">
        <v>1.6290631678283843E-3</v>
      </c>
      <c r="K106" s="1135">
        <f t="shared" si="15"/>
        <v>-1.1110663417699137E-2</v>
      </c>
      <c r="M106" s="106">
        <f t="shared" si="17"/>
        <v>-0.62713176439612583</v>
      </c>
      <c r="N106" s="1133">
        <v>3.8433627973379916E-2</v>
      </c>
      <c r="O106" s="109">
        <f t="shared" si="13"/>
        <v>7.1831808520876007E-6</v>
      </c>
      <c r="P106" s="1137">
        <f t="shared" si="16"/>
        <v>2.8251037252226946E-4</v>
      </c>
      <c r="Q106" s="1131"/>
    </row>
    <row r="107" spans="2:17">
      <c r="B107" s="1132" t="s">
        <v>917</v>
      </c>
      <c r="C107" s="1133">
        <v>1.4999999999999999E-2</v>
      </c>
      <c r="D107" s="1134">
        <v>0</v>
      </c>
      <c r="E107" s="1134">
        <v>0</v>
      </c>
      <c r="F107" s="1133">
        <v>4.0324499999999999E-3</v>
      </c>
      <c r="G107" s="1133">
        <v>3.9150000000000001E-3</v>
      </c>
      <c r="H107" s="1135">
        <f t="shared" si="14"/>
        <v>1.096755E-2</v>
      </c>
      <c r="J107" s="1136">
        <v>3.2259600000000003E-4</v>
      </c>
      <c r="K107" s="1135">
        <f t="shared" si="15"/>
        <v>1.0644954E-2</v>
      </c>
      <c r="M107" s="106">
        <f t="shared" si="17"/>
        <v>2.444280496692802</v>
      </c>
      <c r="N107" s="1133">
        <v>1.9401563014936087E-2</v>
      </c>
      <c r="O107" s="109">
        <f t="shared" si="13"/>
        <v>0</v>
      </c>
      <c r="P107" s="1137">
        <f t="shared" si="16"/>
        <v>0</v>
      </c>
      <c r="Q107" s="1131"/>
    </row>
    <row r="108" spans="2:17">
      <c r="B108" s="1132" t="s">
        <v>918</v>
      </c>
      <c r="C108" s="1133">
        <v>1.5873199782874998</v>
      </c>
      <c r="D108" s="1134">
        <v>0</v>
      </c>
      <c r="E108" s="1134">
        <v>0</v>
      </c>
      <c r="F108" s="1133">
        <v>1.31327163</v>
      </c>
      <c r="G108" s="1133">
        <v>1.275021</v>
      </c>
      <c r="H108" s="1135">
        <f t="shared" si="14"/>
        <v>0.2740483482874998</v>
      </c>
      <c r="J108" s="1136">
        <v>0.1050617304</v>
      </c>
      <c r="K108" s="1135">
        <f t="shared" si="15"/>
        <v>0.1689866178874998</v>
      </c>
      <c r="M108" s="106">
        <f t="shared" si="17"/>
        <v>0.11914449917461011</v>
      </c>
      <c r="N108" s="1133">
        <v>2.8776142908488387</v>
      </c>
      <c r="O108" s="109">
        <f t="shared" si="13"/>
        <v>0</v>
      </c>
      <c r="P108" s="1137">
        <f t="shared" si="16"/>
        <v>0</v>
      </c>
      <c r="Q108" s="1131"/>
    </row>
    <row r="109" spans="2:17">
      <c r="B109" s="1132" t="s">
        <v>919</v>
      </c>
      <c r="C109" s="1133">
        <v>0.52182125472291663</v>
      </c>
      <c r="D109" s="1134">
        <v>0</v>
      </c>
      <c r="E109" s="1134">
        <v>0</v>
      </c>
      <c r="F109" s="1133">
        <v>0.42517267000000003</v>
      </c>
      <c r="G109" s="1133">
        <v>0.41278900000000002</v>
      </c>
      <c r="H109" s="1135">
        <f t="shared" si="14"/>
        <v>9.6648584722916597E-2</v>
      </c>
      <c r="J109" s="1136">
        <v>3.4013813600000005E-2</v>
      </c>
      <c r="K109" s="1135">
        <f t="shared" si="15"/>
        <v>6.2634771122916599E-2</v>
      </c>
      <c r="M109" s="106">
        <f t="shared" si="17"/>
        <v>0.13640377789838889</v>
      </c>
      <c r="N109" s="1133">
        <v>0.49876488552697923</v>
      </c>
      <c r="O109" s="109">
        <f t="shared" si="13"/>
        <v>0</v>
      </c>
      <c r="P109" s="1137">
        <f t="shared" si="16"/>
        <v>0</v>
      </c>
      <c r="Q109" s="1131"/>
    </row>
    <row r="110" spans="2:17">
      <c r="B110" s="1132" t="s">
        <v>920</v>
      </c>
      <c r="C110" s="1133">
        <v>0.86565000000000003</v>
      </c>
      <c r="D110" s="1134">
        <v>0</v>
      </c>
      <c r="E110" s="1134">
        <v>0</v>
      </c>
      <c r="F110" s="1133">
        <v>0.34344732</v>
      </c>
      <c r="G110" s="1133">
        <v>0.33344400000000002</v>
      </c>
      <c r="H110" s="1135">
        <f t="shared" si="14"/>
        <v>0.52220268000000003</v>
      </c>
      <c r="J110" s="1136">
        <v>2.74757856E-2</v>
      </c>
      <c r="K110" s="1135">
        <f t="shared" si="15"/>
        <v>0.49472689440000001</v>
      </c>
      <c r="M110" s="106">
        <f t="shared" si="17"/>
        <v>1.3337721132247524</v>
      </c>
      <c r="N110" s="1133">
        <v>1.1400340240616669</v>
      </c>
      <c r="O110" s="109">
        <f t="shared" si="13"/>
        <v>0</v>
      </c>
      <c r="P110" s="1137">
        <f t="shared" si="16"/>
        <v>0</v>
      </c>
      <c r="Q110" s="1131"/>
    </row>
    <row r="111" spans="2:17">
      <c r="B111" s="1132" t="s">
        <v>921</v>
      </c>
      <c r="C111" s="1133">
        <v>6.2284587018608697</v>
      </c>
      <c r="D111" s="1134">
        <v>0</v>
      </c>
      <c r="E111" s="1134">
        <v>0</v>
      </c>
      <c r="F111" s="1133">
        <v>3.6318788799999999</v>
      </c>
      <c r="G111" s="1133">
        <v>3.5260959999999999</v>
      </c>
      <c r="H111" s="1135">
        <f t="shared" si="14"/>
        <v>2.5965798218608698</v>
      </c>
      <c r="J111" s="1136">
        <v>0.29055031040000001</v>
      </c>
      <c r="K111" s="1135">
        <f t="shared" si="15"/>
        <v>2.3060295114608698</v>
      </c>
      <c r="M111" s="106">
        <f t="shared" si="17"/>
        <v>0.58790851269024602</v>
      </c>
      <c r="N111" s="1133">
        <v>9.2475122744943921</v>
      </c>
      <c r="O111" s="109">
        <f t="shared" si="13"/>
        <v>0</v>
      </c>
      <c r="P111" s="1137">
        <f t="shared" si="16"/>
        <v>0</v>
      </c>
      <c r="Q111" s="1131"/>
    </row>
    <row r="112" spans="2:17">
      <c r="B112" s="1132" t="s">
        <v>922</v>
      </c>
      <c r="C112" s="1133">
        <v>2.1679685714583332</v>
      </c>
      <c r="D112" s="1134">
        <v>0</v>
      </c>
      <c r="E112" s="1134">
        <v>0</v>
      </c>
      <c r="F112" s="1133">
        <v>1.8242845000000001</v>
      </c>
      <c r="G112" s="1133">
        <v>1.77115</v>
      </c>
      <c r="H112" s="1135">
        <f t="shared" si="14"/>
        <v>0.34368407145833313</v>
      </c>
      <c r="J112" s="1136">
        <v>0.14594276</v>
      </c>
      <c r="K112" s="1135">
        <f t="shared" si="15"/>
        <v>0.19774131145833312</v>
      </c>
      <c r="M112" s="106">
        <f t="shared" si="17"/>
        <v>0.10036472211755568</v>
      </c>
      <c r="N112" s="1133">
        <v>4.2743685604594965</v>
      </c>
      <c r="O112" s="109">
        <f t="shared" si="13"/>
        <v>0</v>
      </c>
      <c r="P112" s="1137">
        <f t="shared" si="16"/>
        <v>0</v>
      </c>
      <c r="Q112" s="1131"/>
    </row>
    <row r="113" spans="2:17">
      <c r="B113" s="1132" t="s">
        <v>923</v>
      </c>
      <c r="C113" s="1133">
        <v>2.9850000000000002E-3</v>
      </c>
      <c r="D113" s="1134">
        <v>0</v>
      </c>
      <c r="E113" s="1134">
        <v>0</v>
      </c>
      <c r="F113" s="1133">
        <v>1.5810499999999999E-3</v>
      </c>
      <c r="G113" s="1133">
        <v>1.5349999999999999E-3</v>
      </c>
      <c r="H113" s="1135">
        <f>+C113+D113-E113-F113</f>
        <v>1.4039500000000004E-3</v>
      </c>
      <c r="J113" s="1136">
        <v>1.26484E-4</v>
      </c>
      <c r="K113" s="1135">
        <f>+H113-J113</f>
        <v>1.2774660000000003E-3</v>
      </c>
      <c r="M113" s="106">
        <f>+IF(ISERROR(K113/(F113+J113)),0,K113/(F113+J113))</f>
        <v>0.7481350298149263</v>
      </c>
      <c r="N113" s="1133">
        <v>1.6193665114512312E-2</v>
      </c>
      <c r="O113" s="109">
        <f t="shared" si="13"/>
        <v>0</v>
      </c>
      <c r="P113" s="1137">
        <f>(M113^2*O113)*100</f>
        <v>0</v>
      </c>
      <c r="Q113" s="1131"/>
    </row>
    <row r="114" spans="2:17">
      <c r="B114" s="1132" t="s">
        <v>924</v>
      </c>
      <c r="C114" s="1133">
        <v>1.1940000000000001E-2</v>
      </c>
      <c r="D114" s="1134">
        <v>0</v>
      </c>
      <c r="E114" s="1134">
        <v>0</v>
      </c>
      <c r="F114" s="1133">
        <v>8.0875600000000006E-3</v>
      </c>
      <c r="G114" s="1133">
        <v>7.8519999999999996E-3</v>
      </c>
      <c r="H114" s="1135">
        <f t="shared" ref="H114:H137" si="18">+C114+D114-E114-F114</f>
        <v>3.8524400000000004E-3</v>
      </c>
      <c r="J114" s="1136">
        <v>6.4700480000000002E-4</v>
      </c>
      <c r="K114" s="1135">
        <f t="shared" ref="K114:K137" si="19">+H114-J114</f>
        <v>3.2054352000000005E-3</v>
      </c>
      <c r="M114" s="106">
        <f>+IF(ISERROR(K114/(F114+J114)),0,K114/(F114+J114))</f>
        <v>0.3669828175068322</v>
      </c>
      <c r="N114" s="1133">
        <v>2.7529230694670937E-2</v>
      </c>
      <c r="O114" s="109">
        <f t="shared" si="13"/>
        <v>0</v>
      </c>
      <c r="P114" s="1137">
        <f t="shared" ref="P114:P137" si="20">(M114^2*O114)*100</f>
        <v>0</v>
      </c>
      <c r="Q114" s="1131"/>
    </row>
    <row r="115" spans="2:17">
      <c r="B115" s="1132" t="s">
        <v>925</v>
      </c>
      <c r="C115" s="1133">
        <v>0.61292000000000002</v>
      </c>
      <c r="D115" s="1134">
        <v>0</v>
      </c>
      <c r="E115" s="1134">
        <v>0</v>
      </c>
      <c r="F115" s="1133">
        <v>0.50483595999999997</v>
      </c>
      <c r="G115" s="1133">
        <v>0.49013200000000001</v>
      </c>
      <c r="H115" s="1135">
        <f t="shared" si="18"/>
        <v>0.10808404000000005</v>
      </c>
      <c r="J115" s="1136">
        <v>4.3164788389231303E-2</v>
      </c>
      <c r="K115" s="1135">
        <f t="shared" si="19"/>
        <v>6.4919251610768752E-2</v>
      </c>
      <c r="M115" s="106">
        <f t="shared" ref="M115:M137" si="21">+IF(ISERROR(K115/(F115+J115)),0,K115/(F115+J115))</f>
        <v>0.11846562582549289</v>
      </c>
      <c r="N115" s="1133">
        <v>1.0234396352371784</v>
      </c>
      <c r="O115" s="109">
        <f t="shared" si="13"/>
        <v>0</v>
      </c>
      <c r="P115" s="1137">
        <f t="shared" si="20"/>
        <v>0</v>
      </c>
      <c r="Q115" s="1131"/>
    </row>
    <row r="116" spans="2:17">
      <c r="B116" s="1132" t="s">
        <v>926</v>
      </c>
      <c r="C116" s="1133">
        <v>2.9850000000000002E-3</v>
      </c>
      <c r="D116" s="1134">
        <v>0</v>
      </c>
      <c r="E116" s="1134">
        <v>0</v>
      </c>
      <c r="F116" s="1133">
        <v>1.43479E-3</v>
      </c>
      <c r="G116" s="1133">
        <v>1.3929999999999999E-3</v>
      </c>
      <c r="H116" s="1135">
        <f t="shared" si="18"/>
        <v>1.5502100000000002E-3</v>
      </c>
      <c r="J116" s="1136">
        <v>1.147832E-4</v>
      </c>
      <c r="K116" s="1135">
        <f t="shared" si="19"/>
        <v>1.4354268000000001E-3</v>
      </c>
      <c r="M116" s="106">
        <f t="shared" si="21"/>
        <v>0.92633687779318852</v>
      </c>
      <c r="N116" s="1133">
        <v>9.7161990687073888E-3</v>
      </c>
      <c r="O116" s="109">
        <f t="shared" si="13"/>
        <v>0</v>
      </c>
      <c r="P116" s="1137">
        <f t="shared" si="20"/>
        <v>0</v>
      </c>
      <c r="Q116" s="1131"/>
    </row>
    <row r="117" spans="2:17">
      <c r="B117" s="1132" t="s">
        <v>927</v>
      </c>
      <c r="C117" s="1133">
        <v>0.97</v>
      </c>
      <c r="D117" s="1134">
        <v>0</v>
      </c>
      <c r="E117" s="1134">
        <v>0</v>
      </c>
      <c r="F117" s="1133">
        <v>0.97615057000000005</v>
      </c>
      <c r="G117" s="1133">
        <v>0.94771899999999998</v>
      </c>
      <c r="H117" s="1135">
        <f t="shared" si="18"/>
        <v>-6.1505700000000774E-3</v>
      </c>
      <c r="J117" s="1136">
        <v>0.1198487107629182</v>
      </c>
      <c r="K117" s="1135">
        <f t="shared" si="19"/>
        <v>-0.12599928076291828</v>
      </c>
      <c r="M117" s="106">
        <f t="shared" si="21"/>
        <v>-0.11496292285448488</v>
      </c>
      <c r="N117" s="1133">
        <v>1.6889992714436344</v>
      </c>
      <c r="O117" s="109">
        <f t="shared" si="13"/>
        <v>3.1567114179871373E-4</v>
      </c>
      <c r="P117" s="1137">
        <f t="shared" si="20"/>
        <v>4.172059321728094E-4</v>
      </c>
      <c r="Q117" s="1131"/>
    </row>
    <row r="118" spans="2:17">
      <c r="B118" s="1132" t="s">
        <v>928</v>
      </c>
      <c r="C118" s="1133">
        <v>1.2513000000000001</v>
      </c>
      <c r="D118" s="1134">
        <v>0</v>
      </c>
      <c r="E118" s="1134">
        <v>0</v>
      </c>
      <c r="F118" s="1133">
        <v>0.91940272000000001</v>
      </c>
      <c r="G118" s="1133">
        <v>0.89262399999999997</v>
      </c>
      <c r="H118" s="1135">
        <f t="shared" si="18"/>
        <v>0.33189728000000007</v>
      </c>
      <c r="J118" s="1136">
        <v>7.3552217599999997E-2</v>
      </c>
      <c r="K118" s="1135">
        <f t="shared" si="19"/>
        <v>0.2583450624000001</v>
      </c>
      <c r="M118" s="106">
        <f t="shared" si="21"/>
        <v>0.26017803287672592</v>
      </c>
      <c r="N118" s="1133">
        <v>1.9009901515290071</v>
      </c>
      <c r="O118" s="109">
        <f t="shared" si="13"/>
        <v>0</v>
      </c>
      <c r="P118" s="1137">
        <f t="shared" si="20"/>
        <v>0</v>
      </c>
      <c r="Q118" s="1131"/>
    </row>
    <row r="119" spans="2:17">
      <c r="B119" s="1132" t="s">
        <v>929</v>
      </c>
      <c r="C119" s="1133">
        <v>0.37882364427078652</v>
      </c>
      <c r="D119" s="1134">
        <v>0</v>
      </c>
      <c r="E119" s="1134">
        <v>0</v>
      </c>
      <c r="F119" s="1133">
        <v>0.85654182000000012</v>
      </c>
      <c r="G119" s="1133">
        <v>0.83159400000000006</v>
      </c>
      <c r="H119" s="1135">
        <f t="shared" si="18"/>
        <v>-0.4777181757292136</v>
      </c>
      <c r="J119" s="1136">
        <v>8.8562616361831353E-2</v>
      </c>
      <c r="K119" s="1135">
        <f t="shared" si="19"/>
        <v>-0.56628079209104498</v>
      </c>
      <c r="M119" s="106">
        <f t="shared" si="21"/>
        <v>-0.59917271605552536</v>
      </c>
      <c r="N119" s="1133">
        <v>1.4137069644969251</v>
      </c>
      <c r="O119" s="109">
        <f t="shared" si="13"/>
        <v>2.6421946959758114E-4</v>
      </c>
      <c r="P119" s="1137">
        <f t="shared" si="20"/>
        <v>9.4856888456578449E-3</v>
      </c>
      <c r="Q119" s="1131"/>
    </row>
    <row r="120" spans="2:17">
      <c r="B120" s="1132" t="s">
        <v>930</v>
      </c>
      <c r="C120" s="1133">
        <v>126.02185508447253</v>
      </c>
      <c r="D120" s="1134">
        <v>0</v>
      </c>
      <c r="E120" s="1134">
        <v>0</v>
      </c>
      <c r="F120" s="1133">
        <v>132.67130990999999</v>
      </c>
      <c r="G120" s="1133">
        <v>128.807097</v>
      </c>
      <c r="H120" s="1135">
        <f t="shared" si="18"/>
        <v>-6.6494548255274566</v>
      </c>
      <c r="J120" s="1136">
        <v>10.6137047928</v>
      </c>
      <c r="K120" s="1135">
        <f t="shared" si="19"/>
        <v>-17.263159618327457</v>
      </c>
      <c r="M120" s="106">
        <f t="shared" si="21"/>
        <v>-0.12048126354409419</v>
      </c>
      <c r="N120" s="1133">
        <v>373.08857065557686</v>
      </c>
      <c r="O120" s="109">
        <f t="shared" si="13"/>
        <v>6.9729630487188984E-2</v>
      </c>
      <c r="P120" s="1137">
        <f t="shared" si="20"/>
        <v>0.10121768283991106</v>
      </c>
      <c r="Q120" s="1131"/>
    </row>
    <row r="121" spans="2:17">
      <c r="B121" s="1132" t="s">
        <v>931</v>
      </c>
      <c r="C121" s="1133">
        <v>15.42066941112105</v>
      </c>
      <c r="D121" s="1134">
        <v>0</v>
      </c>
      <c r="E121" s="1134">
        <v>0</v>
      </c>
      <c r="F121" s="1133">
        <v>11.85546171</v>
      </c>
      <c r="G121" s="1133">
        <v>11.510157</v>
      </c>
      <c r="H121" s="1135">
        <f t="shared" si="18"/>
        <v>3.5652077011210501</v>
      </c>
      <c r="J121" s="1136">
        <v>1.0393912624784947</v>
      </c>
      <c r="K121" s="1135">
        <f t="shared" si="19"/>
        <v>2.5258164386425555</v>
      </c>
      <c r="M121" s="106">
        <f t="shared" si="21"/>
        <v>0.19587787809860335</v>
      </c>
      <c r="N121" s="1133">
        <v>33.192832596494149</v>
      </c>
      <c r="O121" s="109">
        <f t="shared" si="13"/>
        <v>0</v>
      </c>
      <c r="P121" s="1137">
        <f t="shared" si="20"/>
        <v>0</v>
      </c>
      <c r="Q121" s="1131"/>
    </row>
    <row r="122" spans="2:17">
      <c r="B122" s="1132" t="s">
        <v>932</v>
      </c>
      <c r="C122" s="1133">
        <v>18.556384019845709</v>
      </c>
      <c r="D122" s="1134">
        <v>0</v>
      </c>
      <c r="E122" s="1134">
        <v>0</v>
      </c>
      <c r="F122" s="1133">
        <v>12.58742194</v>
      </c>
      <c r="G122" s="1133">
        <v>12.220798</v>
      </c>
      <c r="H122" s="1135">
        <f t="shared" si="18"/>
        <v>5.9689620798457081</v>
      </c>
      <c r="J122" s="1136">
        <v>1.0069937552000001</v>
      </c>
      <c r="K122" s="1135">
        <f t="shared" si="19"/>
        <v>4.9619683246457083</v>
      </c>
      <c r="M122" s="106">
        <f t="shared" si="21"/>
        <v>0.36500048519170342</v>
      </c>
      <c r="N122" s="1133">
        <v>35.477595447853652</v>
      </c>
      <c r="O122" s="109">
        <f t="shared" si="13"/>
        <v>0</v>
      </c>
      <c r="P122" s="1137">
        <f t="shared" si="20"/>
        <v>0</v>
      </c>
      <c r="Q122" s="1131"/>
    </row>
    <row r="123" spans="2:17">
      <c r="B123" s="1132" t="s">
        <v>933</v>
      </c>
      <c r="C123" s="1133">
        <v>1.94</v>
      </c>
      <c r="D123" s="1134">
        <v>0</v>
      </c>
      <c r="E123" s="1134">
        <v>0</v>
      </c>
      <c r="F123" s="1133">
        <v>1.6989953</v>
      </c>
      <c r="G123" s="1133">
        <v>1.64951</v>
      </c>
      <c r="H123" s="1135">
        <f t="shared" si="18"/>
        <v>0.24100469999999996</v>
      </c>
      <c r="J123" s="1136">
        <v>0.13591962399999999</v>
      </c>
      <c r="K123" s="1135">
        <f t="shared" si="19"/>
        <v>0.10508507599999997</v>
      </c>
      <c r="M123" s="106">
        <f t="shared" si="21"/>
        <v>5.7269726582702303E-2</v>
      </c>
      <c r="N123" s="1133">
        <v>4.3935730903278838</v>
      </c>
      <c r="O123" s="109">
        <f t="shared" si="13"/>
        <v>0</v>
      </c>
      <c r="P123" s="1137">
        <f t="shared" si="20"/>
        <v>0</v>
      </c>
      <c r="Q123" s="1131"/>
    </row>
    <row r="124" spans="2:17">
      <c r="B124" s="1132" t="s">
        <v>934</v>
      </c>
      <c r="C124" s="1133">
        <v>7.7936603318521742</v>
      </c>
      <c r="D124" s="1134">
        <v>0</v>
      </c>
      <c r="E124" s="1134">
        <v>0</v>
      </c>
      <c r="F124" s="1133">
        <v>7.5748847100000001</v>
      </c>
      <c r="G124" s="1133">
        <v>7.3542569999999996</v>
      </c>
      <c r="H124" s="1135">
        <f t="shared" si="18"/>
        <v>0.21877562185217414</v>
      </c>
      <c r="J124" s="1136">
        <v>0.60599077680000002</v>
      </c>
      <c r="K124" s="1135">
        <f t="shared" si="19"/>
        <v>-0.38721515494782588</v>
      </c>
      <c r="M124" s="106">
        <f t="shared" si="21"/>
        <v>-4.7331750198692672E-2</v>
      </c>
      <c r="N124" s="1133">
        <v>18.241306644046343</v>
      </c>
      <c r="O124" s="109">
        <f t="shared" si="13"/>
        <v>3.4092697336126341E-3</v>
      </c>
      <c r="P124" s="1137">
        <f t="shared" si="20"/>
        <v>7.637768495304336E-4</v>
      </c>
      <c r="Q124" s="1131"/>
    </row>
    <row r="125" spans="2:17">
      <c r="B125" s="1132" t="s">
        <v>935</v>
      </c>
      <c r="C125" s="1133">
        <v>0.44775000000000004</v>
      </c>
      <c r="D125" s="1134">
        <v>0</v>
      </c>
      <c r="E125" s="1134">
        <v>0</v>
      </c>
      <c r="F125" s="1133">
        <v>0.29743310000000006</v>
      </c>
      <c r="G125" s="1133">
        <v>0.28877000000000003</v>
      </c>
      <c r="H125" s="1135">
        <f t="shared" si="18"/>
        <v>0.15031689999999998</v>
      </c>
      <c r="J125" s="1136">
        <v>2.3794648000000005E-2</v>
      </c>
      <c r="K125" s="1135">
        <f t="shared" si="19"/>
        <v>0.12652225199999997</v>
      </c>
      <c r="M125" s="106">
        <f t="shared" si="21"/>
        <v>0.39387086821652761</v>
      </c>
      <c r="N125" s="1133">
        <v>0.79283861524570476</v>
      </c>
      <c r="O125" s="109">
        <f t="shared" si="13"/>
        <v>0</v>
      </c>
      <c r="P125" s="1137">
        <f t="shared" si="20"/>
        <v>0</v>
      </c>
      <c r="Q125" s="1131"/>
    </row>
    <row r="126" spans="2:17">
      <c r="B126" s="1132" t="s">
        <v>936</v>
      </c>
      <c r="C126" s="1133">
        <v>4.3370598315306125E-2</v>
      </c>
      <c r="D126" s="1134">
        <v>0</v>
      </c>
      <c r="E126" s="1134">
        <v>0</v>
      </c>
      <c r="F126" s="1133">
        <v>5.7585240000000003E-2</v>
      </c>
      <c r="G126" s="1133">
        <v>5.5907999999999999E-2</v>
      </c>
      <c r="H126" s="1135">
        <f t="shared" si="18"/>
        <v>-1.4214641684693878E-2</v>
      </c>
      <c r="J126" s="1136">
        <v>4.6068191999999999E-3</v>
      </c>
      <c r="K126" s="1135">
        <f t="shared" si="19"/>
        <v>-1.8821460884693879E-2</v>
      </c>
      <c r="M126" s="106">
        <f t="shared" si="21"/>
        <v>-0.30263447016872336</v>
      </c>
      <c r="N126" s="1133">
        <v>6.9484732572095462E-2</v>
      </c>
      <c r="O126" s="109">
        <f t="shared" si="13"/>
        <v>1.2986580420407035E-5</v>
      </c>
      <c r="P126" s="1137">
        <f t="shared" si="20"/>
        <v>1.1894100255556212E-4</v>
      </c>
      <c r="Q126" s="1131"/>
    </row>
    <row r="127" spans="2:17">
      <c r="B127" s="1132" t="s">
        <v>937</v>
      </c>
      <c r="C127" s="1133">
        <v>19.418940478854346</v>
      </c>
      <c r="D127" s="1134">
        <v>0</v>
      </c>
      <c r="E127" s="1134">
        <v>0</v>
      </c>
      <c r="F127" s="1133">
        <v>17.116309279999999</v>
      </c>
      <c r="G127" s="1133">
        <v>16.617775999999999</v>
      </c>
      <c r="H127" s="1135">
        <f t="shared" si="18"/>
        <v>2.3026311988543462</v>
      </c>
      <c r="J127" s="1136">
        <v>1.3962216718442837</v>
      </c>
      <c r="K127" s="1135">
        <f t="shared" si="19"/>
        <v>0.9064095270100625</v>
      </c>
      <c r="M127" s="106">
        <f t="shared" si="21"/>
        <v>4.8961945255776212E-2</v>
      </c>
      <c r="N127" s="1133">
        <v>26.38428840013022</v>
      </c>
      <c r="O127" s="109">
        <f t="shared" si="13"/>
        <v>0</v>
      </c>
      <c r="P127" s="1137">
        <f t="shared" si="20"/>
        <v>0</v>
      </c>
      <c r="Q127" s="1131"/>
    </row>
    <row r="128" spans="2:17">
      <c r="B128" s="1132" t="s">
        <v>938</v>
      </c>
      <c r="C128" s="1133">
        <v>35.198343765094656</v>
      </c>
      <c r="D128" s="1134">
        <v>0</v>
      </c>
      <c r="E128" s="1134">
        <v>0</v>
      </c>
      <c r="F128" s="1133">
        <v>31.35657531</v>
      </c>
      <c r="G128" s="1133">
        <v>30.443276999999998</v>
      </c>
      <c r="H128" s="1135">
        <f t="shared" si="18"/>
        <v>3.8417684550946554</v>
      </c>
      <c r="J128" s="1136">
        <v>2.5085260248000001</v>
      </c>
      <c r="K128" s="1135">
        <f t="shared" si="19"/>
        <v>1.3332424302946553</v>
      </c>
      <c r="M128" s="106">
        <f t="shared" si="21"/>
        <v>3.9369214257292257E-2</v>
      </c>
      <c r="N128" s="1133">
        <v>47.083304132127239</v>
      </c>
      <c r="O128" s="109">
        <f t="shared" si="13"/>
        <v>0</v>
      </c>
      <c r="P128" s="1137">
        <f t="shared" si="20"/>
        <v>0</v>
      </c>
      <c r="Q128" s="1131"/>
    </row>
    <row r="129" spans="2:17">
      <c r="B129" s="1132" t="s">
        <v>939</v>
      </c>
      <c r="C129" s="1133">
        <v>9.9700000000000011E-2</v>
      </c>
      <c r="D129" s="1134">
        <v>0</v>
      </c>
      <c r="E129" s="1134">
        <v>0</v>
      </c>
      <c r="F129" s="1133">
        <v>2.3595240000000003E-2</v>
      </c>
      <c r="G129" s="1133">
        <v>2.2908000000000001E-2</v>
      </c>
      <c r="H129" s="1135">
        <f t="shared" si="18"/>
        <v>7.6104760000000007E-2</v>
      </c>
      <c r="J129" s="1136">
        <v>1.8876192000000004E-3</v>
      </c>
      <c r="K129" s="1135">
        <f t="shared" si="19"/>
        <v>7.4217140800000012E-2</v>
      </c>
      <c r="M129" s="106">
        <f t="shared" si="21"/>
        <v>2.9124338135494625</v>
      </c>
      <c r="N129" s="1133">
        <v>7.6867998545197949E-2</v>
      </c>
      <c r="O129" s="109">
        <f t="shared" si="13"/>
        <v>0</v>
      </c>
      <c r="P129" s="1137">
        <f t="shared" si="20"/>
        <v>0</v>
      </c>
      <c r="Q129" s="1131"/>
    </row>
    <row r="130" spans="2:17">
      <c r="B130" s="1132" t="s">
        <v>940</v>
      </c>
      <c r="C130" s="1133">
        <v>15.213554307714823</v>
      </c>
      <c r="D130" s="1134">
        <v>0</v>
      </c>
      <c r="E130" s="1134">
        <v>0</v>
      </c>
      <c r="F130" s="1133">
        <v>13.031081050000001</v>
      </c>
      <c r="G130" s="1133">
        <v>12.651535000000001</v>
      </c>
      <c r="H130" s="1135">
        <f t="shared" si="18"/>
        <v>2.1824732577148218</v>
      </c>
      <c r="J130" s="1136">
        <v>1.0424864840000001</v>
      </c>
      <c r="K130" s="1135">
        <f t="shared" si="19"/>
        <v>1.1399867737148217</v>
      </c>
      <c r="M130" s="106">
        <f t="shared" si="21"/>
        <v>8.1001975580161492E-2</v>
      </c>
      <c r="N130" s="1133">
        <v>20.759511291702005</v>
      </c>
      <c r="O130" s="109">
        <f t="shared" si="13"/>
        <v>0</v>
      </c>
      <c r="P130" s="1137">
        <f t="shared" si="20"/>
        <v>0</v>
      </c>
      <c r="Q130" s="1131"/>
    </row>
    <row r="131" spans="2:17">
      <c r="B131" s="1132" t="s">
        <v>941</v>
      </c>
      <c r="C131" s="1133">
        <v>19.088745313709218</v>
      </c>
      <c r="D131" s="1134">
        <v>0</v>
      </c>
      <c r="E131" s="1134">
        <v>0</v>
      </c>
      <c r="F131" s="1133">
        <v>15.55113467</v>
      </c>
      <c r="G131" s="1133">
        <v>15.098189</v>
      </c>
      <c r="H131" s="1135">
        <f t="shared" si="18"/>
        <v>3.5376106437092183</v>
      </c>
      <c r="J131" s="1136">
        <v>1.3726155004701004</v>
      </c>
      <c r="K131" s="1135">
        <f t="shared" si="19"/>
        <v>2.1649951432391177</v>
      </c>
      <c r="M131" s="106">
        <f t="shared" si="21"/>
        <v>0.1279264419192841</v>
      </c>
      <c r="N131" s="1133">
        <v>35.010427729842021</v>
      </c>
      <c r="O131" s="109">
        <f t="shared" si="13"/>
        <v>0</v>
      </c>
      <c r="P131" s="1137">
        <f t="shared" si="20"/>
        <v>0</v>
      </c>
      <c r="Q131" s="1131"/>
    </row>
    <row r="132" spans="2:17">
      <c r="B132" s="1132" t="s">
        <v>942</v>
      </c>
      <c r="C132" s="1133">
        <v>0.4</v>
      </c>
      <c r="D132" s="1134">
        <v>0</v>
      </c>
      <c r="E132" s="1134">
        <v>0</v>
      </c>
      <c r="F132" s="1133">
        <v>0.19599972999999998</v>
      </c>
      <c r="G132" s="1133">
        <v>0.19029099999999999</v>
      </c>
      <c r="H132" s="1135">
        <f t="shared" si="18"/>
        <v>0.20400027000000004</v>
      </c>
      <c r="J132" s="1136">
        <v>1.5679978399999999E-2</v>
      </c>
      <c r="K132" s="1135">
        <f t="shared" si="19"/>
        <v>0.18832029160000005</v>
      </c>
      <c r="M132" s="106">
        <f t="shared" si="21"/>
        <v>0.88964734987323935</v>
      </c>
      <c r="N132" s="1133">
        <v>0.13570778598303795</v>
      </c>
      <c r="O132" s="109">
        <f t="shared" si="13"/>
        <v>0</v>
      </c>
      <c r="P132" s="1137">
        <f t="shared" si="20"/>
        <v>0</v>
      </c>
      <c r="Q132" s="1131"/>
    </row>
    <row r="133" spans="2:17">
      <c r="B133" s="1132" t="s">
        <v>943</v>
      </c>
      <c r="C133" s="1133">
        <v>0.39944000000000002</v>
      </c>
      <c r="D133" s="1134">
        <v>0</v>
      </c>
      <c r="E133" s="1134">
        <v>0</v>
      </c>
      <c r="F133" s="1133">
        <v>0.28340346999999999</v>
      </c>
      <c r="G133" s="1133">
        <v>0.27514899999999998</v>
      </c>
      <c r="H133" s="1135">
        <f t="shared" si="18"/>
        <v>0.11603653000000003</v>
      </c>
      <c r="J133" s="1136">
        <v>2.2672277599999999E-2</v>
      </c>
      <c r="K133" s="1135">
        <f t="shared" si="19"/>
        <v>9.3364252400000028E-2</v>
      </c>
      <c r="M133" s="106">
        <f t="shared" si="21"/>
        <v>0.30503642687173826</v>
      </c>
      <c r="N133" s="1133">
        <v>0.91364651741628777</v>
      </c>
      <c r="O133" s="109">
        <f t="shared" si="13"/>
        <v>0</v>
      </c>
      <c r="P133" s="1137">
        <f t="shared" si="20"/>
        <v>0</v>
      </c>
      <c r="Q133" s="1131"/>
    </row>
    <row r="134" spans="2:17">
      <c r="B134" s="1132" t="s">
        <v>944</v>
      </c>
      <c r="C134" s="1133">
        <v>0.25202911321281829</v>
      </c>
      <c r="D134" s="1134">
        <v>0</v>
      </c>
      <c r="E134" s="1134">
        <v>0</v>
      </c>
      <c r="F134" s="1133">
        <v>0.17809009000000001</v>
      </c>
      <c r="G134" s="1133">
        <v>0.172903</v>
      </c>
      <c r="H134" s="1135">
        <f t="shared" si="18"/>
        <v>7.3939023212818283E-2</v>
      </c>
      <c r="J134" s="1136">
        <v>1.4247207200000001E-2</v>
      </c>
      <c r="K134" s="1135">
        <f t="shared" si="19"/>
        <v>5.9691816012818283E-2</v>
      </c>
      <c r="M134" s="106">
        <f t="shared" si="21"/>
        <v>0.31034966635071487</v>
      </c>
      <c r="N134" s="1133">
        <v>0.34351033326956487</v>
      </c>
      <c r="O134" s="109">
        <f t="shared" si="13"/>
        <v>0</v>
      </c>
      <c r="P134" s="1137">
        <f t="shared" si="20"/>
        <v>0</v>
      </c>
      <c r="Q134" s="1131"/>
    </row>
    <row r="135" spans="2:17">
      <c r="B135" s="1132" t="s">
        <v>945</v>
      </c>
      <c r="C135" s="1133">
        <v>0.1164350785394366</v>
      </c>
      <c r="D135" s="1134">
        <v>0</v>
      </c>
      <c r="E135" s="1134">
        <v>0</v>
      </c>
      <c r="F135" s="1133">
        <v>6.9342689999999998E-2</v>
      </c>
      <c r="G135" s="1133">
        <v>6.7322999999999994E-2</v>
      </c>
      <c r="H135" s="1135">
        <f t="shared" si="18"/>
        <v>4.7092388539436605E-2</v>
      </c>
      <c r="J135" s="1136">
        <v>5.5474152000000001E-3</v>
      </c>
      <c r="K135" s="1135">
        <f t="shared" si="19"/>
        <v>4.1544973339436603E-2</v>
      </c>
      <c r="M135" s="106">
        <f t="shared" si="21"/>
        <v>0.55474582694853258</v>
      </c>
      <c r="N135" s="1133">
        <v>0.23112732300236152</v>
      </c>
      <c r="O135" s="109">
        <f t="shared" si="13"/>
        <v>0</v>
      </c>
      <c r="P135" s="1137">
        <f t="shared" si="20"/>
        <v>0</v>
      </c>
      <c r="Q135" s="1131"/>
    </row>
    <row r="136" spans="2:17">
      <c r="B136" s="1132" t="s">
        <v>946</v>
      </c>
      <c r="C136" s="1133">
        <v>9.9180000000000004E-2</v>
      </c>
      <c r="D136" s="1134">
        <v>0</v>
      </c>
      <c r="E136" s="1134">
        <v>0</v>
      </c>
      <c r="F136" s="1133">
        <v>4.813808E-2</v>
      </c>
      <c r="G136" s="1133">
        <v>4.6736E-2</v>
      </c>
      <c r="H136" s="1135">
        <f t="shared" si="18"/>
        <v>5.1041920000000005E-2</v>
      </c>
      <c r="J136" s="1136">
        <v>3.8510464E-3</v>
      </c>
      <c r="K136" s="1135">
        <f t="shared" si="19"/>
        <v>4.7190873600000002E-2</v>
      </c>
      <c r="M136" s="106">
        <f t="shared" si="21"/>
        <v>0.90770660843418216</v>
      </c>
      <c r="N136" s="1133">
        <v>5.9372156367579108E-2</v>
      </c>
      <c r="O136" s="109">
        <f t="shared" si="13"/>
        <v>0</v>
      </c>
      <c r="P136" s="1137">
        <f t="shared" si="20"/>
        <v>0</v>
      </c>
      <c r="Q136" s="1131"/>
    </row>
    <row r="137" spans="2:17">
      <c r="B137" s="1132" t="s">
        <v>947</v>
      </c>
      <c r="C137" s="1133">
        <v>9.919E-2</v>
      </c>
      <c r="D137" s="1134">
        <v>0</v>
      </c>
      <c r="E137" s="1134">
        <v>0</v>
      </c>
      <c r="F137" s="1133">
        <v>5.8752230000000003E-2</v>
      </c>
      <c r="G137" s="1133">
        <v>5.7041000000000001E-2</v>
      </c>
      <c r="H137" s="1135">
        <f t="shared" si="18"/>
        <v>4.0437769999999998E-2</v>
      </c>
      <c r="J137" s="1136">
        <v>4.7001784000000003E-3</v>
      </c>
      <c r="K137" s="1135">
        <f t="shared" si="19"/>
        <v>3.57375916E-2</v>
      </c>
      <c r="M137" s="106">
        <f t="shared" si="21"/>
        <v>0.56321883599299272</v>
      </c>
      <c r="N137" s="1133">
        <v>0.21204341559849682</v>
      </c>
      <c r="O137" s="109">
        <f t="shared" si="13"/>
        <v>0</v>
      </c>
      <c r="P137" s="1137">
        <f t="shared" si="20"/>
        <v>0</v>
      </c>
      <c r="Q137" s="1131"/>
    </row>
    <row r="138" spans="2:17">
      <c r="B138" s="1132" t="s">
        <v>948</v>
      </c>
      <c r="C138" s="1133">
        <v>9.938000000000001E-2</v>
      </c>
      <c r="D138" s="1134">
        <v>0</v>
      </c>
      <c r="E138" s="1134">
        <v>0</v>
      </c>
      <c r="F138" s="1133">
        <v>8.0857060000000008E-2</v>
      </c>
      <c r="G138" s="1133">
        <v>7.8502000000000002E-2</v>
      </c>
      <c r="H138" s="1135">
        <f>+C138+D138-E138-F138</f>
        <v>1.8522940000000002E-2</v>
      </c>
      <c r="J138" s="1136">
        <v>6.4685648000000007E-3</v>
      </c>
      <c r="K138" s="1135">
        <f>+H138-J138</f>
        <v>1.2054375200000002E-2</v>
      </c>
      <c r="M138" s="106">
        <f>+IF(ISERROR(K138/(F138+J138)),0,K138/(F138+J138))</f>
        <v>0.13803938108210362</v>
      </c>
      <c r="N138" s="1133">
        <v>0.12086474689114318</v>
      </c>
      <c r="O138" s="109">
        <f t="shared" si="13"/>
        <v>0</v>
      </c>
      <c r="P138" s="1137">
        <f>(M138^2*O138)*100</f>
        <v>0</v>
      </c>
      <c r="Q138" s="1131"/>
    </row>
    <row r="139" spans="2:17">
      <c r="B139" s="1132" t="s">
        <v>949</v>
      </c>
      <c r="C139" s="1133">
        <v>0.19878000000000001</v>
      </c>
      <c r="D139" s="1134">
        <v>0</v>
      </c>
      <c r="E139" s="1134">
        <v>0</v>
      </c>
      <c r="F139" s="1133">
        <v>9.6418299999999998E-2</v>
      </c>
      <c r="G139" s="1133">
        <v>9.3609999999999999E-2</v>
      </c>
      <c r="H139" s="1135">
        <f t="shared" ref="H139:H162" si="22">+C139+D139-E139-F139</f>
        <v>0.10236170000000001</v>
      </c>
      <c r="J139" s="1136">
        <v>7.7134639999999997E-3</v>
      </c>
      <c r="K139" s="1135">
        <f t="shared" ref="K139:K162" si="23">+H139-J139</f>
        <v>9.4648236000000011E-2</v>
      </c>
      <c r="M139" s="106">
        <f>+IF(ISERROR(K139/(F139+J139)),0,K139/(F139+J139))</f>
        <v>0.908927615977004</v>
      </c>
      <c r="N139" s="1133">
        <v>0.13782822013902293</v>
      </c>
      <c r="O139" s="109">
        <f t="shared" si="13"/>
        <v>0</v>
      </c>
      <c r="P139" s="1137">
        <f t="shared" ref="P139:P162" si="24">(M139^2*O139)*100</f>
        <v>0</v>
      </c>
      <c r="Q139" s="1131"/>
    </row>
    <row r="140" spans="2:17">
      <c r="B140" s="1132" t="s">
        <v>950</v>
      </c>
      <c r="C140" s="1133">
        <v>8.1677001308673471</v>
      </c>
      <c r="D140" s="1134">
        <v>0</v>
      </c>
      <c r="E140" s="1134">
        <v>0</v>
      </c>
      <c r="F140" s="1133">
        <v>6.2462547500000003</v>
      </c>
      <c r="G140" s="1133">
        <v>6.0643250000000002</v>
      </c>
      <c r="H140" s="1135">
        <f t="shared" si="22"/>
        <v>1.9214453808673468</v>
      </c>
      <c r="J140" s="1136">
        <v>0.49970038000000006</v>
      </c>
      <c r="K140" s="1135">
        <f t="shared" si="23"/>
        <v>1.4217450008673467</v>
      </c>
      <c r="M140" s="106">
        <f t="shared" ref="M140:M162" si="25">+IF(ISERROR(K140/(F140+J140)),0,K140/(F140+J140))</f>
        <v>0.21075518195261797</v>
      </c>
      <c r="N140" s="1133">
        <v>5.3154499762378054</v>
      </c>
      <c r="O140" s="109">
        <f t="shared" si="13"/>
        <v>0</v>
      </c>
      <c r="P140" s="1137">
        <f t="shared" si="24"/>
        <v>0</v>
      </c>
      <c r="Q140" s="1131"/>
    </row>
    <row r="141" spans="2:17">
      <c r="B141" s="1132" t="s">
        <v>951</v>
      </c>
      <c r="C141" s="1133">
        <v>0.14331378024999999</v>
      </c>
      <c r="D141" s="1134">
        <v>0</v>
      </c>
      <c r="E141" s="1134">
        <v>0</v>
      </c>
      <c r="F141" s="1133">
        <v>0.12163270000000001</v>
      </c>
      <c r="G141" s="1133">
        <v>0.11809</v>
      </c>
      <c r="H141" s="1135">
        <f t="shared" si="22"/>
        <v>2.1681080249999984E-2</v>
      </c>
      <c r="J141" s="1136">
        <v>9.730616000000001E-3</v>
      </c>
      <c r="K141" s="1135">
        <f t="shared" si="23"/>
        <v>1.1950464249999983E-2</v>
      </c>
      <c r="M141" s="106">
        <f t="shared" si="25"/>
        <v>9.0972614074388794E-2</v>
      </c>
      <c r="N141" s="1133">
        <v>0.2216668656186003</v>
      </c>
      <c r="O141" s="109">
        <f t="shared" si="13"/>
        <v>0</v>
      </c>
      <c r="P141" s="1137">
        <f t="shared" si="24"/>
        <v>0</v>
      </c>
      <c r="Q141" s="1131"/>
    </row>
    <row r="142" spans="2:17">
      <c r="B142" s="1132" t="s">
        <v>952</v>
      </c>
      <c r="C142" s="1133">
        <v>2.8685983478173913</v>
      </c>
      <c r="D142" s="1134">
        <v>0</v>
      </c>
      <c r="E142" s="1134">
        <v>0</v>
      </c>
      <c r="F142" s="1133">
        <v>2.3935768300000002</v>
      </c>
      <c r="G142" s="1133">
        <v>2.323861</v>
      </c>
      <c r="H142" s="1135">
        <f t="shared" si="22"/>
        <v>0.4750215178173911</v>
      </c>
      <c r="J142" s="1136">
        <v>0.19502525993902411</v>
      </c>
      <c r="K142" s="1135">
        <f t="shared" si="23"/>
        <v>0.27999625787836702</v>
      </c>
      <c r="M142" s="106">
        <f t="shared" si="25"/>
        <v>0.1081650435834124</v>
      </c>
      <c r="N142" s="1133">
        <v>5.7821952181283809</v>
      </c>
      <c r="O142" s="109">
        <f t="shared" ref="O142:O205" si="26">IF(K142&lt;0,N142/$N$263,0)</f>
        <v>0</v>
      </c>
      <c r="P142" s="1137">
        <f t="shared" si="24"/>
        <v>0</v>
      </c>
      <c r="Q142" s="1131"/>
    </row>
    <row r="143" spans="2:17">
      <c r="B143" s="1132" t="s">
        <v>953</v>
      </c>
      <c r="C143" s="1133">
        <v>6.2685000000000005E-2</v>
      </c>
      <c r="D143" s="1134">
        <v>0</v>
      </c>
      <c r="E143" s="1134">
        <v>0</v>
      </c>
      <c r="F143" s="1133">
        <v>2.6172299999999999E-2</v>
      </c>
      <c r="G143" s="1133">
        <v>2.5409999999999999E-2</v>
      </c>
      <c r="H143" s="1135">
        <f t="shared" si="22"/>
        <v>3.6512700000000009E-2</v>
      </c>
      <c r="J143" s="1136">
        <v>2.093784E-3</v>
      </c>
      <c r="K143" s="1135">
        <f t="shared" si="23"/>
        <v>3.4418916000000008E-2</v>
      </c>
      <c r="M143" s="106">
        <f t="shared" si="25"/>
        <v>1.2176754303850512</v>
      </c>
      <c r="N143" s="1133">
        <v>0.10476036799783163</v>
      </c>
      <c r="O143" s="109">
        <f t="shared" si="26"/>
        <v>0</v>
      </c>
      <c r="P143" s="1137">
        <f t="shared" si="24"/>
        <v>0</v>
      </c>
      <c r="Q143" s="1131"/>
    </row>
    <row r="144" spans="2:17">
      <c r="B144" s="1132" t="s">
        <v>954</v>
      </c>
      <c r="C144" s="1133">
        <v>0.13853851978953491</v>
      </c>
      <c r="D144" s="1134">
        <v>0</v>
      </c>
      <c r="E144" s="1134">
        <v>0</v>
      </c>
      <c r="F144" s="1133">
        <v>0.12127117</v>
      </c>
      <c r="G144" s="1133">
        <v>0.117739</v>
      </c>
      <c r="H144" s="1135">
        <f t="shared" si="22"/>
        <v>1.7267349789534911E-2</v>
      </c>
      <c r="J144" s="1136">
        <v>9.7016936000000002E-3</v>
      </c>
      <c r="K144" s="1135">
        <f t="shared" si="23"/>
        <v>7.5656561895349108E-3</v>
      </c>
      <c r="M144" s="106">
        <f t="shared" si="25"/>
        <v>5.7765066606781525E-2</v>
      </c>
      <c r="N144" s="1133">
        <v>0.21103900219853042</v>
      </c>
      <c r="O144" s="109">
        <f t="shared" si="26"/>
        <v>0</v>
      </c>
      <c r="P144" s="1137">
        <f t="shared" si="24"/>
        <v>0</v>
      </c>
      <c r="Q144" s="1131"/>
    </row>
    <row r="145" spans="2:17">
      <c r="B145" s="1132" t="s">
        <v>955</v>
      </c>
      <c r="C145" s="1133">
        <v>0.54725000000000001</v>
      </c>
      <c r="D145" s="1134">
        <v>0</v>
      </c>
      <c r="E145" s="1134">
        <v>0</v>
      </c>
      <c r="F145" s="1133">
        <v>0.44750616000000004</v>
      </c>
      <c r="G145" s="1133">
        <v>0.43447200000000002</v>
      </c>
      <c r="H145" s="1135">
        <f t="shared" si="22"/>
        <v>9.9743839999999973E-2</v>
      </c>
      <c r="J145" s="1136">
        <v>3.5800492800000007E-2</v>
      </c>
      <c r="K145" s="1135">
        <f t="shared" si="23"/>
        <v>6.3943347199999973E-2</v>
      </c>
      <c r="M145" s="106">
        <f t="shared" si="25"/>
        <v>0.13230388373416566</v>
      </c>
      <c r="N145" s="1133">
        <v>0.57694115708950766</v>
      </c>
      <c r="O145" s="109">
        <f t="shared" si="26"/>
        <v>0</v>
      </c>
      <c r="P145" s="1137">
        <f t="shared" si="24"/>
        <v>0</v>
      </c>
      <c r="Q145" s="1131"/>
    </row>
    <row r="146" spans="2:17">
      <c r="B146" s="1132" t="s">
        <v>956</v>
      </c>
      <c r="C146" s="1133">
        <v>2.8317789502249999</v>
      </c>
      <c r="D146" s="1134">
        <v>0</v>
      </c>
      <c r="E146" s="1134">
        <v>0</v>
      </c>
      <c r="F146" s="1133">
        <v>2.9886541800000002</v>
      </c>
      <c r="G146" s="1133">
        <v>2.9016060000000001</v>
      </c>
      <c r="H146" s="1135">
        <f t="shared" si="22"/>
        <v>-0.15687522977500024</v>
      </c>
      <c r="J146" s="1136">
        <v>0.24473079653543725</v>
      </c>
      <c r="K146" s="1135">
        <f t="shared" si="23"/>
        <v>-0.40160602631043751</v>
      </c>
      <c r="M146" s="106">
        <f t="shared" si="25"/>
        <v>-0.1242060655396368</v>
      </c>
      <c r="N146" s="1133">
        <v>5.8437453879346348</v>
      </c>
      <c r="O146" s="109">
        <f t="shared" si="26"/>
        <v>1.0921862490879443E-3</v>
      </c>
      <c r="P146" s="1137">
        <f t="shared" si="24"/>
        <v>1.6849317506791106E-3</v>
      </c>
      <c r="Q146" s="1131"/>
    </row>
    <row r="147" spans="2:17">
      <c r="B147" s="1132" t="s">
        <v>957</v>
      </c>
      <c r="C147" s="1133">
        <v>0.42785000000000001</v>
      </c>
      <c r="D147" s="1134">
        <v>0</v>
      </c>
      <c r="E147" s="1134">
        <v>0</v>
      </c>
      <c r="F147" s="1133">
        <v>0.16072944</v>
      </c>
      <c r="G147" s="1133">
        <v>0.15604799999999999</v>
      </c>
      <c r="H147" s="1135">
        <f t="shared" si="22"/>
        <v>0.26712056000000001</v>
      </c>
      <c r="J147" s="1136">
        <v>1.2858355200000001E-2</v>
      </c>
      <c r="K147" s="1135">
        <f t="shared" si="23"/>
        <v>0.2542622048</v>
      </c>
      <c r="M147" s="106">
        <f t="shared" si="25"/>
        <v>1.4647470146564774</v>
      </c>
      <c r="N147" s="1133">
        <v>0.47977212010601156</v>
      </c>
      <c r="O147" s="109">
        <f t="shared" si="26"/>
        <v>0</v>
      </c>
      <c r="P147" s="1137">
        <f t="shared" si="24"/>
        <v>0</v>
      </c>
      <c r="Q147" s="1131"/>
    </row>
    <row r="148" spans="2:17">
      <c r="B148" s="1132" t="s">
        <v>958</v>
      </c>
      <c r="C148" s="1133">
        <v>8.159000000000001E-2</v>
      </c>
      <c r="D148" s="1134">
        <v>0</v>
      </c>
      <c r="E148" s="1134">
        <v>0</v>
      </c>
      <c r="F148" s="1133">
        <v>1.202628E-2</v>
      </c>
      <c r="G148" s="1133">
        <v>1.1676000000000001E-2</v>
      </c>
      <c r="H148" s="1135">
        <f t="shared" si="22"/>
        <v>6.9563720000000009E-2</v>
      </c>
      <c r="J148" s="1136">
        <v>9.6210240000000008E-4</v>
      </c>
      <c r="K148" s="1135">
        <f t="shared" si="23"/>
        <v>6.8601617600000012E-2</v>
      </c>
      <c r="M148" s="106">
        <f t="shared" si="25"/>
        <v>5.2817676202696351</v>
      </c>
      <c r="N148" s="1133">
        <v>8.9577705969160384E-2</v>
      </c>
      <c r="O148" s="109">
        <f t="shared" si="26"/>
        <v>0</v>
      </c>
      <c r="P148" s="1137">
        <f t="shared" si="24"/>
        <v>0</v>
      </c>
      <c r="Q148" s="1131"/>
    </row>
    <row r="149" spans="2:17">
      <c r="B149" s="1132" t="s">
        <v>959</v>
      </c>
      <c r="C149" s="1133">
        <v>7.5123693999999998E-3</v>
      </c>
      <c r="D149" s="1134">
        <v>0</v>
      </c>
      <c r="E149" s="1134">
        <v>0</v>
      </c>
      <c r="F149" s="1133">
        <v>5.6299800000000006E-3</v>
      </c>
      <c r="G149" s="1133">
        <v>5.4660000000000004E-3</v>
      </c>
      <c r="H149" s="1135">
        <f t="shared" si="22"/>
        <v>1.8823893999999992E-3</v>
      </c>
      <c r="J149" s="1136">
        <v>4.5039840000000005E-4</v>
      </c>
      <c r="K149" s="1135">
        <f t="shared" si="23"/>
        <v>1.4319909999999992E-3</v>
      </c>
      <c r="M149" s="106">
        <f t="shared" si="25"/>
        <v>0.23551017811654601</v>
      </c>
      <c r="N149" s="1133">
        <v>1.9737460637272629E-2</v>
      </c>
      <c r="O149" s="109">
        <f t="shared" si="26"/>
        <v>0</v>
      </c>
      <c r="P149" s="1137">
        <f t="shared" si="24"/>
        <v>0</v>
      </c>
      <c r="Q149" s="1131"/>
    </row>
    <row r="150" spans="2:17">
      <c r="B150" s="1132" t="s">
        <v>960</v>
      </c>
      <c r="C150" s="1133">
        <v>0.20596499999999998</v>
      </c>
      <c r="D150" s="1134">
        <v>0</v>
      </c>
      <c r="E150" s="1134">
        <v>0</v>
      </c>
      <c r="F150" s="1133">
        <v>0.11569063</v>
      </c>
      <c r="G150" s="1133">
        <v>0.112321</v>
      </c>
      <c r="H150" s="1135">
        <f t="shared" si="22"/>
        <v>9.0274369999999979E-2</v>
      </c>
      <c r="J150" s="1136">
        <v>9.2552503999999997E-3</v>
      </c>
      <c r="K150" s="1135">
        <f t="shared" si="23"/>
        <v>8.1019119599999981E-2</v>
      </c>
      <c r="M150" s="106">
        <f t="shared" si="25"/>
        <v>0.64843370058001515</v>
      </c>
      <c r="N150" s="1133">
        <v>0.1563814188953139</v>
      </c>
      <c r="O150" s="109">
        <f t="shared" si="26"/>
        <v>0</v>
      </c>
      <c r="P150" s="1137">
        <f t="shared" si="24"/>
        <v>0</v>
      </c>
      <c r="Q150" s="1131"/>
    </row>
    <row r="151" spans="2:17">
      <c r="B151" s="1132" t="s">
        <v>961</v>
      </c>
      <c r="C151" s="1133">
        <v>7.9600000000000004E-2</v>
      </c>
      <c r="D151" s="1134">
        <v>0</v>
      </c>
      <c r="E151" s="1134">
        <v>0</v>
      </c>
      <c r="F151" s="1133">
        <v>4.329914E-2</v>
      </c>
      <c r="G151" s="1133">
        <v>4.2037999999999999E-2</v>
      </c>
      <c r="H151" s="1135">
        <f t="shared" si="22"/>
        <v>3.6300860000000004E-2</v>
      </c>
      <c r="J151" s="1136">
        <v>5.3841876372445569E-3</v>
      </c>
      <c r="K151" s="1135">
        <f t="shared" si="23"/>
        <v>3.0916672362755446E-2</v>
      </c>
      <c r="M151" s="106">
        <f t="shared" si="25"/>
        <v>0.63505667881057182</v>
      </c>
      <c r="N151" s="1133">
        <v>0.15334488648957964</v>
      </c>
      <c r="O151" s="109">
        <f t="shared" si="26"/>
        <v>0</v>
      </c>
      <c r="P151" s="1137">
        <f t="shared" si="24"/>
        <v>0</v>
      </c>
      <c r="Q151" s="1131"/>
    </row>
    <row r="152" spans="2:17">
      <c r="B152" s="1132" t="s">
        <v>962</v>
      </c>
      <c r="C152" s="1133">
        <v>0.46764999999999995</v>
      </c>
      <c r="D152" s="1134">
        <v>0</v>
      </c>
      <c r="E152" s="1134">
        <v>0</v>
      </c>
      <c r="F152" s="1133">
        <v>0.27986336000000001</v>
      </c>
      <c r="G152" s="1133">
        <v>0.27171200000000001</v>
      </c>
      <c r="H152" s="1135">
        <f t="shared" si="22"/>
        <v>0.18778663999999995</v>
      </c>
      <c r="J152" s="1136">
        <v>2.2389068800000002E-2</v>
      </c>
      <c r="K152" s="1135">
        <f t="shared" si="23"/>
        <v>0.16539757119999995</v>
      </c>
      <c r="M152" s="106">
        <f t="shared" si="25"/>
        <v>0.54721668195243278</v>
      </c>
      <c r="N152" s="1133">
        <v>0.39323094654258545</v>
      </c>
      <c r="O152" s="109">
        <f t="shared" si="26"/>
        <v>0</v>
      </c>
      <c r="P152" s="1137">
        <f t="shared" si="24"/>
        <v>0</v>
      </c>
      <c r="Q152" s="1131"/>
    </row>
    <row r="153" spans="2:17">
      <c r="B153" s="1132" t="s">
        <v>963</v>
      </c>
      <c r="C153" s="1133">
        <v>0.14924999999999999</v>
      </c>
      <c r="D153" s="1134">
        <v>0</v>
      </c>
      <c r="E153" s="1134">
        <v>0</v>
      </c>
      <c r="F153" s="1133">
        <v>6.4750950000000002E-2</v>
      </c>
      <c r="G153" s="1133">
        <v>6.2865000000000004E-2</v>
      </c>
      <c r="H153" s="1135">
        <f t="shared" si="22"/>
        <v>8.4499049999999992E-2</v>
      </c>
      <c r="J153" s="1136">
        <v>5.1800760000000005E-3</v>
      </c>
      <c r="K153" s="1135">
        <f t="shared" si="23"/>
        <v>7.9318973999999987E-2</v>
      </c>
      <c r="M153" s="106">
        <f t="shared" si="25"/>
        <v>1.134245821017984</v>
      </c>
      <c r="N153" s="1133">
        <v>0.17611887953258654</v>
      </c>
      <c r="O153" s="109">
        <f t="shared" si="26"/>
        <v>0</v>
      </c>
      <c r="P153" s="1137">
        <f t="shared" si="24"/>
        <v>0</v>
      </c>
      <c r="Q153" s="1131"/>
    </row>
    <row r="154" spans="2:17">
      <c r="B154" s="1132" t="s">
        <v>964</v>
      </c>
      <c r="C154" s="1133">
        <v>0.13930000000000001</v>
      </c>
      <c r="D154" s="1134">
        <v>0</v>
      </c>
      <c r="E154" s="1134">
        <v>0</v>
      </c>
      <c r="F154" s="1133">
        <v>0.12711744999999999</v>
      </c>
      <c r="G154" s="1133">
        <v>0.123415</v>
      </c>
      <c r="H154" s="1135">
        <f t="shared" si="22"/>
        <v>1.2182550000000014E-2</v>
      </c>
      <c r="J154" s="1136">
        <v>1.0169395999999999E-2</v>
      </c>
      <c r="K154" s="1135">
        <f t="shared" si="23"/>
        <v>2.0131540000000153E-3</v>
      </c>
      <c r="M154" s="106">
        <f t="shared" si="25"/>
        <v>1.4663852063438149E-2</v>
      </c>
      <c r="N154" s="1133">
        <v>0.13816222446090839</v>
      </c>
      <c r="O154" s="109">
        <f t="shared" si="26"/>
        <v>0</v>
      </c>
      <c r="P154" s="1137">
        <f t="shared" si="24"/>
        <v>0</v>
      </c>
      <c r="Q154" s="1131"/>
    </row>
    <row r="155" spans="2:17">
      <c r="B155" s="1132" t="s">
        <v>965</v>
      </c>
      <c r="C155" s="1133">
        <v>0.97459281302608691</v>
      </c>
      <c r="D155" s="1134">
        <v>0</v>
      </c>
      <c r="E155" s="1134">
        <v>0</v>
      </c>
      <c r="F155" s="1133">
        <v>0.75889576000000003</v>
      </c>
      <c r="G155" s="1133">
        <v>0.736792</v>
      </c>
      <c r="H155" s="1135">
        <f t="shared" si="22"/>
        <v>0.21569705302608688</v>
      </c>
      <c r="J155" s="1136">
        <v>7.3652568490545536E-2</v>
      </c>
      <c r="K155" s="1135">
        <f t="shared" si="23"/>
        <v>0.14204448453554136</v>
      </c>
      <c r="M155" s="106">
        <f t="shared" si="25"/>
        <v>0.1706141009172111</v>
      </c>
      <c r="N155" s="1133">
        <v>0.99598262908083413</v>
      </c>
      <c r="O155" s="109">
        <f t="shared" si="26"/>
        <v>0</v>
      </c>
      <c r="P155" s="1137">
        <f t="shared" si="24"/>
        <v>0</v>
      </c>
      <c r="Q155" s="1131"/>
    </row>
    <row r="156" spans="2:17">
      <c r="B156" s="1132" t="s">
        <v>966</v>
      </c>
      <c r="C156" s="1133">
        <v>3.2798811429577443E-3</v>
      </c>
      <c r="D156" s="1134">
        <v>0</v>
      </c>
      <c r="E156" s="1134">
        <v>0</v>
      </c>
      <c r="F156" s="1133">
        <v>2.2973120000000003E-2</v>
      </c>
      <c r="G156" s="1133">
        <v>2.2304000000000001E-2</v>
      </c>
      <c r="H156" s="1135">
        <f t="shared" si="22"/>
        <v>-1.9693238857042258E-2</v>
      </c>
      <c r="J156" s="1136">
        <v>1.8378496000000003E-3</v>
      </c>
      <c r="K156" s="1135">
        <f t="shared" si="23"/>
        <v>-2.1531088457042259E-2</v>
      </c>
      <c r="M156" s="106">
        <f t="shared" si="25"/>
        <v>-0.8678052008512499</v>
      </c>
      <c r="N156" s="1133">
        <v>1.6700928231538376E-2</v>
      </c>
      <c r="O156" s="109">
        <f t="shared" si="26"/>
        <v>3.1213755820285031E-6</v>
      </c>
      <c r="P156" s="1137">
        <f t="shared" si="24"/>
        <v>2.35066383525242E-4</v>
      </c>
      <c r="Q156" s="1131"/>
    </row>
    <row r="157" spans="2:17">
      <c r="B157" s="1132" t="s">
        <v>967</v>
      </c>
      <c r="C157" s="1133">
        <v>0.5486800545653846</v>
      </c>
      <c r="D157" s="1134">
        <v>0</v>
      </c>
      <c r="E157" s="1134">
        <v>0</v>
      </c>
      <c r="F157" s="1133">
        <v>0.59304515999999996</v>
      </c>
      <c r="G157" s="1133">
        <v>0.57577199999999995</v>
      </c>
      <c r="H157" s="1135">
        <f t="shared" si="22"/>
        <v>-4.4365105434615359E-2</v>
      </c>
      <c r="J157" s="1136">
        <v>6.6875663543270181E-2</v>
      </c>
      <c r="K157" s="1135">
        <f t="shared" si="23"/>
        <v>-0.11124076897788554</v>
      </c>
      <c r="M157" s="106">
        <f t="shared" si="25"/>
        <v>-0.16856684167141095</v>
      </c>
      <c r="N157" s="1133">
        <v>1.0142018235152397</v>
      </c>
      <c r="O157" s="109">
        <f t="shared" si="26"/>
        <v>1.8955262625409459E-4</v>
      </c>
      <c r="P157" s="1137">
        <f t="shared" si="24"/>
        <v>5.3860961944867899E-4</v>
      </c>
      <c r="Q157" s="1131"/>
    </row>
    <row r="158" spans="2:17">
      <c r="B158" s="1132" t="s">
        <v>968</v>
      </c>
      <c r="C158" s="1133">
        <v>9.0545E-2</v>
      </c>
      <c r="D158" s="1134">
        <v>0</v>
      </c>
      <c r="E158" s="1134">
        <v>0</v>
      </c>
      <c r="F158" s="1133">
        <v>6.0791629999999999E-2</v>
      </c>
      <c r="G158" s="1133">
        <v>5.9020999999999997E-2</v>
      </c>
      <c r="H158" s="1135">
        <f t="shared" si="22"/>
        <v>2.9753370000000001E-2</v>
      </c>
      <c r="J158" s="1136">
        <v>4.8633304E-3</v>
      </c>
      <c r="K158" s="1135">
        <f t="shared" si="23"/>
        <v>2.48900396E-2</v>
      </c>
      <c r="M158" s="106">
        <f t="shared" si="25"/>
        <v>0.37910371810992666</v>
      </c>
      <c r="N158" s="1133">
        <v>0.13208915964943993</v>
      </c>
      <c r="O158" s="109">
        <f t="shared" si="26"/>
        <v>0</v>
      </c>
      <c r="P158" s="1137">
        <f t="shared" si="24"/>
        <v>0</v>
      </c>
      <c r="Q158" s="1131"/>
    </row>
    <row r="159" spans="2:17">
      <c r="B159" s="1132" t="s">
        <v>969</v>
      </c>
      <c r="C159" s="1133">
        <v>0.16318000000000002</v>
      </c>
      <c r="D159" s="1134">
        <v>0</v>
      </c>
      <c r="E159" s="1134">
        <v>0</v>
      </c>
      <c r="F159" s="1133">
        <v>0.15106701</v>
      </c>
      <c r="G159" s="1133">
        <v>0.14666699999999999</v>
      </c>
      <c r="H159" s="1135">
        <f t="shared" si="22"/>
        <v>1.2112990000000018E-2</v>
      </c>
      <c r="J159" s="1136">
        <v>1.20853608E-2</v>
      </c>
      <c r="K159" s="1135">
        <f t="shared" si="23"/>
        <v>2.7629200000017784E-5</v>
      </c>
      <c r="M159" s="106">
        <f t="shared" si="25"/>
        <v>1.6934599150806692E-4</v>
      </c>
      <c r="N159" s="1133">
        <v>0.28998884474762093</v>
      </c>
      <c r="O159" s="109">
        <f t="shared" si="26"/>
        <v>0</v>
      </c>
      <c r="P159" s="1137">
        <f t="shared" si="24"/>
        <v>0</v>
      </c>
      <c r="Q159" s="1131"/>
    </row>
    <row r="160" spans="2:17">
      <c r="B160" s="1132" t="s">
        <v>970</v>
      </c>
      <c r="C160" s="1133">
        <v>0.6169</v>
      </c>
      <c r="D160" s="1134">
        <v>0</v>
      </c>
      <c r="E160" s="1134">
        <v>0</v>
      </c>
      <c r="F160" s="1133">
        <v>0.38376461000000001</v>
      </c>
      <c r="G160" s="1133">
        <v>0.372587</v>
      </c>
      <c r="H160" s="1135">
        <f t="shared" si="22"/>
        <v>0.23313539</v>
      </c>
      <c r="J160" s="1136">
        <v>3.8221382504659229E-2</v>
      </c>
      <c r="K160" s="1135">
        <f t="shared" si="23"/>
        <v>0.19491400749534077</v>
      </c>
      <c r="M160" s="106">
        <f t="shared" si="25"/>
        <v>0.46189686614583225</v>
      </c>
      <c r="N160" s="1133">
        <v>0.82138201575111491</v>
      </c>
      <c r="O160" s="109">
        <f t="shared" si="26"/>
        <v>0</v>
      </c>
      <c r="P160" s="1137">
        <f t="shared" si="24"/>
        <v>0</v>
      </c>
      <c r="Q160" s="1131"/>
    </row>
    <row r="161" spans="2:17">
      <c r="B161" s="1132" t="s">
        <v>971</v>
      </c>
      <c r="C161" s="1133">
        <v>4.0795000000000005E-2</v>
      </c>
      <c r="D161" s="1134">
        <v>0</v>
      </c>
      <c r="E161" s="1134">
        <v>0</v>
      </c>
      <c r="F161" s="1133">
        <v>7.7723799999999997E-3</v>
      </c>
      <c r="G161" s="1133">
        <v>7.5459999999999998E-3</v>
      </c>
      <c r="H161" s="1135">
        <f t="shared" si="22"/>
        <v>3.3022620000000003E-2</v>
      </c>
      <c r="J161" s="1136">
        <v>6.2179040000000002E-4</v>
      </c>
      <c r="K161" s="1135">
        <f t="shared" si="23"/>
        <v>3.24008296E-2</v>
      </c>
      <c r="M161" s="106">
        <f t="shared" si="25"/>
        <v>3.8599204038078621</v>
      </c>
      <c r="N161" s="1133">
        <v>3.0365324057342505E-2</v>
      </c>
      <c r="O161" s="109">
        <f t="shared" si="26"/>
        <v>0</v>
      </c>
      <c r="P161" s="1137">
        <f t="shared" si="24"/>
        <v>0</v>
      </c>
      <c r="Q161" s="1131"/>
    </row>
    <row r="162" spans="2:17">
      <c r="B162" s="1132" t="s">
        <v>972</v>
      </c>
      <c r="C162" s="1133">
        <v>1.1639999999999999</v>
      </c>
      <c r="D162" s="1134">
        <v>0</v>
      </c>
      <c r="E162" s="1134">
        <v>0</v>
      </c>
      <c r="F162" s="1133">
        <v>0.69848007999999995</v>
      </c>
      <c r="G162" s="1133">
        <v>0.67813599999999996</v>
      </c>
      <c r="H162" s="1135">
        <f t="shared" si="22"/>
        <v>0.46551991999999998</v>
      </c>
      <c r="J162" s="1136">
        <v>5.5878406399999997E-2</v>
      </c>
      <c r="K162" s="1135">
        <f t="shared" si="23"/>
        <v>0.40964151360000001</v>
      </c>
      <c r="M162" s="106">
        <f t="shared" si="25"/>
        <v>0.54303294916839695</v>
      </c>
      <c r="N162" s="1133">
        <v>1.4560172885495732</v>
      </c>
      <c r="O162" s="109">
        <f t="shared" si="26"/>
        <v>0</v>
      </c>
      <c r="P162" s="1137">
        <f t="shared" si="24"/>
        <v>0</v>
      </c>
      <c r="Q162" s="1131"/>
    </row>
    <row r="163" spans="2:17">
      <c r="B163" s="1132" t="s">
        <v>973</v>
      </c>
      <c r="C163" s="1133">
        <v>0.55232798758085089</v>
      </c>
      <c r="D163" s="1134">
        <v>0</v>
      </c>
      <c r="E163" s="1134">
        <v>0</v>
      </c>
      <c r="F163" s="1133">
        <v>0.48179692000000002</v>
      </c>
      <c r="G163" s="1133">
        <v>0.46776400000000001</v>
      </c>
      <c r="H163" s="1135">
        <f>+C163+D163-E163-F163</f>
        <v>7.053106758085087E-2</v>
      </c>
      <c r="J163" s="1136">
        <v>3.9702956897017951E-2</v>
      </c>
      <c r="K163" s="1135">
        <f>+H163-J163</f>
        <v>3.082811068383292E-2</v>
      </c>
      <c r="M163" s="106">
        <f>+IF(ISERROR(K163/(F163+J163)),0,K163/(F163+J163))</f>
        <v>5.9114320155286698E-2</v>
      </c>
      <c r="N163" s="1133">
        <v>0.85782040461992581</v>
      </c>
      <c r="O163" s="109">
        <f t="shared" si="26"/>
        <v>0</v>
      </c>
      <c r="P163" s="1137">
        <f>(M163^2*O163)*100</f>
        <v>0</v>
      </c>
      <c r="Q163" s="1131"/>
    </row>
    <row r="164" spans="2:17">
      <c r="B164" s="1132" t="s">
        <v>974</v>
      </c>
      <c r="C164" s="1133">
        <v>0.95449580157710834</v>
      </c>
      <c r="D164" s="1134">
        <v>0</v>
      </c>
      <c r="E164" s="1134">
        <v>0</v>
      </c>
      <c r="F164" s="1133">
        <v>0.92217753999999996</v>
      </c>
      <c r="G164" s="1133">
        <v>0.89531799999999995</v>
      </c>
      <c r="H164" s="1135">
        <f t="shared" ref="H164:H187" si="27">+C164+D164-E164-F164</f>
        <v>3.2318261577108376E-2</v>
      </c>
      <c r="J164" s="1136">
        <v>7.3774203199999999E-2</v>
      </c>
      <c r="K164" s="1135">
        <f t="shared" ref="K164:K187" si="28">+H164-J164</f>
        <v>-4.1455941622891623E-2</v>
      </c>
      <c r="M164" s="106">
        <f>+IF(ISERROR(K164/(F164+J164)),0,K164/(F164+J164))</f>
        <v>-4.1624448077869101E-2</v>
      </c>
      <c r="N164" s="1133">
        <v>1.4803095477954471</v>
      </c>
      <c r="O164" s="109">
        <f t="shared" si="26"/>
        <v>2.7666738113434465E-4</v>
      </c>
      <c r="P164" s="1137">
        <f t="shared" ref="P164:P187" si="29">(M164^2*O164)*100</f>
        <v>4.7935243207069407E-5</v>
      </c>
      <c r="Q164" s="1131"/>
    </row>
    <row r="165" spans="2:17">
      <c r="B165" s="1132" t="s">
        <v>975</v>
      </c>
      <c r="C165" s="1133">
        <v>0.86565000000000003</v>
      </c>
      <c r="D165" s="1134">
        <v>0</v>
      </c>
      <c r="E165" s="1134">
        <v>0</v>
      </c>
      <c r="F165" s="1133">
        <v>0.77349807000000004</v>
      </c>
      <c r="G165" s="1133">
        <v>0.750969</v>
      </c>
      <c r="H165" s="1135">
        <f t="shared" si="27"/>
        <v>9.2151929999999993E-2</v>
      </c>
      <c r="J165" s="1136">
        <v>6.1879845600000004E-2</v>
      </c>
      <c r="K165" s="1135">
        <f t="shared" si="28"/>
        <v>3.0272084399999989E-2</v>
      </c>
      <c r="M165" s="106">
        <f t="shared" ref="M165:M187" si="30">+IF(ISERROR(K165/(F165+J165)),0,K165/(F165+J165))</f>
        <v>3.6237592393446781E-2</v>
      </c>
      <c r="N165" s="1133">
        <v>1.6531707750499731</v>
      </c>
      <c r="O165" s="109">
        <f t="shared" si="26"/>
        <v>0</v>
      </c>
      <c r="P165" s="1137">
        <f t="shared" si="29"/>
        <v>0</v>
      </c>
      <c r="Q165" s="1131"/>
    </row>
    <row r="166" spans="2:17">
      <c r="B166" s="1132" t="s">
        <v>976</v>
      </c>
      <c r="C166" s="1133">
        <v>10.190761232294737</v>
      </c>
      <c r="D166" s="1134">
        <v>0</v>
      </c>
      <c r="E166" s="1134">
        <v>0</v>
      </c>
      <c r="F166" s="1133">
        <v>7.0029741200000002</v>
      </c>
      <c r="G166" s="1133">
        <v>6.799004</v>
      </c>
      <c r="H166" s="1135">
        <f t="shared" si="27"/>
        <v>3.1877871122947363</v>
      </c>
      <c r="J166" s="1136">
        <v>0.56023792960000007</v>
      </c>
      <c r="K166" s="1135">
        <f t="shared" si="28"/>
        <v>2.6275491826947364</v>
      </c>
      <c r="M166" s="106">
        <f t="shared" si="30"/>
        <v>0.34741180935601307</v>
      </c>
      <c r="N166" s="1133">
        <v>10.768146383407066</v>
      </c>
      <c r="O166" s="109">
        <f t="shared" si="26"/>
        <v>0</v>
      </c>
      <c r="P166" s="1137">
        <f t="shared" si="29"/>
        <v>0</v>
      </c>
      <c r="Q166" s="1131"/>
    </row>
    <row r="167" spans="2:17">
      <c r="B167" s="1132" t="s">
        <v>977</v>
      </c>
      <c r="C167" s="1133">
        <v>3.474548831672251</v>
      </c>
      <c r="D167" s="1134">
        <v>0</v>
      </c>
      <c r="E167" s="1134">
        <v>0</v>
      </c>
      <c r="F167" s="1133">
        <v>3.75319022</v>
      </c>
      <c r="G167" s="1133">
        <v>3.6438739999999998</v>
      </c>
      <c r="H167" s="1135">
        <f t="shared" si="27"/>
        <v>-0.27864138832774898</v>
      </c>
      <c r="J167" s="1136">
        <v>0.30025521760000001</v>
      </c>
      <c r="K167" s="1135">
        <f t="shared" si="28"/>
        <v>-0.57889660592774894</v>
      </c>
      <c r="M167" s="106">
        <f t="shared" si="30"/>
        <v>-0.14281593642728474</v>
      </c>
      <c r="N167" s="1133">
        <v>5.2218733776364701</v>
      </c>
      <c r="O167" s="109">
        <f t="shared" si="26"/>
        <v>9.7595940940689802E-4</v>
      </c>
      <c r="P167" s="1137">
        <f t="shared" si="29"/>
        <v>1.9906050395223636E-3</v>
      </c>
      <c r="Q167" s="1131"/>
    </row>
    <row r="168" spans="2:17">
      <c r="B168" s="1132" t="s">
        <v>978</v>
      </c>
      <c r="C168" s="1133">
        <v>0.18905</v>
      </c>
      <c r="D168" s="1134">
        <v>0</v>
      </c>
      <c r="E168" s="1134">
        <v>0</v>
      </c>
      <c r="F168" s="1133">
        <v>0.11440828</v>
      </c>
      <c r="G168" s="1133">
        <v>0.11107599999999999</v>
      </c>
      <c r="H168" s="1135">
        <f t="shared" si="27"/>
        <v>7.4641719999999995E-2</v>
      </c>
      <c r="J168" s="1136">
        <v>9.1526624000000008E-3</v>
      </c>
      <c r="K168" s="1135">
        <f t="shared" si="28"/>
        <v>6.5489057599999997E-2</v>
      </c>
      <c r="M168" s="106">
        <f t="shared" si="30"/>
        <v>0.53001422883288074</v>
      </c>
      <c r="N168" s="1133">
        <v>0.31234579893214726</v>
      </c>
      <c r="O168" s="109">
        <f t="shared" si="26"/>
        <v>0</v>
      </c>
      <c r="P168" s="1137">
        <f t="shared" si="29"/>
        <v>0</v>
      </c>
      <c r="Q168" s="1131"/>
    </row>
    <row r="169" spans="2:17">
      <c r="B169" s="1132" t="s">
        <v>979</v>
      </c>
      <c r="C169" s="1133">
        <v>2.8100593611164641</v>
      </c>
      <c r="D169" s="1134">
        <v>0</v>
      </c>
      <c r="E169" s="1134">
        <v>0</v>
      </c>
      <c r="F169" s="1133">
        <v>2.8715771700000001</v>
      </c>
      <c r="G169" s="1133">
        <v>2.7879390000000002</v>
      </c>
      <c r="H169" s="1135">
        <f t="shared" si="27"/>
        <v>-6.1517808883535974E-2</v>
      </c>
      <c r="J169" s="1136">
        <v>0.63657199665083908</v>
      </c>
      <c r="K169" s="1135">
        <f t="shared" si="28"/>
        <v>-0.69808980553437505</v>
      </c>
      <c r="M169" s="106">
        <f t="shared" si="30"/>
        <v>-0.19899091297786164</v>
      </c>
      <c r="N169" s="1133">
        <v>6.9099504086184655</v>
      </c>
      <c r="O169" s="109">
        <f t="shared" si="26"/>
        <v>1.2914581860042403E-3</v>
      </c>
      <c r="P169" s="1137">
        <f t="shared" si="29"/>
        <v>5.113836499796221E-3</v>
      </c>
      <c r="Q169" s="1131"/>
    </row>
    <row r="170" spans="2:17">
      <c r="B170" s="1132" t="s">
        <v>980</v>
      </c>
      <c r="C170" s="1133">
        <v>9.873794889034782</v>
      </c>
      <c r="D170" s="1134">
        <v>0</v>
      </c>
      <c r="E170" s="1134">
        <v>0</v>
      </c>
      <c r="F170" s="1133">
        <v>8.2651536300000004</v>
      </c>
      <c r="G170" s="1133">
        <v>8.0244210000000002</v>
      </c>
      <c r="H170" s="1135">
        <f t="shared" si="27"/>
        <v>1.6086412590347816</v>
      </c>
      <c r="J170" s="1136">
        <v>0.66121229040000007</v>
      </c>
      <c r="K170" s="1135">
        <f t="shared" si="28"/>
        <v>0.94742896863478154</v>
      </c>
      <c r="M170" s="106">
        <f t="shared" si="30"/>
        <v>0.10613826243326649</v>
      </c>
      <c r="N170" s="1133">
        <v>12.771245387568648</v>
      </c>
      <c r="O170" s="109">
        <f t="shared" si="26"/>
        <v>0</v>
      </c>
      <c r="P170" s="1137">
        <f t="shared" si="29"/>
        <v>0</v>
      </c>
      <c r="Q170" s="1131"/>
    </row>
    <row r="171" spans="2:17">
      <c r="B171" s="1132" t="s">
        <v>981</v>
      </c>
      <c r="C171" s="1133">
        <v>0.60097999999999996</v>
      </c>
      <c r="D171" s="1134">
        <v>0</v>
      </c>
      <c r="E171" s="1134">
        <v>0</v>
      </c>
      <c r="F171" s="1133">
        <v>0.53061685999999997</v>
      </c>
      <c r="G171" s="1133">
        <v>0.51516200000000001</v>
      </c>
      <c r="H171" s="1135">
        <f t="shared" si="27"/>
        <v>7.0363139999999991E-2</v>
      </c>
      <c r="J171" s="1136">
        <v>4.2449348800000002E-2</v>
      </c>
      <c r="K171" s="1135">
        <f t="shared" si="28"/>
        <v>2.7913791199999989E-2</v>
      </c>
      <c r="M171" s="106">
        <f t="shared" si="30"/>
        <v>4.8709539615765234E-2</v>
      </c>
      <c r="N171" s="1133">
        <v>1.0533348070350139</v>
      </c>
      <c r="O171" s="109">
        <f t="shared" si="26"/>
        <v>0</v>
      </c>
      <c r="P171" s="1137">
        <f t="shared" si="29"/>
        <v>0</v>
      </c>
      <c r="Q171" s="1131"/>
    </row>
    <row r="172" spans="2:17">
      <c r="B172" s="1132" t="s">
        <v>982</v>
      </c>
      <c r="C172" s="1133">
        <v>0.30845</v>
      </c>
      <c r="D172" s="1134">
        <v>0</v>
      </c>
      <c r="E172" s="1134">
        <v>0</v>
      </c>
      <c r="F172" s="1133">
        <v>0.23258841999999999</v>
      </c>
      <c r="G172" s="1133">
        <v>0.22581399999999999</v>
      </c>
      <c r="H172" s="1135">
        <f t="shared" si="27"/>
        <v>7.5861580000000012E-2</v>
      </c>
      <c r="J172" s="1136">
        <v>1.8607073599999999E-2</v>
      </c>
      <c r="K172" s="1135">
        <f t="shared" si="28"/>
        <v>5.7254506400000016E-2</v>
      </c>
      <c r="M172" s="106">
        <f t="shared" si="30"/>
        <v>0.22792807935946197</v>
      </c>
      <c r="N172" s="1133">
        <v>0.42218168427092434</v>
      </c>
      <c r="O172" s="109">
        <f t="shared" si="26"/>
        <v>0</v>
      </c>
      <c r="P172" s="1137">
        <f t="shared" si="29"/>
        <v>0</v>
      </c>
      <c r="Q172" s="1131"/>
    </row>
    <row r="173" spans="2:17">
      <c r="B173" s="1132" t="s">
        <v>983</v>
      </c>
      <c r="C173" s="1133">
        <v>1.0029305356157896</v>
      </c>
      <c r="D173" s="1134">
        <v>0</v>
      </c>
      <c r="E173" s="1134">
        <v>0</v>
      </c>
      <c r="F173" s="1133">
        <v>0.52639489000000006</v>
      </c>
      <c r="G173" s="1133">
        <v>0.51106300000000005</v>
      </c>
      <c r="H173" s="1135">
        <f t="shared" si="27"/>
        <v>0.47653564561578954</v>
      </c>
      <c r="J173" s="1136">
        <v>5.0074322370879151E-2</v>
      </c>
      <c r="K173" s="1135">
        <f t="shared" si="28"/>
        <v>0.42646132324491037</v>
      </c>
      <c r="M173" s="106">
        <f t="shared" si="30"/>
        <v>0.7397816120846723</v>
      </c>
      <c r="N173" s="1133">
        <v>0.96724887125184911</v>
      </c>
      <c r="O173" s="109">
        <f t="shared" si="26"/>
        <v>0</v>
      </c>
      <c r="P173" s="1137">
        <f t="shared" si="29"/>
        <v>0</v>
      </c>
      <c r="Q173" s="1131"/>
    </row>
    <row r="174" spans="2:17">
      <c r="B174" s="1132" t="s">
        <v>984</v>
      </c>
      <c r="C174" s="1133">
        <v>0.19900000000000001</v>
      </c>
      <c r="D174" s="1134">
        <v>0</v>
      </c>
      <c r="E174" s="1134">
        <v>0</v>
      </c>
      <c r="F174" s="1133">
        <v>0.18663291000000001</v>
      </c>
      <c r="G174" s="1133">
        <v>0.181197</v>
      </c>
      <c r="H174" s="1135">
        <f t="shared" si="27"/>
        <v>1.2367089999999997E-2</v>
      </c>
      <c r="J174" s="1136">
        <v>1.4930632800000001E-2</v>
      </c>
      <c r="K174" s="1135">
        <f t="shared" si="28"/>
        <v>-2.563542800000004E-3</v>
      </c>
      <c r="M174" s="106">
        <f t="shared" si="30"/>
        <v>-1.2718286076880782E-2</v>
      </c>
      <c r="N174" s="1133">
        <v>0.37340199414719044</v>
      </c>
      <c r="O174" s="109">
        <f t="shared" si="26"/>
        <v>6.9788208814093556E-5</v>
      </c>
      <c r="P174" s="1137">
        <f t="shared" si="29"/>
        <v>1.1288577810263185E-6</v>
      </c>
      <c r="Q174" s="1131"/>
    </row>
    <row r="175" spans="2:17">
      <c r="B175" s="1132" t="s">
        <v>985</v>
      </c>
      <c r="C175" s="1133">
        <v>2.5869999999999997E-2</v>
      </c>
      <c r="D175" s="1134">
        <v>0</v>
      </c>
      <c r="E175" s="1134">
        <v>0</v>
      </c>
      <c r="F175" s="1133">
        <v>1.868626E-2</v>
      </c>
      <c r="G175" s="1133">
        <v>1.8141999999999998E-2</v>
      </c>
      <c r="H175" s="1135">
        <f t="shared" si="27"/>
        <v>7.1837399999999975E-3</v>
      </c>
      <c r="J175" s="1136">
        <v>1.4949008E-3</v>
      </c>
      <c r="K175" s="1135">
        <f t="shared" si="28"/>
        <v>5.6888391999999977E-3</v>
      </c>
      <c r="M175" s="106">
        <f t="shared" si="30"/>
        <v>0.28188860176962655</v>
      </c>
      <c r="N175" s="1133">
        <v>3.7307209751798E-2</v>
      </c>
      <c r="O175" s="109">
        <f t="shared" si="26"/>
        <v>0</v>
      </c>
      <c r="P175" s="1137">
        <f t="shared" si="29"/>
        <v>0</v>
      </c>
      <c r="Q175" s="1131"/>
    </row>
    <row r="176" spans="2:17">
      <c r="B176" s="1132" t="s">
        <v>986</v>
      </c>
      <c r="C176" s="1133">
        <v>6.905786795610525</v>
      </c>
      <c r="D176" s="1134">
        <v>0</v>
      </c>
      <c r="E176" s="1134">
        <v>0</v>
      </c>
      <c r="F176" s="1133">
        <v>6.7671762200000005</v>
      </c>
      <c r="G176" s="1133">
        <v>6.570074</v>
      </c>
      <c r="H176" s="1135">
        <f t="shared" si="27"/>
        <v>0.13861057561052448</v>
      </c>
      <c r="J176" s="1136">
        <v>0.5413740976000001</v>
      </c>
      <c r="K176" s="1135">
        <f t="shared" si="28"/>
        <v>-0.40276352198947563</v>
      </c>
      <c r="M176" s="106">
        <f t="shared" si="30"/>
        <v>-5.510853787509204E-2</v>
      </c>
      <c r="N176" s="1133">
        <v>13.428302707712934</v>
      </c>
      <c r="O176" s="109">
        <f t="shared" si="26"/>
        <v>2.5097273396331144E-3</v>
      </c>
      <c r="P176" s="1137">
        <f t="shared" si="29"/>
        <v>7.6219188201340899E-4</v>
      </c>
      <c r="Q176" s="1131"/>
    </row>
    <row r="177" spans="2:17">
      <c r="B177" s="1132" t="s">
        <v>987</v>
      </c>
      <c r="C177" s="1133">
        <v>3.98E-3</v>
      </c>
      <c r="D177" s="1134">
        <v>0</v>
      </c>
      <c r="E177" s="1134">
        <v>0</v>
      </c>
      <c r="F177" s="1133">
        <v>3.5143600000000002E-3</v>
      </c>
      <c r="G177" s="1133">
        <v>3.4120000000000001E-3</v>
      </c>
      <c r="H177" s="1135">
        <f t="shared" si="27"/>
        <v>4.656399999999998E-4</v>
      </c>
      <c r="J177" s="1136">
        <v>2.811488E-4</v>
      </c>
      <c r="K177" s="1135">
        <f t="shared" si="28"/>
        <v>1.844911999999998E-4</v>
      </c>
      <c r="M177" s="106">
        <f t="shared" si="30"/>
        <v>4.8607765051157249E-2</v>
      </c>
      <c r="N177" s="1133">
        <v>1.1335565580158621E-2</v>
      </c>
      <c r="O177" s="109">
        <f t="shared" si="26"/>
        <v>0</v>
      </c>
      <c r="P177" s="1137">
        <f t="shared" si="29"/>
        <v>0</v>
      </c>
      <c r="Q177" s="1131"/>
    </row>
    <row r="178" spans="2:17">
      <c r="B178" s="1132" t="s">
        <v>988</v>
      </c>
      <c r="C178" s="1133">
        <v>0.14266502256111113</v>
      </c>
      <c r="D178" s="1134">
        <v>0</v>
      </c>
      <c r="E178" s="1134">
        <v>0</v>
      </c>
      <c r="F178" s="1133">
        <v>0.19702046000000001</v>
      </c>
      <c r="G178" s="1133">
        <v>0.19128200000000001</v>
      </c>
      <c r="H178" s="1135">
        <f t="shared" si="27"/>
        <v>-5.4355437438888876E-2</v>
      </c>
      <c r="J178" s="1136">
        <v>1.6679144866960833E-2</v>
      </c>
      <c r="K178" s="1135">
        <f t="shared" si="28"/>
        <v>-7.1034582305849706E-2</v>
      </c>
      <c r="M178" s="106">
        <f t="shared" si="30"/>
        <v>-0.33240390102767126</v>
      </c>
      <c r="N178" s="1133">
        <v>0.37484863131568463</v>
      </c>
      <c r="O178" s="109">
        <f t="shared" si="26"/>
        <v>7.005858288379738E-5</v>
      </c>
      <c r="P178" s="1137">
        <f t="shared" si="29"/>
        <v>7.740937699989781E-4</v>
      </c>
      <c r="Q178" s="1131"/>
    </row>
    <row r="179" spans="2:17">
      <c r="B179" s="1132" t="s">
        <v>989</v>
      </c>
      <c r="C179" s="1133">
        <v>13.871</v>
      </c>
      <c r="D179" s="1134">
        <v>0</v>
      </c>
      <c r="E179" s="1134">
        <v>0</v>
      </c>
      <c r="F179" s="1133">
        <v>9.4855038100000009</v>
      </c>
      <c r="G179" s="1133">
        <v>9.2092270000000003</v>
      </c>
      <c r="H179" s="1135">
        <f t="shared" si="27"/>
        <v>4.3854961899999996</v>
      </c>
      <c r="J179" s="1136">
        <v>2.6686847407587622</v>
      </c>
      <c r="K179" s="1135">
        <f t="shared" si="28"/>
        <v>1.7168114492412374</v>
      </c>
      <c r="M179" s="106">
        <f t="shared" si="30"/>
        <v>0.14125265887322935</v>
      </c>
      <c r="N179" s="1133">
        <v>19.492369952116569</v>
      </c>
      <c r="O179" s="109">
        <f t="shared" si="26"/>
        <v>0</v>
      </c>
      <c r="P179" s="1137">
        <f t="shared" si="29"/>
        <v>0</v>
      </c>
      <c r="Q179" s="1131"/>
    </row>
    <row r="180" spans="2:17">
      <c r="B180" s="1132" t="s">
        <v>990</v>
      </c>
      <c r="C180" s="1133">
        <v>225.80074507378833</v>
      </c>
      <c r="D180" s="1134">
        <v>0</v>
      </c>
      <c r="E180" s="1134">
        <v>0</v>
      </c>
      <c r="F180" s="1133">
        <v>192.55564278</v>
      </c>
      <c r="G180" s="1133">
        <v>186.947226</v>
      </c>
      <c r="H180" s="1135">
        <f t="shared" si="27"/>
        <v>33.245102293788335</v>
      </c>
      <c r="J180" s="1136">
        <v>15.926355660097768</v>
      </c>
      <c r="K180" s="1135">
        <f t="shared" si="28"/>
        <v>17.318746633690566</v>
      </c>
      <c r="M180" s="106">
        <f t="shared" si="30"/>
        <v>8.3070705208472415E-2</v>
      </c>
      <c r="N180" s="1133">
        <v>729.47394211002882</v>
      </c>
      <c r="O180" s="109">
        <f t="shared" si="26"/>
        <v>0</v>
      </c>
      <c r="P180" s="1137">
        <f t="shared" si="29"/>
        <v>0</v>
      </c>
      <c r="Q180" s="1131"/>
    </row>
    <row r="181" spans="2:17">
      <c r="B181" s="1132" t="s">
        <v>991</v>
      </c>
      <c r="C181" s="1133">
        <v>624.21310599999993</v>
      </c>
      <c r="D181" s="1134">
        <v>0</v>
      </c>
      <c r="E181" s="1134">
        <v>0</v>
      </c>
      <c r="F181" s="1133">
        <v>411.51198497000001</v>
      </c>
      <c r="G181" s="1133">
        <v>399.52619900000002</v>
      </c>
      <c r="H181" s="1135">
        <f t="shared" si="27"/>
        <v>212.70112102999991</v>
      </c>
      <c r="J181" s="1136">
        <v>32.920958797600001</v>
      </c>
      <c r="K181" s="1135">
        <f t="shared" si="28"/>
        <v>179.7801622323999</v>
      </c>
      <c r="M181" s="106">
        <f t="shared" si="30"/>
        <v>0.40451583248610251</v>
      </c>
      <c r="N181" s="1133">
        <v>1303.0578526212225</v>
      </c>
      <c r="O181" s="109">
        <f t="shared" si="26"/>
        <v>0</v>
      </c>
      <c r="P181" s="1137">
        <f t="shared" si="29"/>
        <v>0</v>
      </c>
      <c r="Q181" s="1131"/>
    </row>
    <row r="182" spans="2:17">
      <c r="B182" s="1132" t="s">
        <v>992</v>
      </c>
      <c r="C182" s="1133">
        <v>9.3604845043408176</v>
      </c>
      <c r="D182" s="1134">
        <v>0</v>
      </c>
      <c r="E182" s="1134">
        <v>0</v>
      </c>
      <c r="F182" s="1133">
        <v>8.8115912899999991</v>
      </c>
      <c r="G182" s="1133">
        <v>8.5549429999999997</v>
      </c>
      <c r="H182" s="1135">
        <f t="shared" si="27"/>
        <v>0.5488932143408185</v>
      </c>
      <c r="J182" s="1136">
        <v>0.80911540393951076</v>
      </c>
      <c r="K182" s="1135">
        <f t="shared" si="28"/>
        <v>-0.26022218959869226</v>
      </c>
      <c r="M182" s="106">
        <f t="shared" si="30"/>
        <v>-2.7048136678214835E-2</v>
      </c>
      <c r="N182" s="1133">
        <v>34.887784663302128</v>
      </c>
      <c r="O182" s="109">
        <f t="shared" si="26"/>
        <v>6.5204686619426801E-3</v>
      </c>
      <c r="P182" s="1137">
        <f t="shared" si="29"/>
        <v>4.770385943290249E-4</v>
      </c>
      <c r="Q182" s="1131"/>
    </row>
    <row r="183" spans="2:17">
      <c r="B183" s="1132" t="s">
        <v>993</v>
      </c>
      <c r="C183" s="1133">
        <v>22.310518909220406</v>
      </c>
      <c r="D183" s="1134">
        <v>0</v>
      </c>
      <c r="E183" s="1134">
        <v>0</v>
      </c>
      <c r="F183" s="1133">
        <v>11.72418306</v>
      </c>
      <c r="G183" s="1133">
        <v>11.382702</v>
      </c>
      <c r="H183" s="1135">
        <f t="shared" si="27"/>
        <v>10.586335849220406</v>
      </c>
      <c r="J183" s="1136">
        <v>1.0034855607384914</v>
      </c>
      <c r="K183" s="1135">
        <f t="shared" si="28"/>
        <v>9.5828502884819144</v>
      </c>
      <c r="M183" s="106">
        <f t="shared" si="30"/>
        <v>0.75291481684772943</v>
      </c>
      <c r="N183" s="1133">
        <v>49.591012738273157</v>
      </c>
      <c r="O183" s="109">
        <f t="shared" si="26"/>
        <v>0</v>
      </c>
      <c r="P183" s="1137">
        <f t="shared" si="29"/>
        <v>0</v>
      </c>
      <c r="Q183" s="1131"/>
    </row>
    <row r="184" spans="2:17">
      <c r="B184" s="1132" t="s">
        <v>994</v>
      </c>
      <c r="C184" s="1133">
        <v>22.795000000000002</v>
      </c>
      <c r="D184" s="1134">
        <v>0</v>
      </c>
      <c r="E184" s="1134">
        <v>0</v>
      </c>
      <c r="F184" s="1133">
        <v>15.661245790000001</v>
      </c>
      <c r="G184" s="1133">
        <v>15.205093</v>
      </c>
      <c r="H184" s="1135">
        <f t="shared" si="27"/>
        <v>7.1337542100000011</v>
      </c>
      <c r="J184" s="1136">
        <v>1.5498528709703898</v>
      </c>
      <c r="K184" s="1135">
        <f t="shared" si="28"/>
        <v>5.5839013390296115</v>
      </c>
      <c r="M184" s="106">
        <f t="shared" si="30"/>
        <v>0.32443607749993469</v>
      </c>
      <c r="N184" s="1133">
        <v>50.412683836291016</v>
      </c>
      <c r="O184" s="109">
        <f t="shared" si="26"/>
        <v>0</v>
      </c>
      <c r="P184" s="1137">
        <f t="shared" si="29"/>
        <v>0</v>
      </c>
      <c r="Q184" s="1131"/>
    </row>
    <row r="185" spans="2:17">
      <c r="B185" s="1132" t="s">
        <v>995</v>
      </c>
      <c r="C185" s="1133">
        <v>1.8717994826530611E-3</v>
      </c>
      <c r="D185" s="1134">
        <v>0</v>
      </c>
      <c r="E185" s="1134">
        <v>0</v>
      </c>
      <c r="F185" s="1133">
        <v>9.3318000000000003E-4</v>
      </c>
      <c r="G185" s="1133">
        <v>9.0600000000000001E-4</v>
      </c>
      <c r="H185" s="1135">
        <f t="shared" si="27"/>
        <v>9.3861948265306109E-4</v>
      </c>
      <c r="J185" s="1136">
        <v>7.4654400000000008E-5</v>
      </c>
      <c r="K185" s="1135">
        <f t="shared" si="28"/>
        <v>8.6396508265306111E-4</v>
      </c>
      <c r="M185" s="106">
        <f t="shared" si="30"/>
        <v>0.85724905069033264</v>
      </c>
      <c r="N185" s="1133">
        <v>1.5182662028671251E-3</v>
      </c>
      <c r="O185" s="109">
        <f t="shared" si="26"/>
        <v>0</v>
      </c>
      <c r="P185" s="1137">
        <f t="shared" si="29"/>
        <v>0</v>
      </c>
      <c r="Q185" s="1131"/>
    </row>
    <row r="186" spans="2:17">
      <c r="B186" s="1132" t="s">
        <v>996</v>
      </c>
      <c r="C186" s="1133">
        <v>1.4924999999999999E-2</v>
      </c>
      <c r="D186" s="1134">
        <v>0</v>
      </c>
      <c r="E186" s="1134">
        <v>0</v>
      </c>
      <c r="F186" s="1133">
        <v>7.8207899999999993E-3</v>
      </c>
      <c r="G186" s="1133">
        <v>7.5929999999999999E-3</v>
      </c>
      <c r="H186" s="1135">
        <f t="shared" si="27"/>
        <v>7.1042099999999997E-3</v>
      </c>
      <c r="J186" s="1136">
        <v>6.256632E-4</v>
      </c>
      <c r="K186" s="1135">
        <f t="shared" si="28"/>
        <v>6.4785467999999994E-3</v>
      </c>
      <c r="M186" s="106">
        <f t="shared" si="30"/>
        <v>0.76701387512571551</v>
      </c>
      <c r="N186" s="1133">
        <v>3.3401856463076751E-2</v>
      </c>
      <c r="O186" s="109">
        <f t="shared" si="26"/>
        <v>0</v>
      </c>
      <c r="P186" s="1137">
        <f t="shared" si="29"/>
        <v>0</v>
      </c>
      <c r="Q186" s="1131"/>
    </row>
    <row r="187" spans="2:17">
      <c r="B187" s="1132" t="s">
        <v>997</v>
      </c>
      <c r="C187" s="1133">
        <v>3.8768432242424237E-3</v>
      </c>
      <c r="D187" s="1134">
        <v>0</v>
      </c>
      <c r="E187" s="1134">
        <v>0</v>
      </c>
      <c r="F187" s="1133">
        <v>9.2370400000000002E-3</v>
      </c>
      <c r="G187" s="1133">
        <v>8.9680000000000003E-3</v>
      </c>
      <c r="H187" s="1135">
        <f t="shared" si="27"/>
        <v>-5.3601967757575765E-3</v>
      </c>
      <c r="J187" s="1136">
        <v>7.3896319999999999E-4</v>
      </c>
      <c r="K187" s="1135">
        <f t="shared" si="28"/>
        <v>-6.0991599757575761E-3</v>
      </c>
      <c r="M187" s="106">
        <f t="shared" si="30"/>
        <v>-0.61138312142457774</v>
      </c>
      <c r="N187" s="1133">
        <v>2.2671131160317243E-2</v>
      </c>
      <c r="O187" s="109">
        <f t="shared" si="26"/>
        <v>4.2371965342109233E-6</v>
      </c>
      <c r="P187" s="1137">
        <f t="shared" si="29"/>
        <v>1.5838188161563241E-4</v>
      </c>
      <c r="Q187" s="1131"/>
    </row>
    <row r="188" spans="2:17">
      <c r="B188" s="1132" t="s">
        <v>998</v>
      </c>
      <c r="C188" s="1133">
        <v>18.268005904680852</v>
      </c>
      <c r="D188" s="1134">
        <v>0</v>
      </c>
      <c r="E188" s="1134">
        <v>0</v>
      </c>
      <c r="F188" s="1133">
        <v>16.414608390000001</v>
      </c>
      <c r="G188" s="1133">
        <v>15.936513</v>
      </c>
      <c r="H188" s="1135">
        <f>+C188+D188-E188-F188</f>
        <v>1.8533975146808501</v>
      </c>
      <c r="J188" s="1136">
        <v>1.4820302400930345</v>
      </c>
      <c r="K188" s="1135">
        <f>+H188-J188</f>
        <v>0.3713672745878156</v>
      </c>
      <c r="M188" s="106">
        <f>+IF(ISERROR(K188/(F188+J188)),0,K188/(F188+J188))</f>
        <v>2.0750671802880618E-2</v>
      </c>
      <c r="N188" s="1133">
        <v>37.840311136462503</v>
      </c>
      <c r="O188" s="109">
        <f t="shared" si="26"/>
        <v>0</v>
      </c>
      <c r="P188" s="1137">
        <f>(M188^2*O188)*100</f>
        <v>0</v>
      </c>
      <c r="Q188" s="1131"/>
    </row>
    <row r="189" spans="2:17">
      <c r="B189" s="1132" t="s">
        <v>999</v>
      </c>
      <c r="C189" s="1133">
        <v>88.105710408571426</v>
      </c>
      <c r="D189" s="1134">
        <v>0</v>
      </c>
      <c r="E189" s="1134">
        <v>0</v>
      </c>
      <c r="F189" s="1133">
        <v>81.120889349999999</v>
      </c>
      <c r="G189" s="1133">
        <v>78.758144999999999</v>
      </c>
      <c r="H189" s="1135">
        <f t="shared" ref="H189:H212" si="31">+C189+D189-E189-F189</f>
        <v>6.984821058571427</v>
      </c>
      <c r="J189" s="1136">
        <v>7.3241839380818137</v>
      </c>
      <c r="K189" s="1135">
        <f t="shared" ref="K189:K212" si="32">+H189-J189</f>
        <v>-0.33936287951038668</v>
      </c>
      <c r="M189" s="106">
        <f>+IF(ISERROR(K189/(F189+J189)),0,K189/(F189+J189))</f>
        <v>-3.8369902007432295E-3</v>
      </c>
      <c r="N189" s="1133">
        <v>206.30542773566557</v>
      </c>
      <c r="O189" s="109">
        <f t="shared" si="26"/>
        <v>3.8558139742076808E-2</v>
      </c>
      <c r="P189" s="1137">
        <f t="shared" ref="P189:P212" si="33">(M189^2*O189)*100</f>
        <v>5.6767197331537762E-5</v>
      </c>
      <c r="Q189" s="1131"/>
    </row>
    <row r="190" spans="2:17">
      <c r="B190" s="1132" t="s">
        <v>1000</v>
      </c>
      <c r="C190" s="1133">
        <v>4.9684113081632653</v>
      </c>
      <c r="D190" s="1134">
        <v>0</v>
      </c>
      <c r="E190" s="1134">
        <v>0</v>
      </c>
      <c r="F190" s="1133">
        <v>4.7069248999999997</v>
      </c>
      <c r="G190" s="1133">
        <v>4.5698299999999996</v>
      </c>
      <c r="H190" s="1135">
        <f t="shared" si="31"/>
        <v>0.26148640816326552</v>
      </c>
      <c r="J190" s="1136">
        <v>0.42497541664756594</v>
      </c>
      <c r="K190" s="1135">
        <f t="shared" si="32"/>
        <v>-0.16348900848430042</v>
      </c>
      <c r="M190" s="106">
        <f t="shared" ref="M190:M212" si="34">+IF(ISERROR(K190/(F190+J190)),0,K190/(F190+J190))</f>
        <v>-3.1857401429632649E-2</v>
      </c>
      <c r="N190" s="1133">
        <v>8.4294647328487589</v>
      </c>
      <c r="O190" s="109">
        <f t="shared" si="26"/>
        <v>1.575452874349661E-3</v>
      </c>
      <c r="P190" s="1137">
        <f t="shared" si="33"/>
        <v>1.5989177101837285E-4</v>
      </c>
      <c r="Q190" s="1131"/>
    </row>
    <row r="191" spans="2:17">
      <c r="B191" s="1132" t="s">
        <v>1001</v>
      </c>
      <c r="C191" s="1133">
        <v>51.696665591898871</v>
      </c>
      <c r="D191" s="1134">
        <v>0</v>
      </c>
      <c r="E191" s="1134">
        <v>0</v>
      </c>
      <c r="F191" s="1133">
        <v>48.429378419999999</v>
      </c>
      <c r="G191" s="1133">
        <v>47.018813999999999</v>
      </c>
      <c r="H191" s="1135">
        <f t="shared" si="31"/>
        <v>3.2672871718988716</v>
      </c>
      <c r="J191" s="1136">
        <v>4.3725565436623262</v>
      </c>
      <c r="K191" s="1135">
        <f t="shared" si="32"/>
        <v>-1.1052693717634545</v>
      </c>
      <c r="M191" s="106">
        <f t="shared" si="34"/>
        <v>-2.093236493177926E-2</v>
      </c>
      <c r="N191" s="1133">
        <v>119.58020785065303</v>
      </c>
      <c r="O191" s="109">
        <f t="shared" si="26"/>
        <v>2.2349341048844194E-2</v>
      </c>
      <c r="P191" s="1137">
        <f t="shared" si="33"/>
        <v>9.7926744729816034E-4</v>
      </c>
      <c r="Q191" s="1131"/>
    </row>
    <row r="192" spans="2:17">
      <c r="B192" s="1132" t="s">
        <v>1002</v>
      </c>
      <c r="C192" s="1133">
        <v>51.430376531020727</v>
      </c>
      <c r="D192" s="1134">
        <v>0</v>
      </c>
      <c r="E192" s="1134">
        <v>0</v>
      </c>
      <c r="F192" s="1133">
        <v>52.227996789999999</v>
      </c>
      <c r="G192" s="1133">
        <v>50.706792999999998</v>
      </c>
      <c r="H192" s="1135">
        <f t="shared" si="31"/>
        <v>-0.79762025897927202</v>
      </c>
      <c r="J192" s="1136">
        <v>4.1782397431999998</v>
      </c>
      <c r="K192" s="1135">
        <f t="shared" si="32"/>
        <v>-4.9758600021792718</v>
      </c>
      <c r="M192" s="106">
        <f t="shared" si="34"/>
        <v>-8.8214713620373225E-2</v>
      </c>
      <c r="N192" s="1133">
        <v>141.34059984897613</v>
      </c>
      <c r="O192" s="109">
        <f t="shared" si="26"/>
        <v>2.6416321955370584E-2</v>
      </c>
      <c r="P192" s="1137">
        <f t="shared" si="33"/>
        <v>2.0556747723186809E-2</v>
      </c>
      <c r="Q192" s="1131"/>
    </row>
    <row r="193" spans="2:17">
      <c r="B193" s="1132" t="s">
        <v>1003</v>
      </c>
      <c r="C193" s="1133">
        <v>16.782399999999999</v>
      </c>
      <c r="D193" s="1134">
        <v>0</v>
      </c>
      <c r="E193" s="1134">
        <v>0</v>
      </c>
      <c r="F193" s="1133">
        <v>15.43110259</v>
      </c>
      <c r="G193" s="1133">
        <v>14.981653</v>
      </c>
      <c r="H193" s="1135">
        <f t="shared" si="31"/>
        <v>1.351297409999999</v>
      </c>
      <c r="J193" s="1136">
        <v>1.2344882072000001</v>
      </c>
      <c r="K193" s="1135">
        <f t="shared" si="32"/>
        <v>0.11680920279999896</v>
      </c>
      <c r="M193" s="106">
        <f t="shared" si="34"/>
        <v>7.0090046144433218E-3</v>
      </c>
      <c r="N193" s="1133">
        <v>32.089021329767704</v>
      </c>
      <c r="O193" s="109">
        <f t="shared" si="26"/>
        <v>0</v>
      </c>
      <c r="P193" s="1137">
        <f t="shared" si="33"/>
        <v>0</v>
      </c>
      <c r="Q193" s="1131"/>
    </row>
    <row r="194" spans="2:17">
      <c r="B194" s="1132" t="s">
        <v>1004</v>
      </c>
      <c r="C194" s="1133">
        <v>9.8862353138061234</v>
      </c>
      <c r="D194" s="1134">
        <v>0</v>
      </c>
      <c r="E194" s="1134">
        <v>0</v>
      </c>
      <c r="F194" s="1133">
        <v>14.69302622</v>
      </c>
      <c r="G194" s="1133">
        <v>14.265074</v>
      </c>
      <c r="H194" s="1135">
        <f t="shared" si="31"/>
        <v>-4.8067909061938767</v>
      </c>
      <c r="J194" s="1136">
        <v>1.1754420976</v>
      </c>
      <c r="K194" s="1135">
        <f t="shared" si="32"/>
        <v>-5.9822330037938762</v>
      </c>
      <c r="M194" s="106">
        <f t="shared" si="34"/>
        <v>-0.37698868498599047</v>
      </c>
      <c r="N194" s="1133">
        <v>30.960304454754311</v>
      </c>
      <c r="O194" s="109">
        <f t="shared" si="26"/>
        <v>5.7864291731248695E-3</v>
      </c>
      <c r="P194" s="1137">
        <f t="shared" si="33"/>
        <v>8.2237002564842052E-2</v>
      </c>
      <c r="Q194" s="1131"/>
    </row>
    <row r="195" spans="2:17">
      <c r="B195" s="1132" t="s">
        <v>1005</v>
      </c>
      <c r="C195" s="1133">
        <v>9.0913109999999993</v>
      </c>
      <c r="D195" s="1134">
        <v>0</v>
      </c>
      <c r="E195" s="1134">
        <v>0</v>
      </c>
      <c r="F195" s="1133">
        <v>5.3076610700000009</v>
      </c>
      <c r="G195" s="1133">
        <v>5.1530690000000003</v>
      </c>
      <c r="H195" s="1135">
        <f t="shared" si="31"/>
        <v>3.7836499299999984</v>
      </c>
      <c r="J195" s="1136">
        <v>0.4246128856000001</v>
      </c>
      <c r="K195" s="1135">
        <f t="shared" si="32"/>
        <v>3.3590370443999982</v>
      </c>
      <c r="M195" s="106">
        <f t="shared" si="34"/>
        <v>0.58598683008136265</v>
      </c>
      <c r="N195" s="1133">
        <v>12.818806878062656</v>
      </c>
      <c r="O195" s="109">
        <f t="shared" si="26"/>
        <v>0</v>
      </c>
      <c r="P195" s="1137">
        <f t="shared" si="33"/>
        <v>0</v>
      </c>
      <c r="Q195" s="1131"/>
    </row>
    <row r="196" spans="2:17">
      <c r="B196" s="1132" t="s">
        <v>1006</v>
      </c>
      <c r="C196" s="1133">
        <v>4.2162318196999991</v>
      </c>
      <c r="D196" s="1134">
        <v>0</v>
      </c>
      <c r="E196" s="1134">
        <v>0</v>
      </c>
      <c r="F196" s="1133">
        <v>3.7946096100000002</v>
      </c>
      <c r="G196" s="1133">
        <v>3.6840869999999999</v>
      </c>
      <c r="H196" s="1135">
        <f t="shared" si="31"/>
        <v>0.42162220969999886</v>
      </c>
      <c r="J196" s="1136">
        <v>0.3035687688</v>
      </c>
      <c r="K196" s="1135">
        <f t="shared" si="32"/>
        <v>0.11805344089999886</v>
      </c>
      <c r="M196" s="106">
        <f t="shared" si="34"/>
        <v>2.8806320757215658E-2</v>
      </c>
      <c r="N196" s="1133">
        <v>4.853231370812936</v>
      </c>
      <c r="O196" s="109">
        <f t="shared" si="26"/>
        <v>0</v>
      </c>
      <c r="P196" s="1137">
        <f t="shared" si="33"/>
        <v>0</v>
      </c>
      <c r="Q196" s="1131"/>
    </row>
    <row r="197" spans="2:17">
      <c r="B197" s="1132" t="s">
        <v>1007</v>
      </c>
      <c r="C197" s="1133">
        <v>5.4320409999999999</v>
      </c>
      <c r="D197" s="1134">
        <v>0</v>
      </c>
      <c r="E197" s="1134">
        <v>0</v>
      </c>
      <c r="F197" s="1133">
        <v>5.3469926499999998</v>
      </c>
      <c r="G197" s="1133">
        <v>5.191255</v>
      </c>
      <c r="H197" s="1135">
        <f t="shared" si="31"/>
        <v>8.5048350000000106E-2</v>
      </c>
      <c r="J197" s="1136">
        <v>0.42775941200000001</v>
      </c>
      <c r="K197" s="1135">
        <f t="shared" si="32"/>
        <v>-0.3427110619999999</v>
      </c>
      <c r="M197" s="106">
        <f t="shared" si="34"/>
        <v>-5.9346454760398314E-2</v>
      </c>
      <c r="N197" s="1133">
        <v>12.458452009542109</v>
      </c>
      <c r="O197" s="109">
        <f t="shared" si="26"/>
        <v>2.3284638646026098E-3</v>
      </c>
      <c r="P197" s="1137">
        <f t="shared" si="33"/>
        <v>8.2008536723535347E-4</v>
      </c>
      <c r="Q197" s="1131"/>
    </row>
    <row r="198" spans="2:17">
      <c r="B198" s="1132" t="s">
        <v>1008</v>
      </c>
      <c r="C198" s="1133">
        <v>115.64860758064756</v>
      </c>
      <c r="D198" s="1134">
        <v>0</v>
      </c>
      <c r="E198" s="1134">
        <v>0</v>
      </c>
      <c r="F198" s="1133">
        <v>102.04025115</v>
      </c>
      <c r="G198" s="1133">
        <v>99.068205000000006</v>
      </c>
      <c r="H198" s="1135">
        <f t="shared" si="31"/>
        <v>13.608356430647561</v>
      </c>
      <c r="J198" s="1136">
        <v>8.1632200919999995</v>
      </c>
      <c r="K198" s="1135">
        <f t="shared" si="32"/>
        <v>5.4451363386475613</v>
      </c>
      <c r="M198" s="106">
        <f t="shared" si="34"/>
        <v>4.9409844148106542E-2</v>
      </c>
      <c r="N198" s="1133">
        <v>160.95081743237122</v>
      </c>
      <c r="O198" s="109">
        <f t="shared" si="26"/>
        <v>0</v>
      </c>
      <c r="P198" s="1137">
        <f t="shared" si="33"/>
        <v>0</v>
      </c>
      <c r="Q198" s="1131"/>
    </row>
    <row r="199" spans="2:17">
      <c r="B199" s="1132" t="s">
        <v>1009</v>
      </c>
      <c r="C199" s="1133">
        <v>62.704307400307478</v>
      </c>
      <c r="D199" s="1134">
        <v>0</v>
      </c>
      <c r="E199" s="1134">
        <v>0</v>
      </c>
      <c r="F199" s="1133">
        <v>68.64802195</v>
      </c>
      <c r="G199" s="1133">
        <v>66.648565000000005</v>
      </c>
      <c r="H199" s="1135">
        <f t="shared" si="31"/>
        <v>-5.9437145496925226</v>
      </c>
      <c r="J199" s="1136">
        <v>5.4918417560000004</v>
      </c>
      <c r="K199" s="1135">
        <f t="shared" si="32"/>
        <v>-11.435556305692522</v>
      </c>
      <c r="M199" s="106">
        <f t="shared" si="34"/>
        <v>-0.15424301764351725</v>
      </c>
      <c r="N199" s="1133">
        <v>175.56084826144158</v>
      </c>
      <c r="O199" s="109">
        <f t="shared" si="26"/>
        <v>3.2812029207372848E-2</v>
      </c>
      <c r="P199" s="1137">
        <f t="shared" si="33"/>
        <v>7.8062798430216671E-2</v>
      </c>
      <c r="Q199" s="1131"/>
    </row>
    <row r="200" spans="2:17">
      <c r="B200" s="1132" t="s">
        <v>1010</v>
      </c>
      <c r="C200" s="1133">
        <v>148.04572924685601</v>
      </c>
      <c r="D200" s="1134">
        <v>0</v>
      </c>
      <c r="E200" s="1134">
        <v>0</v>
      </c>
      <c r="F200" s="1133">
        <v>131.90580360999999</v>
      </c>
      <c r="G200" s="1133">
        <v>128.06388699999999</v>
      </c>
      <c r="H200" s="1135">
        <f t="shared" si="31"/>
        <v>16.13992563685602</v>
      </c>
      <c r="J200" s="1136">
        <v>10.852722205358493</v>
      </c>
      <c r="K200" s="1135">
        <f t="shared" si="32"/>
        <v>5.2872034314975274</v>
      </c>
      <c r="M200" s="106">
        <f t="shared" si="34"/>
        <v>3.7035990679365159E-2</v>
      </c>
      <c r="N200" s="1133">
        <v>383.54787997240538</v>
      </c>
      <c r="O200" s="109">
        <f t="shared" si="26"/>
        <v>0</v>
      </c>
      <c r="P200" s="1137">
        <f t="shared" si="33"/>
        <v>0</v>
      </c>
      <c r="Q200" s="1131"/>
    </row>
    <row r="201" spans="2:17">
      <c r="B201" s="1132" t="s">
        <v>1011</v>
      </c>
      <c r="C201" s="1133">
        <v>13.993</v>
      </c>
      <c r="D201" s="1134">
        <v>0</v>
      </c>
      <c r="E201" s="1134">
        <v>0</v>
      </c>
      <c r="F201" s="1133">
        <v>10.83975193</v>
      </c>
      <c r="G201" s="1133">
        <v>10.524031000000001</v>
      </c>
      <c r="H201" s="1135">
        <f t="shared" si="31"/>
        <v>3.1532480700000001</v>
      </c>
      <c r="J201" s="1136">
        <v>0.89185474218489991</v>
      </c>
      <c r="K201" s="1135">
        <f t="shared" si="32"/>
        <v>2.2613933278151004</v>
      </c>
      <c r="M201" s="106">
        <f t="shared" si="34"/>
        <v>0.19276075229974765</v>
      </c>
      <c r="N201" s="1133">
        <v>17.985919201128109</v>
      </c>
      <c r="O201" s="109">
        <f t="shared" si="26"/>
        <v>0</v>
      </c>
      <c r="P201" s="1137">
        <f t="shared" si="33"/>
        <v>0</v>
      </c>
      <c r="Q201" s="1131"/>
    </row>
    <row r="202" spans="2:17">
      <c r="B202" s="1132"/>
      <c r="C202" s="1133"/>
      <c r="D202" s="1134"/>
      <c r="E202" s="1134"/>
      <c r="F202" s="1133"/>
      <c r="G202" s="1133"/>
      <c r="H202" s="1135">
        <f t="shared" si="31"/>
        <v>0</v>
      </c>
      <c r="J202" s="1136"/>
      <c r="K202" s="1135">
        <f t="shared" si="32"/>
        <v>0</v>
      </c>
      <c r="M202" s="106">
        <f t="shared" si="34"/>
        <v>0</v>
      </c>
      <c r="N202" s="1133"/>
      <c r="O202" s="109">
        <f t="shared" si="26"/>
        <v>0</v>
      </c>
      <c r="P202" s="1137">
        <f t="shared" si="33"/>
        <v>0</v>
      </c>
      <c r="Q202" s="1131"/>
    </row>
    <row r="203" spans="2:17">
      <c r="B203" s="1132"/>
      <c r="C203" s="1133"/>
      <c r="D203" s="1134"/>
      <c r="E203" s="1134"/>
      <c r="F203" s="1133"/>
      <c r="G203" s="1133"/>
      <c r="H203" s="1135">
        <f t="shared" si="31"/>
        <v>0</v>
      </c>
      <c r="J203" s="1136"/>
      <c r="K203" s="1135">
        <f t="shared" si="32"/>
        <v>0</v>
      </c>
      <c r="M203" s="106">
        <f t="shared" si="34"/>
        <v>0</v>
      </c>
      <c r="N203" s="1133"/>
      <c r="O203" s="109">
        <f t="shared" si="26"/>
        <v>0</v>
      </c>
      <c r="P203" s="1137">
        <f t="shared" si="33"/>
        <v>0</v>
      </c>
      <c r="Q203" s="1131"/>
    </row>
    <row r="204" spans="2:17">
      <c r="B204" s="1132"/>
      <c r="C204" s="1134"/>
      <c r="D204" s="1134"/>
      <c r="E204" s="1134"/>
      <c r="F204" s="1134"/>
      <c r="G204" s="1134"/>
      <c r="H204" s="1135">
        <f t="shared" si="31"/>
        <v>0</v>
      </c>
      <c r="J204" s="1144"/>
      <c r="K204" s="1135">
        <f t="shared" si="32"/>
        <v>0</v>
      </c>
      <c r="M204" s="106">
        <f t="shared" si="34"/>
        <v>0</v>
      </c>
      <c r="N204" s="1133"/>
      <c r="O204" s="109">
        <f t="shared" si="26"/>
        <v>0</v>
      </c>
      <c r="P204" s="1137">
        <f t="shared" si="33"/>
        <v>0</v>
      </c>
      <c r="Q204" s="1131"/>
    </row>
    <row r="205" spans="2:17">
      <c r="B205" s="1132"/>
      <c r="C205" s="1134"/>
      <c r="D205" s="1134"/>
      <c r="E205" s="1134"/>
      <c r="F205" s="1134"/>
      <c r="G205" s="1134"/>
      <c r="H205" s="1135">
        <f t="shared" si="31"/>
        <v>0</v>
      </c>
      <c r="J205" s="1144"/>
      <c r="K205" s="1135">
        <f t="shared" si="32"/>
        <v>0</v>
      </c>
      <c r="M205" s="106">
        <f t="shared" si="34"/>
        <v>0</v>
      </c>
      <c r="N205" s="1133"/>
      <c r="O205" s="109">
        <f t="shared" si="26"/>
        <v>0</v>
      </c>
      <c r="P205" s="1137">
        <f t="shared" si="33"/>
        <v>0</v>
      </c>
      <c r="Q205" s="1131"/>
    </row>
    <row r="206" spans="2:17">
      <c r="B206" s="1132"/>
      <c r="C206" s="1134"/>
      <c r="D206" s="1134"/>
      <c r="E206" s="1134"/>
      <c r="F206" s="1134"/>
      <c r="G206" s="1134"/>
      <c r="H206" s="1135">
        <f t="shared" si="31"/>
        <v>0</v>
      </c>
      <c r="J206" s="1144"/>
      <c r="K206" s="1135">
        <f t="shared" si="32"/>
        <v>0</v>
      </c>
      <c r="M206" s="106">
        <f t="shared" si="34"/>
        <v>0</v>
      </c>
      <c r="N206" s="1133"/>
      <c r="O206" s="109">
        <f t="shared" ref="O206:O262" si="35">IF(K206&lt;0,N206/$N$263,0)</f>
        <v>0</v>
      </c>
      <c r="P206" s="1137">
        <f t="shared" si="33"/>
        <v>0</v>
      </c>
      <c r="Q206" s="1131"/>
    </row>
    <row r="207" spans="2:17">
      <c r="B207" s="1132"/>
      <c r="C207" s="1134"/>
      <c r="D207" s="1134"/>
      <c r="E207" s="1134"/>
      <c r="F207" s="1134"/>
      <c r="G207" s="1134"/>
      <c r="H207" s="1135">
        <f t="shared" si="31"/>
        <v>0</v>
      </c>
      <c r="J207" s="1144"/>
      <c r="K207" s="1135">
        <f t="shared" si="32"/>
        <v>0</v>
      </c>
      <c r="M207" s="106">
        <f t="shared" si="34"/>
        <v>0</v>
      </c>
      <c r="N207" s="1133"/>
      <c r="O207" s="109">
        <f t="shared" si="35"/>
        <v>0</v>
      </c>
      <c r="P207" s="1137">
        <f t="shared" si="33"/>
        <v>0</v>
      </c>
      <c r="Q207" s="1131"/>
    </row>
    <row r="208" spans="2:17">
      <c r="B208" s="1132"/>
      <c r="C208" s="1134"/>
      <c r="D208" s="1134"/>
      <c r="E208" s="1134"/>
      <c r="F208" s="1134"/>
      <c r="G208" s="1134"/>
      <c r="H208" s="1135">
        <f t="shared" si="31"/>
        <v>0</v>
      </c>
      <c r="J208" s="1144"/>
      <c r="K208" s="1135">
        <f t="shared" si="32"/>
        <v>0</v>
      </c>
      <c r="M208" s="106">
        <f t="shared" si="34"/>
        <v>0</v>
      </c>
      <c r="N208" s="1133"/>
      <c r="O208" s="109">
        <f t="shared" si="35"/>
        <v>0</v>
      </c>
      <c r="P208" s="1137">
        <f t="shared" si="33"/>
        <v>0</v>
      </c>
      <c r="Q208" s="1131"/>
    </row>
    <row r="209" spans="2:17">
      <c r="B209" s="1132"/>
      <c r="C209" s="1134"/>
      <c r="D209" s="1134"/>
      <c r="E209" s="1134"/>
      <c r="F209" s="1134"/>
      <c r="G209" s="1134"/>
      <c r="H209" s="1135">
        <f t="shared" si="31"/>
        <v>0</v>
      </c>
      <c r="J209" s="1144"/>
      <c r="K209" s="1135">
        <f t="shared" si="32"/>
        <v>0</v>
      </c>
      <c r="M209" s="106">
        <f t="shared" si="34"/>
        <v>0</v>
      </c>
      <c r="N209" s="1133"/>
      <c r="O209" s="109">
        <f t="shared" si="35"/>
        <v>0</v>
      </c>
      <c r="P209" s="1137">
        <f t="shared" si="33"/>
        <v>0</v>
      </c>
      <c r="Q209" s="1131"/>
    </row>
    <row r="210" spans="2:17">
      <c r="B210" s="1132"/>
      <c r="C210" s="1134"/>
      <c r="D210" s="1134"/>
      <c r="E210" s="1134"/>
      <c r="F210" s="1134"/>
      <c r="G210" s="1134"/>
      <c r="H210" s="1135">
        <f t="shared" si="31"/>
        <v>0</v>
      </c>
      <c r="J210" s="1144"/>
      <c r="K210" s="1135">
        <f t="shared" si="32"/>
        <v>0</v>
      </c>
      <c r="M210" s="106">
        <f t="shared" si="34"/>
        <v>0</v>
      </c>
      <c r="N210" s="1133"/>
      <c r="O210" s="109">
        <f t="shared" si="35"/>
        <v>0</v>
      </c>
      <c r="P210" s="1137">
        <f t="shared" si="33"/>
        <v>0</v>
      </c>
      <c r="Q210" s="1131"/>
    </row>
    <row r="211" spans="2:17">
      <c r="B211" s="1132"/>
      <c r="C211" s="1134"/>
      <c r="D211" s="1134"/>
      <c r="E211" s="1134"/>
      <c r="F211" s="1134"/>
      <c r="G211" s="1134"/>
      <c r="H211" s="1135">
        <f t="shared" si="31"/>
        <v>0</v>
      </c>
      <c r="J211" s="1144"/>
      <c r="K211" s="1135">
        <f t="shared" si="32"/>
        <v>0</v>
      </c>
      <c r="M211" s="106">
        <f t="shared" si="34"/>
        <v>0</v>
      </c>
      <c r="N211" s="1133"/>
      <c r="O211" s="109">
        <f t="shared" si="35"/>
        <v>0</v>
      </c>
      <c r="P211" s="1137">
        <f t="shared" si="33"/>
        <v>0</v>
      </c>
      <c r="Q211" s="1131"/>
    </row>
    <row r="212" spans="2:17">
      <c r="B212" s="1132"/>
      <c r="C212" s="1134"/>
      <c r="D212" s="1134"/>
      <c r="E212" s="1134"/>
      <c r="F212" s="1134"/>
      <c r="G212" s="1134"/>
      <c r="H212" s="1135">
        <f t="shared" si="31"/>
        <v>0</v>
      </c>
      <c r="J212" s="1144"/>
      <c r="K212" s="1135">
        <f t="shared" si="32"/>
        <v>0</v>
      </c>
      <c r="M212" s="106">
        <f t="shared" si="34"/>
        <v>0</v>
      </c>
      <c r="N212" s="1133"/>
      <c r="O212" s="109">
        <f t="shared" si="35"/>
        <v>0</v>
      </c>
      <c r="P212" s="1137">
        <f t="shared" si="33"/>
        <v>0</v>
      </c>
      <c r="Q212" s="1131"/>
    </row>
    <row r="213" spans="2:17">
      <c r="B213" s="1132"/>
      <c r="C213" s="1134"/>
      <c r="D213" s="1134"/>
      <c r="E213" s="1134"/>
      <c r="F213" s="1134"/>
      <c r="G213" s="1134"/>
      <c r="H213" s="1135">
        <f>+C213+D213-E213-F213</f>
        <v>0</v>
      </c>
      <c r="J213" s="1144"/>
      <c r="K213" s="1135">
        <f>+H213-J213</f>
        <v>0</v>
      </c>
      <c r="M213" s="106">
        <f>+IF(ISERROR(K213/(F213+J213)),0,K213/(F213+J213))</f>
        <v>0</v>
      </c>
      <c r="N213" s="1133"/>
      <c r="O213" s="109">
        <f t="shared" si="35"/>
        <v>0</v>
      </c>
      <c r="P213" s="1137">
        <f>(M213^2*O213)*100</f>
        <v>0</v>
      </c>
      <c r="Q213" s="1131"/>
    </row>
    <row r="214" spans="2:17">
      <c r="B214" s="1132"/>
      <c r="C214" s="1134"/>
      <c r="D214" s="1134"/>
      <c r="E214" s="1134"/>
      <c r="F214" s="1134"/>
      <c r="G214" s="1134"/>
      <c r="H214" s="1135">
        <f t="shared" ref="H214:H237" si="36">+C214+D214-E214-F214</f>
        <v>0</v>
      </c>
      <c r="J214" s="1144"/>
      <c r="K214" s="1135">
        <f t="shared" ref="K214:K237" si="37">+H214-J214</f>
        <v>0</v>
      </c>
      <c r="M214" s="106">
        <f>+IF(ISERROR(K214/(F214+J214)),0,K214/(F214+J214))</f>
        <v>0</v>
      </c>
      <c r="N214" s="1133"/>
      <c r="O214" s="109">
        <f t="shared" si="35"/>
        <v>0</v>
      </c>
      <c r="P214" s="1137">
        <f t="shared" ref="P214:P237" si="38">(M214^2*O214)*100</f>
        <v>0</v>
      </c>
      <c r="Q214" s="1131"/>
    </row>
    <row r="215" spans="2:17">
      <c r="B215" s="1132"/>
      <c r="C215" s="1134"/>
      <c r="D215" s="1134"/>
      <c r="E215" s="1134"/>
      <c r="F215" s="1134"/>
      <c r="G215" s="1134"/>
      <c r="H215" s="1135">
        <f t="shared" si="36"/>
        <v>0</v>
      </c>
      <c r="J215" s="1144"/>
      <c r="K215" s="1135">
        <f t="shared" si="37"/>
        <v>0</v>
      </c>
      <c r="M215" s="106">
        <f t="shared" ref="M215:M237" si="39">+IF(ISERROR(K215/(F215+J215)),0,K215/(F215+J215))</f>
        <v>0</v>
      </c>
      <c r="N215" s="1133"/>
      <c r="O215" s="109">
        <f t="shared" si="35"/>
        <v>0</v>
      </c>
      <c r="P215" s="1137">
        <f t="shared" si="38"/>
        <v>0</v>
      </c>
      <c r="Q215" s="1131"/>
    </row>
    <row r="216" spans="2:17">
      <c r="B216" s="1132"/>
      <c r="C216" s="1134"/>
      <c r="D216" s="1134"/>
      <c r="E216" s="1134"/>
      <c r="F216" s="1134"/>
      <c r="G216" s="1134"/>
      <c r="H216" s="1135">
        <f t="shared" si="36"/>
        <v>0</v>
      </c>
      <c r="J216" s="1144"/>
      <c r="K216" s="1135">
        <f t="shared" si="37"/>
        <v>0</v>
      </c>
      <c r="M216" s="106">
        <f t="shared" si="39"/>
        <v>0</v>
      </c>
      <c r="N216" s="1133"/>
      <c r="O216" s="109">
        <f t="shared" si="35"/>
        <v>0</v>
      </c>
      <c r="P216" s="1137">
        <f t="shared" si="38"/>
        <v>0</v>
      </c>
      <c r="Q216" s="1131"/>
    </row>
    <row r="217" spans="2:17">
      <c r="B217" s="1132"/>
      <c r="C217" s="1134"/>
      <c r="D217" s="1134"/>
      <c r="E217" s="1134"/>
      <c r="F217" s="1134"/>
      <c r="G217" s="1134"/>
      <c r="H217" s="1135">
        <f t="shared" si="36"/>
        <v>0</v>
      </c>
      <c r="J217" s="1144"/>
      <c r="K217" s="1135">
        <f t="shared" si="37"/>
        <v>0</v>
      </c>
      <c r="M217" s="106">
        <f t="shared" si="39"/>
        <v>0</v>
      </c>
      <c r="N217" s="1133"/>
      <c r="O217" s="109">
        <f t="shared" si="35"/>
        <v>0</v>
      </c>
      <c r="P217" s="1137">
        <f t="shared" si="38"/>
        <v>0</v>
      </c>
      <c r="Q217" s="1131"/>
    </row>
    <row r="218" spans="2:17">
      <c r="B218" s="1132"/>
      <c r="C218" s="1134"/>
      <c r="D218" s="1134"/>
      <c r="E218" s="1134"/>
      <c r="F218" s="1134"/>
      <c r="G218" s="1134"/>
      <c r="H218" s="1135">
        <f t="shared" si="36"/>
        <v>0</v>
      </c>
      <c r="J218" s="1144"/>
      <c r="K218" s="1135">
        <f t="shared" si="37"/>
        <v>0</v>
      </c>
      <c r="M218" s="106">
        <f t="shared" si="39"/>
        <v>0</v>
      </c>
      <c r="N218" s="1133"/>
      <c r="O218" s="109">
        <f t="shared" si="35"/>
        <v>0</v>
      </c>
      <c r="P218" s="1137">
        <f t="shared" si="38"/>
        <v>0</v>
      </c>
      <c r="Q218" s="1131"/>
    </row>
    <row r="219" spans="2:17">
      <c r="B219" s="1132"/>
      <c r="C219" s="1134"/>
      <c r="D219" s="1134"/>
      <c r="E219" s="1134"/>
      <c r="F219" s="1134"/>
      <c r="G219" s="1134"/>
      <c r="H219" s="1135">
        <f t="shared" si="36"/>
        <v>0</v>
      </c>
      <c r="J219" s="1144"/>
      <c r="K219" s="1135">
        <f t="shared" si="37"/>
        <v>0</v>
      </c>
      <c r="M219" s="106">
        <f t="shared" si="39"/>
        <v>0</v>
      </c>
      <c r="N219" s="1133"/>
      <c r="O219" s="109">
        <f t="shared" si="35"/>
        <v>0</v>
      </c>
      <c r="P219" s="1137">
        <f t="shared" si="38"/>
        <v>0</v>
      </c>
      <c r="Q219" s="1131"/>
    </row>
    <row r="220" spans="2:17">
      <c r="B220" s="1132"/>
      <c r="C220" s="1134"/>
      <c r="D220" s="1134"/>
      <c r="E220" s="1134"/>
      <c r="F220" s="1134"/>
      <c r="G220" s="1134"/>
      <c r="H220" s="1135">
        <f t="shared" si="36"/>
        <v>0</v>
      </c>
      <c r="J220" s="1144"/>
      <c r="K220" s="1135">
        <f t="shared" si="37"/>
        <v>0</v>
      </c>
      <c r="M220" s="106">
        <f t="shared" si="39"/>
        <v>0</v>
      </c>
      <c r="N220" s="1133"/>
      <c r="O220" s="109">
        <f t="shared" si="35"/>
        <v>0</v>
      </c>
      <c r="P220" s="1137">
        <f t="shared" si="38"/>
        <v>0</v>
      </c>
      <c r="Q220" s="1131"/>
    </row>
    <row r="221" spans="2:17">
      <c r="B221" s="1132"/>
      <c r="C221" s="1134"/>
      <c r="D221" s="1134"/>
      <c r="E221" s="1134"/>
      <c r="F221" s="1134"/>
      <c r="G221" s="1134"/>
      <c r="H221" s="1135">
        <f t="shared" si="36"/>
        <v>0</v>
      </c>
      <c r="J221" s="1144"/>
      <c r="K221" s="1135">
        <f t="shared" si="37"/>
        <v>0</v>
      </c>
      <c r="M221" s="106">
        <f t="shared" si="39"/>
        <v>0</v>
      </c>
      <c r="N221" s="1133"/>
      <c r="O221" s="109">
        <f t="shared" si="35"/>
        <v>0</v>
      </c>
      <c r="P221" s="1137">
        <f t="shared" si="38"/>
        <v>0</v>
      </c>
      <c r="Q221" s="1131"/>
    </row>
    <row r="222" spans="2:17">
      <c r="B222" s="1132"/>
      <c r="C222" s="1134"/>
      <c r="D222" s="1134"/>
      <c r="E222" s="1134"/>
      <c r="F222" s="1134"/>
      <c r="G222" s="1134"/>
      <c r="H222" s="1135">
        <f t="shared" si="36"/>
        <v>0</v>
      </c>
      <c r="J222" s="1144"/>
      <c r="K222" s="1135">
        <f t="shared" si="37"/>
        <v>0</v>
      </c>
      <c r="M222" s="106">
        <f t="shared" si="39"/>
        <v>0</v>
      </c>
      <c r="N222" s="1133"/>
      <c r="O222" s="109">
        <f t="shared" si="35"/>
        <v>0</v>
      </c>
      <c r="P222" s="1137">
        <f t="shared" si="38"/>
        <v>0</v>
      </c>
      <c r="Q222" s="1131"/>
    </row>
    <row r="223" spans="2:17">
      <c r="B223" s="1132"/>
      <c r="C223" s="1134"/>
      <c r="D223" s="1134"/>
      <c r="E223" s="1134"/>
      <c r="F223" s="1134"/>
      <c r="G223" s="1134"/>
      <c r="H223" s="1135">
        <f t="shared" si="36"/>
        <v>0</v>
      </c>
      <c r="J223" s="1144"/>
      <c r="K223" s="1135">
        <f t="shared" si="37"/>
        <v>0</v>
      </c>
      <c r="M223" s="106">
        <f t="shared" si="39"/>
        <v>0</v>
      </c>
      <c r="N223" s="1133"/>
      <c r="O223" s="109">
        <f t="shared" si="35"/>
        <v>0</v>
      </c>
      <c r="P223" s="1137">
        <f t="shared" si="38"/>
        <v>0</v>
      </c>
      <c r="Q223" s="1131"/>
    </row>
    <row r="224" spans="2:17">
      <c r="B224" s="1132"/>
      <c r="C224" s="1134"/>
      <c r="D224" s="1134"/>
      <c r="E224" s="1134"/>
      <c r="F224" s="1134"/>
      <c r="G224" s="1134"/>
      <c r="H224" s="1135">
        <f t="shared" si="36"/>
        <v>0</v>
      </c>
      <c r="J224" s="1144"/>
      <c r="K224" s="1135">
        <f t="shared" si="37"/>
        <v>0</v>
      </c>
      <c r="M224" s="106">
        <f t="shared" si="39"/>
        <v>0</v>
      </c>
      <c r="N224" s="1133"/>
      <c r="O224" s="109">
        <f t="shared" si="35"/>
        <v>0</v>
      </c>
      <c r="P224" s="1137">
        <f t="shared" si="38"/>
        <v>0</v>
      </c>
      <c r="Q224" s="1131"/>
    </row>
    <row r="225" spans="2:17">
      <c r="B225" s="1132"/>
      <c r="C225" s="1134"/>
      <c r="D225" s="1134"/>
      <c r="E225" s="1134"/>
      <c r="F225" s="1134"/>
      <c r="G225" s="1134"/>
      <c r="H225" s="1135">
        <f t="shared" si="36"/>
        <v>0</v>
      </c>
      <c r="J225" s="1144"/>
      <c r="K225" s="1135">
        <f t="shared" si="37"/>
        <v>0</v>
      </c>
      <c r="M225" s="106">
        <f t="shared" si="39"/>
        <v>0</v>
      </c>
      <c r="N225" s="1133"/>
      <c r="O225" s="109">
        <f t="shared" si="35"/>
        <v>0</v>
      </c>
      <c r="P225" s="1137">
        <f t="shared" si="38"/>
        <v>0</v>
      </c>
      <c r="Q225" s="1131"/>
    </row>
    <row r="226" spans="2:17">
      <c r="B226" s="1132"/>
      <c r="C226" s="1134"/>
      <c r="D226" s="1134"/>
      <c r="E226" s="1134"/>
      <c r="F226" s="1134"/>
      <c r="G226" s="1134"/>
      <c r="H226" s="1135">
        <f t="shared" si="36"/>
        <v>0</v>
      </c>
      <c r="J226" s="1144"/>
      <c r="K226" s="1135">
        <f t="shared" si="37"/>
        <v>0</v>
      </c>
      <c r="M226" s="106">
        <f t="shared" si="39"/>
        <v>0</v>
      </c>
      <c r="N226" s="1133"/>
      <c r="O226" s="109">
        <f t="shared" si="35"/>
        <v>0</v>
      </c>
      <c r="P226" s="1137">
        <f t="shared" si="38"/>
        <v>0</v>
      </c>
      <c r="Q226" s="1131"/>
    </row>
    <row r="227" spans="2:17">
      <c r="B227" s="1132"/>
      <c r="C227" s="1134"/>
      <c r="D227" s="1134"/>
      <c r="E227" s="1134"/>
      <c r="F227" s="1134"/>
      <c r="G227" s="1134"/>
      <c r="H227" s="1135">
        <f t="shared" si="36"/>
        <v>0</v>
      </c>
      <c r="J227" s="1144"/>
      <c r="K227" s="1135">
        <f t="shared" si="37"/>
        <v>0</v>
      </c>
      <c r="M227" s="106">
        <f t="shared" si="39"/>
        <v>0</v>
      </c>
      <c r="N227" s="1133"/>
      <c r="O227" s="109">
        <f t="shared" si="35"/>
        <v>0</v>
      </c>
      <c r="P227" s="1137">
        <f t="shared" si="38"/>
        <v>0</v>
      </c>
      <c r="Q227" s="1131"/>
    </row>
    <row r="228" spans="2:17">
      <c r="B228" s="1132"/>
      <c r="C228" s="1134"/>
      <c r="D228" s="1134"/>
      <c r="E228" s="1134"/>
      <c r="F228" s="1134"/>
      <c r="G228" s="1134"/>
      <c r="H228" s="1135">
        <f t="shared" si="36"/>
        <v>0</v>
      </c>
      <c r="J228" s="1144"/>
      <c r="K228" s="1135">
        <f t="shared" si="37"/>
        <v>0</v>
      </c>
      <c r="M228" s="106">
        <f t="shared" si="39"/>
        <v>0</v>
      </c>
      <c r="N228" s="1133"/>
      <c r="O228" s="109">
        <f t="shared" si="35"/>
        <v>0</v>
      </c>
      <c r="P228" s="1137">
        <f t="shared" si="38"/>
        <v>0</v>
      </c>
      <c r="Q228" s="1131"/>
    </row>
    <row r="229" spans="2:17">
      <c r="B229" s="1132"/>
      <c r="C229" s="1134"/>
      <c r="D229" s="1134"/>
      <c r="E229" s="1134"/>
      <c r="F229" s="1134"/>
      <c r="G229" s="1134"/>
      <c r="H229" s="1135">
        <f t="shared" si="36"/>
        <v>0</v>
      </c>
      <c r="J229" s="1144"/>
      <c r="K229" s="1135">
        <f t="shared" si="37"/>
        <v>0</v>
      </c>
      <c r="M229" s="106">
        <f t="shared" si="39"/>
        <v>0</v>
      </c>
      <c r="N229" s="1133"/>
      <c r="O229" s="109">
        <f t="shared" si="35"/>
        <v>0</v>
      </c>
      <c r="P229" s="1137">
        <f t="shared" si="38"/>
        <v>0</v>
      </c>
      <c r="Q229" s="1131"/>
    </row>
    <row r="230" spans="2:17">
      <c r="B230" s="1132"/>
      <c r="C230" s="1134"/>
      <c r="D230" s="1134"/>
      <c r="E230" s="1134"/>
      <c r="F230" s="1134"/>
      <c r="G230" s="1134"/>
      <c r="H230" s="1135">
        <f t="shared" si="36"/>
        <v>0</v>
      </c>
      <c r="J230" s="1144"/>
      <c r="K230" s="1135">
        <f t="shared" si="37"/>
        <v>0</v>
      </c>
      <c r="M230" s="106">
        <f t="shared" si="39"/>
        <v>0</v>
      </c>
      <c r="N230" s="1133"/>
      <c r="O230" s="109">
        <f t="shared" si="35"/>
        <v>0</v>
      </c>
      <c r="P230" s="1137">
        <f t="shared" si="38"/>
        <v>0</v>
      </c>
      <c r="Q230" s="1131"/>
    </row>
    <row r="231" spans="2:17">
      <c r="B231" s="1132"/>
      <c r="C231" s="1134"/>
      <c r="D231" s="1134"/>
      <c r="E231" s="1134"/>
      <c r="F231" s="1134"/>
      <c r="G231" s="1134"/>
      <c r="H231" s="1135">
        <f t="shared" si="36"/>
        <v>0</v>
      </c>
      <c r="J231" s="1144"/>
      <c r="K231" s="1135">
        <f t="shared" si="37"/>
        <v>0</v>
      </c>
      <c r="M231" s="106">
        <f t="shared" si="39"/>
        <v>0</v>
      </c>
      <c r="N231" s="1133"/>
      <c r="O231" s="109">
        <f t="shared" si="35"/>
        <v>0</v>
      </c>
      <c r="P231" s="1137">
        <f t="shared" si="38"/>
        <v>0</v>
      </c>
      <c r="Q231" s="1131"/>
    </row>
    <row r="232" spans="2:17">
      <c r="B232" s="1132"/>
      <c r="C232" s="1134"/>
      <c r="D232" s="1134"/>
      <c r="E232" s="1134"/>
      <c r="F232" s="1134"/>
      <c r="G232" s="1134"/>
      <c r="H232" s="1135">
        <f t="shared" si="36"/>
        <v>0</v>
      </c>
      <c r="J232" s="1144"/>
      <c r="K232" s="1135">
        <f t="shared" si="37"/>
        <v>0</v>
      </c>
      <c r="M232" s="106">
        <f t="shared" si="39"/>
        <v>0</v>
      </c>
      <c r="N232" s="1133"/>
      <c r="O232" s="109">
        <f t="shared" si="35"/>
        <v>0</v>
      </c>
      <c r="P232" s="1137">
        <f t="shared" si="38"/>
        <v>0</v>
      </c>
      <c r="Q232" s="1131"/>
    </row>
    <row r="233" spans="2:17">
      <c r="B233" s="1132"/>
      <c r="C233" s="1134"/>
      <c r="D233" s="1134"/>
      <c r="E233" s="1134"/>
      <c r="F233" s="1134"/>
      <c r="G233" s="1134"/>
      <c r="H233" s="1135">
        <f t="shared" si="36"/>
        <v>0</v>
      </c>
      <c r="J233" s="1144"/>
      <c r="K233" s="1135">
        <f t="shared" si="37"/>
        <v>0</v>
      </c>
      <c r="M233" s="106">
        <f t="shared" si="39"/>
        <v>0</v>
      </c>
      <c r="N233" s="1133"/>
      <c r="O233" s="109">
        <f t="shared" si="35"/>
        <v>0</v>
      </c>
      <c r="P233" s="1137">
        <f t="shared" si="38"/>
        <v>0</v>
      </c>
      <c r="Q233" s="1131"/>
    </row>
    <row r="234" spans="2:17">
      <c r="B234" s="1132"/>
      <c r="C234" s="1134"/>
      <c r="D234" s="1134"/>
      <c r="E234" s="1134"/>
      <c r="F234" s="1134"/>
      <c r="G234" s="1134"/>
      <c r="H234" s="1135">
        <f t="shared" si="36"/>
        <v>0</v>
      </c>
      <c r="J234" s="1144"/>
      <c r="K234" s="1135">
        <f t="shared" si="37"/>
        <v>0</v>
      </c>
      <c r="M234" s="106">
        <f t="shared" si="39"/>
        <v>0</v>
      </c>
      <c r="N234" s="1133"/>
      <c r="O234" s="109">
        <f t="shared" si="35"/>
        <v>0</v>
      </c>
      <c r="P234" s="1137">
        <f t="shared" si="38"/>
        <v>0</v>
      </c>
      <c r="Q234" s="1131"/>
    </row>
    <row r="235" spans="2:17">
      <c r="B235" s="1132"/>
      <c r="C235" s="1134"/>
      <c r="D235" s="1134"/>
      <c r="E235" s="1134"/>
      <c r="F235" s="1134"/>
      <c r="G235" s="1134"/>
      <c r="H235" s="1135">
        <f t="shared" si="36"/>
        <v>0</v>
      </c>
      <c r="J235" s="1144"/>
      <c r="K235" s="1135">
        <f t="shared" si="37"/>
        <v>0</v>
      </c>
      <c r="M235" s="106">
        <f t="shared" si="39"/>
        <v>0</v>
      </c>
      <c r="N235" s="1133"/>
      <c r="O235" s="109">
        <f t="shared" si="35"/>
        <v>0</v>
      </c>
      <c r="P235" s="1137">
        <f t="shared" si="38"/>
        <v>0</v>
      </c>
      <c r="Q235" s="1131"/>
    </row>
    <row r="236" spans="2:17">
      <c r="B236" s="1132"/>
      <c r="C236" s="1134"/>
      <c r="D236" s="1134"/>
      <c r="E236" s="1134"/>
      <c r="F236" s="1134"/>
      <c r="G236" s="1134"/>
      <c r="H236" s="1135">
        <f t="shared" si="36"/>
        <v>0</v>
      </c>
      <c r="J236" s="1144"/>
      <c r="K236" s="1135">
        <f t="shared" si="37"/>
        <v>0</v>
      </c>
      <c r="M236" s="106">
        <f t="shared" si="39"/>
        <v>0</v>
      </c>
      <c r="N236" s="1133"/>
      <c r="O236" s="109">
        <f t="shared" si="35"/>
        <v>0</v>
      </c>
      <c r="P236" s="1137">
        <f t="shared" si="38"/>
        <v>0</v>
      </c>
      <c r="Q236" s="1131"/>
    </row>
    <row r="237" spans="2:17">
      <c r="B237" s="1132"/>
      <c r="C237" s="1134"/>
      <c r="D237" s="1134"/>
      <c r="E237" s="1134"/>
      <c r="F237" s="1134"/>
      <c r="G237" s="1134"/>
      <c r="H237" s="1135">
        <f t="shared" si="36"/>
        <v>0</v>
      </c>
      <c r="J237" s="1144"/>
      <c r="K237" s="1135">
        <f t="shared" si="37"/>
        <v>0</v>
      </c>
      <c r="M237" s="106">
        <f t="shared" si="39"/>
        <v>0</v>
      </c>
      <c r="N237" s="1133"/>
      <c r="O237" s="109">
        <f t="shared" si="35"/>
        <v>0</v>
      </c>
      <c r="P237" s="1137">
        <f t="shared" si="38"/>
        <v>0</v>
      </c>
      <c r="Q237" s="1131"/>
    </row>
    <row r="238" spans="2:17">
      <c r="B238" s="1132"/>
      <c r="C238" s="1134"/>
      <c r="D238" s="1134"/>
      <c r="E238" s="1134"/>
      <c r="F238" s="1134"/>
      <c r="G238" s="1134"/>
      <c r="H238" s="1135">
        <f>+C238+D238-E238-F238</f>
        <v>0</v>
      </c>
      <c r="J238" s="1144"/>
      <c r="K238" s="1135">
        <f>+H238-J238</f>
        <v>0</v>
      </c>
      <c r="M238" s="106">
        <f>+IF(ISERROR(K238/(F238+J238)),0,K238/(F238+J238))</f>
        <v>0</v>
      </c>
      <c r="N238" s="1133"/>
      <c r="O238" s="109">
        <f t="shared" si="35"/>
        <v>0</v>
      </c>
      <c r="P238" s="1137">
        <f>(M238^2*O238)*100</f>
        <v>0</v>
      </c>
      <c r="Q238" s="1131"/>
    </row>
    <row r="239" spans="2:17">
      <c r="B239" s="1132"/>
      <c r="C239" s="1134"/>
      <c r="D239" s="1134"/>
      <c r="E239" s="1134"/>
      <c r="F239" s="1134"/>
      <c r="G239" s="1134"/>
      <c r="H239" s="1135">
        <f t="shared" ref="H239:H262" si="40">+C239+D239-E239-F239</f>
        <v>0</v>
      </c>
      <c r="J239" s="1144"/>
      <c r="K239" s="1135">
        <f t="shared" ref="K239:K262" si="41">+H239-J239</f>
        <v>0</v>
      </c>
      <c r="M239" s="106">
        <f>+IF(ISERROR(K239/(F239+J239)),0,K239/(F239+J239))</f>
        <v>0</v>
      </c>
      <c r="N239" s="1133"/>
      <c r="O239" s="109">
        <f t="shared" si="35"/>
        <v>0</v>
      </c>
      <c r="P239" s="1137">
        <f t="shared" ref="P239:P261" si="42">(M239^2*O239)*100</f>
        <v>0</v>
      </c>
      <c r="Q239" s="1131"/>
    </row>
    <row r="240" spans="2:17">
      <c r="B240" s="1132"/>
      <c r="C240" s="1134"/>
      <c r="D240" s="1134"/>
      <c r="E240" s="1134"/>
      <c r="F240" s="1134"/>
      <c r="G240" s="1134"/>
      <c r="H240" s="1135">
        <f t="shared" si="40"/>
        <v>0</v>
      </c>
      <c r="J240" s="1144"/>
      <c r="K240" s="1135">
        <f t="shared" si="41"/>
        <v>0</v>
      </c>
      <c r="M240" s="106">
        <f t="shared" ref="M240:M262" si="43">+IF(ISERROR(K240/(F240+J240)),0,K240/(F240+J240))</f>
        <v>0</v>
      </c>
      <c r="N240" s="1133"/>
      <c r="O240" s="109">
        <f t="shared" si="35"/>
        <v>0</v>
      </c>
      <c r="P240" s="1137">
        <f t="shared" si="42"/>
        <v>0</v>
      </c>
      <c r="Q240" s="1131"/>
    </row>
    <row r="241" spans="2:17">
      <c r="B241" s="1132"/>
      <c r="C241" s="1134"/>
      <c r="D241" s="1134"/>
      <c r="E241" s="1134"/>
      <c r="F241" s="1134"/>
      <c r="G241" s="1134"/>
      <c r="H241" s="1135">
        <f t="shared" si="40"/>
        <v>0</v>
      </c>
      <c r="J241" s="1144"/>
      <c r="K241" s="1135">
        <f t="shared" si="41"/>
        <v>0</v>
      </c>
      <c r="M241" s="106">
        <f t="shared" si="43"/>
        <v>0</v>
      </c>
      <c r="N241" s="1133"/>
      <c r="O241" s="109">
        <f t="shared" si="35"/>
        <v>0</v>
      </c>
      <c r="P241" s="1137">
        <f t="shared" si="42"/>
        <v>0</v>
      </c>
      <c r="Q241" s="1131"/>
    </row>
    <row r="242" spans="2:17">
      <c r="B242" s="1132"/>
      <c r="C242" s="1134"/>
      <c r="D242" s="1134"/>
      <c r="E242" s="1134"/>
      <c r="F242" s="1134"/>
      <c r="G242" s="1134"/>
      <c r="H242" s="1135">
        <f t="shared" si="40"/>
        <v>0</v>
      </c>
      <c r="J242" s="1144"/>
      <c r="K242" s="1135">
        <f t="shared" si="41"/>
        <v>0</v>
      </c>
      <c r="M242" s="106">
        <f t="shared" si="43"/>
        <v>0</v>
      </c>
      <c r="N242" s="1133"/>
      <c r="O242" s="109">
        <f t="shared" si="35"/>
        <v>0</v>
      </c>
      <c r="P242" s="1137">
        <f t="shared" si="42"/>
        <v>0</v>
      </c>
      <c r="Q242" s="1131"/>
    </row>
    <row r="243" spans="2:17">
      <c r="B243" s="1132"/>
      <c r="C243" s="1134"/>
      <c r="D243" s="1134"/>
      <c r="E243" s="1134"/>
      <c r="F243" s="1134"/>
      <c r="G243" s="1134"/>
      <c r="H243" s="1135">
        <f t="shared" si="40"/>
        <v>0</v>
      </c>
      <c r="J243" s="1144"/>
      <c r="K243" s="1135">
        <f t="shared" si="41"/>
        <v>0</v>
      </c>
      <c r="M243" s="106">
        <f t="shared" si="43"/>
        <v>0</v>
      </c>
      <c r="N243" s="1133"/>
      <c r="O243" s="109">
        <f t="shared" si="35"/>
        <v>0</v>
      </c>
      <c r="P243" s="1137">
        <f t="shared" si="42"/>
        <v>0</v>
      </c>
      <c r="Q243" s="1131"/>
    </row>
    <row r="244" spans="2:17">
      <c r="B244" s="1132"/>
      <c r="C244" s="1134"/>
      <c r="D244" s="1134"/>
      <c r="E244" s="1134"/>
      <c r="F244" s="1134"/>
      <c r="G244" s="1134"/>
      <c r="H244" s="1135">
        <f t="shared" si="40"/>
        <v>0</v>
      </c>
      <c r="J244" s="1144"/>
      <c r="K244" s="1135">
        <f t="shared" si="41"/>
        <v>0</v>
      </c>
      <c r="M244" s="106">
        <f t="shared" si="43"/>
        <v>0</v>
      </c>
      <c r="N244" s="1133"/>
      <c r="O244" s="109">
        <f t="shared" si="35"/>
        <v>0</v>
      </c>
      <c r="P244" s="1137">
        <f t="shared" si="42"/>
        <v>0</v>
      </c>
      <c r="Q244" s="1131"/>
    </row>
    <row r="245" spans="2:17">
      <c r="B245" s="1132"/>
      <c r="C245" s="1134"/>
      <c r="D245" s="1134"/>
      <c r="E245" s="1134"/>
      <c r="F245" s="1134"/>
      <c r="G245" s="1134"/>
      <c r="H245" s="1135">
        <f t="shared" si="40"/>
        <v>0</v>
      </c>
      <c r="J245" s="1144"/>
      <c r="K245" s="1135">
        <f t="shared" si="41"/>
        <v>0</v>
      </c>
      <c r="M245" s="106">
        <f t="shared" si="43"/>
        <v>0</v>
      </c>
      <c r="N245" s="1133"/>
      <c r="O245" s="109">
        <f t="shared" si="35"/>
        <v>0</v>
      </c>
      <c r="P245" s="1137">
        <f t="shared" si="42"/>
        <v>0</v>
      </c>
      <c r="Q245" s="1131"/>
    </row>
    <row r="246" spans="2:17">
      <c r="B246" s="1132"/>
      <c r="C246" s="1134"/>
      <c r="D246" s="1134"/>
      <c r="E246" s="1134"/>
      <c r="F246" s="1134"/>
      <c r="G246" s="1134"/>
      <c r="H246" s="1135">
        <f t="shared" si="40"/>
        <v>0</v>
      </c>
      <c r="J246" s="1144"/>
      <c r="K246" s="1135">
        <f t="shared" si="41"/>
        <v>0</v>
      </c>
      <c r="M246" s="106">
        <f t="shared" si="43"/>
        <v>0</v>
      </c>
      <c r="N246" s="1133"/>
      <c r="O246" s="109">
        <f t="shared" si="35"/>
        <v>0</v>
      </c>
      <c r="P246" s="1137">
        <f t="shared" si="42"/>
        <v>0</v>
      </c>
      <c r="Q246" s="1131"/>
    </row>
    <row r="247" spans="2:17">
      <c r="B247" s="1132"/>
      <c r="C247" s="1134"/>
      <c r="D247" s="1134"/>
      <c r="E247" s="1134"/>
      <c r="F247" s="1134"/>
      <c r="G247" s="1134"/>
      <c r="H247" s="1135">
        <f t="shared" si="40"/>
        <v>0</v>
      </c>
      <c r="J247" s="1144"/>
      <c r="K247" s="1135">
        <f t="shared" si="41"/>
        <v>0</v>
      </c>
      <c r="M247" s="106">
        <f t="shared" si="43"/>
        <v>0</v>
      </c>
      <c r="N247" s="1133"/>
      <c r="O247" s="109">
        <f t="shared" si="35"/>
        <v>0</v>
      </c>
      <c r="P247" s="1137">
        <f t="shared" si="42"/>
        <v>0</v>
      </c>
      <c r="Q247" s="1131"/>
    </row>
    <row r="248" spans="2:17">
      <c r="B248" s="1132"/>
      <c r="C248" s="1134"/>
      <c r="D248" s="1134"/>
      <c r="E248" s="1134"/>
      <c r="F248" s="1134"/>
      <c r="G248" s="1134"/>
      <c r="H248" s="1135">
        <f t="shared" si="40"/>
        <v>0</v>
      </c>
      <c r="J248" s="1144"/>
      <c r="K248" s="1135">
        <f t="shared" si="41"/>
        <v>0</v>
      </c>
      <c r="M248" s="106">
        <f t="shared" si="43"/>
        <v>0</v>
      </c>
      <c r="N248" s="1133"/>
      <c r="O248" s="109">
        <f t="shared" si="35"/>
        <v>0</v>
      </c>
      <c r="P248" s="1137">
        <f t="shared" si="42"/>
        <v>0</v>
      </c>
      <c r="Q248" s="1131"/>
    </row>
    <row r="249" spans="2:17">
      <c r="B249" s="1132"/>
      <c r="C249" s="1134"/>
      <c r="D249" s="1134"/>
      <c r="E249" s="1134"/>
      <c r="F249" s="1134"/>
      <c r="G249" s="1134"/>
      <c r="H249" s="1135">
        <f t="shared" si="40"/>
        <v>0</v>
      </c>
      <c r="J249" s="1144"/>
      <c r="K249" s="1135">
        <f t="shared" si="41"/>
        <v>0</v>
      </c>
      <c r="M249" s="106">
        <f t="shared" si="43"/>
        <v>0</v>
      </c>
      <c r="N249" s="1133"/>
      <c r="O249" s="109">
        <f t="shared" si="35"/>
        <v>0</v>
      </c>
      <c r="P249" s="1137">
        <f t="shared" si="42"/>
        <v>0</v>
      </c>
      <c r="Q249" s="1131"/>
    </row>
    <row r="250" spans="2:17">
      <c r="B250" s="1132"/>
      <c r="C250" s="1134"/>
      <c r="D250" s="1134"/>
      <c r="E250" s="1134"/>
      <c r="F250" s="1134"/>
      <c r="G250" s="1134"/>
      <c r="H250" s="1135">
        <f t="shared" si="40"/>
        <v>0</v>
      </c>
      <c r="J250" s="1144"/>
      <c r="K250" s="1135">
        <f t="shared" si="41"/>
        <v>0</v>
      </c>
      <c r="M250" s="106">
        <f t="shared" si="43"/>
        <v>0</v>
      </c>
      <c r="N250" s="1133"/>
      <c r="O250" s="109">
        <f t="shared" si="35"/>
        <v>0</v>
      </c>
      <c r="P250" s="1137">
        <f t="shared" si="42"/>
        <v>0</v>
      </c>
      <c r="Q250" s="1131"/>
    </row>
    <row r="251" spans="2:17">
      <c r="B251" s="1132"/>
      <c r="C251" s="1134"/>
      <c r="D251" s="1134"/>
      <c r="E251" s="1134"/>
      <c r="F251" s="1134"/>
      <c r="G251" s="1134"/>
      <c r="H251" s="1135">
        <f t="shared" si="40"/>
        <v>0</v>
      </c>
      <c r="J251" s="1144"/>
      <c r="K251" s="1135">
        <f t="shared" si="41"/>
        <v>0</v>
      </c>
      <c r="M251" s="106">
        <f t="shared" si="43"/>
        <v>0</v>
      </c>
      <c r="N251" s="1133"/>
      <c r="O251" s="109">
        <f t="shared" si="35"/>
        <v>0</v>
      </c>
      <c r="P251" s="1137">
        <f t="shared" si="42"/>
        <v>0</v>
      </c>
      <c r="Q251" s="1131"/>
    </row>
    <row r="252" spans="2:17">
      <c r="B252" s="1132"/>
      <c r="C252" s="1134"/>
      <c r="D252" s="1134"/>
      <c r="E252" s="1134"/>
      <c r="F252" s="1134"/>
      <c r="G252" s="1134"/>
      <c r="H252" s="1135">
        <f t="shared" si="40"/>
        <v>0</v>
      </c>
      <c r="J252" s="1144"/>
      <c r="K252" s="1135">
        <f t="shared" si="41"/>
        <v>0</v>
      </c>
      <c r="M252" s="106">
        <f t="shared" si="43"/>
        <v>0</v>
      </c>
      <c r="N252" s="1133"/>
      <c r="O252" s="109">
        <f t="shared" si="35"/>
        <v>0</v>
      </c>
      <c r="P252" s="1137">
        <f t="shared" si="42"/>
        <v>0</v>
      </c>
      <c r="Q252" s="1131"/>
    </row>
    <row r="253" spans="2:17">
      <c r="B253" s="1132"/>
      <c r="C253" s="1134"/>
      <c r="D253" s="1134"/>
      <c r="E253" s="1134"/>
      <c r="F253" s="1134"/>
      <c r="G253" s="1134"/>
      <c r="H253" s="1135">
        <f t="shared" si="40"/>
        <v>0</v>
      </c>
      <c r="J253" s="1144"/>
      <c r="K253" s="1135">
        <f t="shared" si="41"/>
        <v>0</v>
      </c>
      <c r="M253" s="106">
        <f t="shared" si="43"/>
        <v>0</v>
      </c>
      <c r="N253" s="1133"/>
      <c r="O253" s="109">
        <f t="shared" si="35"/>
        <v>0</v>
      </c>
      <c r="P253" s="1137">
        <f t="shared" si="42"/>
        <v>0</v>
      </c>
      <c r="Q253" s="1131"/>
    </row>
    <row r="254" spans="2:17">
      <c r="B254" s="1132"/>
      <c r="C254" s="1134"/>
      <c r="D254" s="1134"/>
      <c r="E254" s="1134"/>
      <c r="F254" s="1134"/>
      <c r="G254" s="1134"/>
      <c r="H254" s="1135">
        <f t="shared" si="40"/>
        <v>0</v>
      </c>
      <c r="J254" s="1144"/>
      <c r="K254" s="1135">
        <f t="shared" si="41"/>
        <v>0</v>
      </c>
      <c r="M254" s="106">
        <f t="shared" si="43"/>
        <v>0</v>
      </c>
      <c r="N254" s="1133"/>
      <c r="O254" s="109">
        <f t="shared" si="35"/>
        <v>0</v>
      </c>
      <c r="P254" s="1137">
        <f t="shared" si="42"/>
        <v>0</v>
      </c>
      <c r="Q254" s="1131"/>
    </row>
    <row r="255" spans="2:17">
      <c r="B255" s="1132"/>
      <c r="C255" s="1134"/>
      <c r="D255" s="1134"/>
      <c r="E255" s="1134"/>
      <c r="F255" s="1134"/>
      <c r="G255" s="1134"/>
      <c r="H255" s="1135">
        <f t="shared" si="40"/>
        <v>0</v>
      </c>
      <c r="J255" s="1144"/>
      <c r="K255" s="1135">
        <f t="shared" si="41"/>
        <v>0</v>
      </c>
      <c r="M255" s="106">
        <f t="shared" si="43"/>
        <v>0</v>
      </c>
      <c r="N255" s="1133"/>
      <c r="O255" s="109">
        <f t="shared" si="35"/>
        <v>0</v>
      </c>
      <c r="P255" s="1137">
        <f t="shared" si="42"/>
        <v>0</v>
      </c>
      <c r="Q255" s="1131"/>
    </row>
    <row r="256" spans="2:17">
      <c r="B256" s="1132"/>
      <c r="C256" s="1134"/>
      <c r="D256" s="1134"/>
      <c r="E256" s="1134"/>
      <c r="F256" s="1134"/>
      <c r="G256" s="1134"/>
      <c r="H256" s="1135">
        <f t="shared" si="40"/>
        <v>0</v>
      </c>
      <c r="J256" s="1144"/>
      <c r="K256" s="1135">
        <f t="shared" si="41"/>
        <v>0</v>
      </c>
      <c r="M256" s="106">
        <f t="shared" si="43"/>
        <v>0</v>
      </c>
      <c r="N256" s="1133"/>
      <c r="O256" s="109">
        <f t="shared" si="35"/>
        <v>0</v>
      </c>
      <c r="P256" s="1137">
        <f t="shared" si="42"/>
        <v>0</v>
      </c>
      <c r="Q256" s="1131"/>
    </row>
    <row r="257" spans="1:18">
      <c r="B257" s="1132"/>
      <c r="C257" s="1134"/>
      <c r="D257" s="1134"/>
      <c r="E257" s="1134"/>
      <c r="F257" s="1134"/>
      <c r="G257" s="1134"/>
      <c r="H257" s="1135">
        <f t="shared" si="40"/>
        <v>0</v>
      </c>
      <c r="J257" s="1144"/>
      <c r="K257" s="1135">
        <f t="shared" si="41"/>
        <v>0</v>
      </c>
      <c r="M257" s="106">
        <f t="shared" si="43"/>
        <v>0</v>
      </c>
      <c r="N257" s="1133"/>
      <c r="O257" s="109">
        <f t="shared" si="35"/>
        <v>0</v>
      </c>
      <c r="P257" s="1137">
        <f t="shared" si="42"/>
        <v>0</v>
      </c>
      <c r="Q257" s="1131"/>
    </row>
    <row r="258" spans="1:18">
      <c r="B258" s="1132"/>
      <c r="C258" s="1134"/>
      <c r="D258" s="1134"/>
      <c r="E258" s="1134"/>
      <c r="F258" s="1134"/>
      <c r="G258" s="1134"/>
      <c r="H258" s="1135">
        <f t="shared" si="40"/>
        <v>0</v>
      </c>
      <c r="J258" s="1144"/>
      <c r="K258" s="1135">
        <f t="shared" si="41"/>
        <v>0</v>
      </c>
      <c r="M258" s="106">
        <f t="shared" si="43"/>
        <v>0</v>
      </c>
      <c r="N258" s="1133"/>
      <c r="O258" s="109">
        <f t="shared" si="35"/>
        <v>0</v>
      </c>
      <c r="P258" s="1137">
        <f t="shared" si="42"/>
        <v>0</v>
      </c>
      <c r="Q258" s="1131"/>
    </row>
    <row r="259" spans="1:18">
      <c r="B259" s="1132"/>
      <c r="C259" s="1134"/>
      <c r="D259" s="1134"/>
      <c r="E259" s="1134"/>
      <c r="F259" s="1134"/>
      <c r="G259" s="1134"/>
      <c r="H259" s="1135">
        <f t="shared" si="40"/>
        <v>0</v>
      </c>
      <c r="J259" s="1144"/>
      <c r="K259" s="1135">
        <f t="shared" si="41"/>
        <v>0</v>
      </c>
      <c r="M259" s="106">
        <f t="shared" si="43"/>
        <v>0</v>
      </c>
      <c r="N259" s="1133"/>
      <c r="O259" s="109">
        <f t="shared" si="35"/>
        <v>0</v>
      </c>
      <c r="P259" s="1137">
        <f t="shared" si="42"/>
        <v>0</v>
      </c>
      <c r="Q259" s="1131"/>
    </row>
    <row r="260" spans="1:18">
      <c r="B260" s="1132"/>
      <c r="C260" s="1134"/>
      <c r="D260" s="1134"/>
      <c r="E260" s="1134"/>
      <c r="F260" s="1134"/>
      <c r="G260" s="1134"/>
      <c r="H260" s="1135">
        <f t="shared" si="40"/>
        <v>0</v>
      </c>
      <c r="J260" s="1144"/>
      <c r="K260" s="1135">
        <f t="shared" si="41"/>
        <v>0</v>
      </c>
      <c r="M260" s="106">
        <f t="shared" si="43"/>
        <v>0</v>
      </c>
      <c r="N260" s="1133"/>
      <c r="O260" s="109">
        <f t="shared" si="35"/>
        <v>0</v>
      </c>
      <c r="P260" s="1137">
        <f t="shared" si="42"/>
        <v>0</v>
      </c>
      <c r="Q260" s="1131"/>
    </row>
    <row r="261" spans="1:18">
      <c r="B261" s="1132"/>
      <c r="C261" s="1134"/>
      <c r="D261" s="1134"/>
      <c r="E261" s="1134"/>
      <c r="F261" s="1134"/>
      <c r="G261" s="1134"/>
      <c r="H261" s="1135">
        <f t="shared" si="40"/>
        <v>0</v>
      </c>
      <c r="J261" s="1144"/>
      <c r="K261" s="1135">
        <f t="shared" si="41"/>
        <v>0</v>
      </c>
      <c r="M261" s="106">
        <f t="shared" si="43"/>
        <v>0</v>
      </c>
      <c r="N261" s="1133"/>
      <c r="O261" s="109">
        <f t="shared" si="35"/>
        <v>0</v>
      </c>
      <c r="P261" s="1137">
        <f t="shared" si="42"/>
        <v>0</v>
      </c>
      <c r="Q261" s="1131"/>
    </row>
    <row r="262" spans="1:18" ht="12.95" thickBot="1">
      <c r="B262" s="1145"/>
      <c r="C262" s="1146"/>
      <c r="D262" s="1146"/>
      <c r="E262" s="1146"/>
      <c r="F262" s="1146"/>
      <c r="G262" s="1146"/>
      <c r="H262" s="1147">
        <f t="shared" si="40"/>
        <v>0</v>
      </c>
      <c r="J262" s="1148"/>
      <c r="K262" s="1147">
        <f t="shared" si="41"/>
        <v>0</v>
      </c>
      <c r="M262" s="107">
        <f t="shared" si="43"/>
        <v>0</v>
      </c>
      <c r="N262" s="1149"/>
      <c r="O262" s="110">
        <f t="shared" si="35"/>
        <v>0</v>
      </c>
      <c r="P262" s="1150">
        <f>(M262^2*O262)*100</f>
        <v>0</v>
      </c>
      <c r="Q262" s="1131"/>
    </row>
    <row r="263" spans="1:18" ht="13.5" thickBot="1">
      <c r="B263" s="1151" t="s">
        <v>1012</v>
      </c>
      <c r="C263" s="1152">
        <f>SUM(C13:C262)</f>
        <v>2268.374526820181</v>
      </c>
      <c r="D263" s="1152">
        <f>SUM(D13:D262)</f>
        <v>0</v>
      </c>
      <c r="E263" s="1152">
        <f>SUM(E13:E262)</f>
        <v>0</v>
      </c>
      <c r="F263" s="1152">
        <f>SUM(F13:F262)</f>
        <v>1892.8658284199994</v>
      </c>
      <c r="G263" s="1153">
        <f>SUM(G13:G262)</f>
        <v>1837.7338140000006</v>
      </c>
      <c r="H263" s="1131"/>
      <c r="I263" s="1154"/>
      <c r="J263" s="1154"/>
      <c r="K263" s="1131"/>
      <c r="L263" s="1154"/>
      <c r="M263" s="97"/>
      <c r="N263" s="1155">
        <f>SUM(N13:N262)</f>
        <v>5350.5026206057728</v>
      </c>
      <c r="O263" s="98"/>
      <c r="P263" s="1155">
        <f>SUM(P13:P262)</f>
        <v>0.51331655510597385</v>
      </c>
      <c r="Q263" s="1156">
        <f>(1-P263)*100</f>
        <v>48.668344489402614</v>
      </c>
      <c r="R263" s="1157">
        <f>1-SUM(O13:O262)</f>
        <v>0.70101372658003214</v>
      </c>
    </row>
    <row r="267" spans="1:18" ht="12.95" thickBot="1"/>
    <row r="268" spans="1:18" customFormat="1">
      <c r="A268" s="1245" t="s">
        <v>145</v>
      </c>
      <c r="B268" s="1246"/>
      <c r="C268" s="197" t="s">
        <v>40</v>
      </c>
      <c r="D268" s="1246"/>
      <c r="E268" s="1246"/>
      <c r="F268" s="1247"/>
    </row>
    <row r="269" spans="1:18" customFormat="1">
      <c r="A269" s="1248"/>
      <c r="B269" s="1"/>
      <c r="C269" s="1"/>
      <c r="D269" s="1"/>
      <c r="E269" s="1"/>
      <c r="F269" s="1249"/>
    </row>
    <row r="270" spans="1:18" customFormat="1">
      <c r="A270" s="1250" t="s">
        <v>41</v>
      </c>
      <c r="B270" s="1"/>
      <c r="C270" s="207" t="s">
        <v>40</v>
      </c>
      <c r="D270" s="1"/>
      <c r="E270" s="1"/>
      <c r="F270" s="1249"/>
    </row>
    <row r="271" spans="1:18" customFormat="1">
      <c r="A271" s="1248"/>
      <c r="B271" s="1"/>
      <c r="C271" s="1"/>
      <c r="D271" s="1"/>
      <c r="E271" s="1"/>
      <c r="F271" s="1249"/>
    </row>
    <row r="272" spans="1:18" customFormat="1" ht="12.95" thickBot="1">
      <c r="A272" s="1251" t="s">
        <v>523</v>
      </c>
      <c r="B272" s="1252"/>
      <c r="C272" s="1266" t="s">
        <v>146</v>
      </c>
      <c r="D272" s="1252"/>
      <c r="E272" s="1252"/>
      <c r="F272" s="1253"/>
    </row>
    <row r="273" spans="2:3" customFormat="1"/>
    <row r="275" spans="2:3">
      <c r="B275" s="17"/>
      <c r="C275" s="43"/>
    </row>
  </sheetData>
  <mergeCells count="17">
    <mergeCell ref="P10:P12"/>
    <mergeCell ref="Q10:Q12"/>
    <mergeCell ref="R10:R12"/>
    <mergeCell ref="H10:H12"/>
    <mergeCell ref="J10:J12"/>
    <mergeCell ref="K10:K12"/>
    <mergeCell ref="M10:M12"/>
    <mergeCell ref="N10:N12"/>
    <mergeCell ref="O10:O12"/>
    <mergeCell ref="A6:G6"/>
    <mergeCell ref="A7:G7"/>
    <mergeCell ref="B10:B12"/>
    <mergeCell ref="C10:C12"/>
    <mergeCell ref="D10:D12"/>
    <mergeCell ref="E10:E12"/>
    <mergeCell ref="F10:F12"/>
    <mergeCell ref="G10:G12"/>
  </mergeCells>
  <pageMargins left="0.74803149606299213" right="0.74803149606299213" top="0.98425196850393704" bottom="0.98425196850393704" header="0.51181102362204722" footer="0.51181102362204722"/>
  <pageSetup paperSize="8" scale="30" orientation="portrait" r:id="rId1"/>
  <headerFooter alignWithMargins="0">
    <oddFooter>&amp;R&amp;"CG Omega,Regular" Date: Feb 2010
Revision 13.0&amp;L&amp;"Calibri"&amp;11&amp;K000000&amp;"CG Omega,Regular"Table 8 of 10_x000D_&amp;1#&amp;"Arial"&amp;11&amp;K000000SW Private Commercial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9DB22-CC98-4E21-9318-7FA186C26827}">
  <sheetPr>
    <pageSetUpPr fitToPage="1"/>
  </sheetPr>
  <dimension ref="A1:R275"/>
  <sheetViews>
    <sheetView zoomScaleNormal="100" zoomScalePageLayoutView="55" workbookViewId="0">
      <selection sqref="A1:XFD1048576"/>
    </sheetView>
  </sheetViews>
  <sheetFormatPr defaultColWidth="9.42578125" defaultRowHeight="12.6"/>
  <cols>
    <col min="1" max="1" width="7.42578125" style="91" customWidth="1"/>
    <col min="2" max="2" width="54.5703125" style="91" customWidth="1"/>
    <col min="3" max="3" width="19.5703125" style="91" customWidth="1"/>
    <col min="4" max="4" width="16.42578125" style="91" customWidth="1"/>
    <col min="5" max="5" width="12.42578125" style="91" customWidth="1"/>
    <col min="6" max="6" width="19.42578125" style="91" customWidth="1"/>
    <col min="7" max="7" width="20.5703125" style="91" customWidth="1"/>
    <col min="8" max="8" width="18" style="91" customWidth="1"/>
    <col min="9" max="9" width="1.5703125" style="91" customWidth="1"/>
    <col min="10" max="10" width="14.5703125" style="91" customWidth="1"/>
    <col min="11" max="11" width="11.5703125" style="91" customWidth="1"/>
    <col min="12" max="12" width="2.42578125" style="91" customWidth="1"/>
    <col min="13" max="13" width="23.5703125" style="91" customWidth="1"/>
    <col min="14" max="14" width="12.42578125" style="91" customWidth="1"/>
    <col min="15" max="15" width="23.5703125" style="91" customWidth="1"/>
    <col min="16" max="16" width="25.5703125" style="91" customWidth="1"/>
    <col min="17" max="17" width="12.5703125" style="91" customWidth="1"/>
    <col min="18" max="18" width="15.5703125" style="91" customWidth="1"/>
    <col min="19" max="16384" width="9.42578125" style="91"/>
  </cols>
  <sheetData>
    <row r="1" spans="1:18" s="86" customFormat="1" ht="20.100000000000001">
      <c r="A1" s="84" t="s">
        <v>0</v>
      </c>
      <c r="B1" s="85"/>
      <c r="C1" s="85"/>
    </row>
    <row r="2" spans="1:18" s="86" customFormat="1" ht="20.100000000000001"/>
    <row r="3" spans="1:18" s="86" customFormat="1" ht="20.100000000000001">
      <c r="A3" s="238" t="str">
        <f>"ANNUAL RETURN INFORMATION REQUIREMENTS "&amp;_reportyear</f>
        <v>ANNUAL RETURN INFORMATION REQUIREMENTS 2023-24</v>
      </c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 ht="15.6">
      <c r="A4" s="89"/>
      <c r="B4" s="90"/>
      <c r="C4" s="90"/>
    </row>
    <row r="5" spans="1:18" ht="15.95" thickBot="1">
      <c r="A5" s="89"/>
      <c r="B5" s="90"/>
      <c r="C5" s="90"/>
    </row>
    <row r="6" spans="1:18" ht="20.100000000000001">
      <c r="A6" s="1349" t="s">
        <v>1</v>
      </c>
      <c r="B6" s="1350"/>
      <c r="C6" s="1350"/>
      <c r="D6" s="1350"/>
      <c r="E6" s="1350"/>
      <c r="F6" s="1350"/>
      <c r="G6" s="1351"/>
    </row>
    <row r="7" spans="1:18" ht="20.45" thickBot="1">
      <c r="A7" s="1352" t="s">
        <v>1013</v>
      </c>
      <c r="B7" s="1353"/>
      <c r="C7" s="1353"/>
      <c r="D7" s="1353"/>
      <c r="E7" s="1353"/>
      <c r="F7" s="1353"/>
      <c r="G7" s="1354"/>
    </row>
    <row r="8" spans="1:18" ht="15.6">
      <c r="A8" s="89"/>
      <c r="R8" s="385"/>
    </row>
    <row r="9" spans="1:18" ht="15.95" thickBot="1">
      <c r="A9" s="89"/>
      <c r="B9" s="92">
        <v>1</v>
      </c>
      <c r="C9" s="93">
        <v>2</v>
      </c>
      <c r="D9" s="93">
        <v>3</v>
      </c>
      <c r="E9" s="93">
        <v>4</v>
      </c>
      <c r="F9" s="93">
        <v>5</v>
      </c>
      <c r="G9" s="93">
        <v>6</v>
      </c>
      <c r="H9" s="94">
        <v>7</v>
      </c>
      <c r="J9" s="95">
        <v>8</v>
      </c>
      <c r="K9" s="96">
        <v>9</v>
      </c>
      <c r="M9" s="92">
        <v>10</v>
      </c>
      <c r="N9" s="93">
        <v>11</v>
      </c>
      <c r="O9" s="93">
        <v>12</v>
      </c>
      <c r="P9" s="93">
        <v>13</v>
      </c>
      <c r="Q9" s="94">
        <v>14</v>
      </c>
      <c r="R9" s="94">
        <v>15</v>
      </c>
    </row>
    <row r="10" spans="1:18">
      <c r="B10" s="1355" t="s">
        <v>810</v>
      </c>
      <c r="C10" s="1358" t="s">
        <v>811</v>
      </c>
      <c r="D10" s="1358" t="s">
        <v>812</v>
      </c>
      <c r="E10" s="1358" t="s">
        <v>813</v>
      </c>
      <c r="F10" s="1358" t="s">
        <v>814</v>
      </c>
      <c r="G10" s="1358" t="s">
        <v>815</v>
      </c>
      <c r="H10" s="1362" t="s">
        <v>816</v>
      </c>
      <c r="J10" s="1365" t="s">
        <v>817</v>
      </c>
      <c r="K10" s="1368" t="s">
        <v>818</v>
      </c>
      <c r="M10" s="1355" t="s">
        <v>819</v>
      </c>
      <c r="N10" s="1358" t="s">
        <v>820</v>
      </c>
      <c r="O10" s="1358" t="s">
        <v>821</v>
      </c>
      <c r="P10" s="1358" t="s">
        <v>822</v>
      </c>
      <c r="Q10" s="1362" t="s">
        <v>764</v>
      </c>
      <c r="R10" s="1362" t="s">
        <v>777</v>
      </c>
    </row>
    <row r="11" spans="1:18">
      <c r="B11" s="1356"/>
      <c r="C11" s="1358"/>
      <c r="D11" s="1358"/>
      <c r="E11" s="1358"/>
      <c r="F11" s="1358"/>
      <c r="G11" s="1358"/>
      <c r="H11" s="1363" t="s">
        <v>750</v>
      </c>
      <c r="J11" s="1366" t="s">
        <v>750</v>
      </c>
      <c r="K11" s="1369" t="s">
        <v>750</v>
      </c>
      <c r="M11" s="1356"/>
      <c r="N11" s="1360"/>
      <c r="O11" s="1360"/>
      <c r="P11" s="1360"/>
      <c r="Q11" s="1363"/>
      <c r="R11" s="1363"/>
    </row>
    <row r="12" spans="1:18">
      <c r="B12" s="1357"/>
      <c r="C12" s="1359"/>
      <c r="D12" s="1359"/>
      <c r="E12" s="1359"/>
      <c r="F12" s="1359"/>
      <c r="G12" s="1359"/>
      <c r="H12" s="1364"/>
      <c r="J12" s="1367"/>
      <c r="K12" s="1370"/>
      <c r="M12" s="1357"/>
      <c r="N12" s="1361"/>
      <c r="O12" s="1361"/>
      <c r="P12" s="1361"/>
      <c r="Q12" s="1364"/>
      <c r="R12" s="1364"/>
    </row>
    <row r="13" spans="1:18">
      <c r="B13" s="1125" t="s">
        <v>823</v>
      </c>
      <c r="C13" s="1126">
        <v>44.805232590789238</v>
      </c>
      <c r="D13" s="1127">
        <v>0</v>
      </c>
      <c r="E13" s="1127">
        <v>0</v>
      </c>
      <c r="F13" s="1126">
        <v>35.72103654</v>
      </c>
      <c r="G13" s="1126">
        <v>34.680618000000003</v>
      </c>
      <c r="H13" s="1128">
        <f>+C13+D13-E13-F13</f>
        <v>9.0841960507892381</v>
      </c>
      <c r="J13" s="1129">
        <v>2.8576829232000001</v>
      </c>
      <c r="K13" s="1128">
        <f>+H13-J13</f>
        <v>6.2265131275892376</v>
      </c>
      <c r="M13" s="105">
        <f>+IF(ISERROR(K13/(F13+J13)),0,K13/(F13+J13))</f>
        <v>0.16139761024283528</v>
      </c>
      <c r="N13" s="1126">
        <v>96.461717997572492</v>
      </c>
      <c r="O13" s="108">
        <f>IF(K13&lt;0,N13/$N$263,0)</f>
        <v>0</v>
      </c>
      <c r="P13" s="1130">
        <f>(M13^2*O13)*100</f>
        <v>0</v>
      </c>
      <c r="Q13" s="1131"/>
    </row>
    <row r="14" spans="1:18">
      <c r="B14" s="1132" t="s">
        <v>824</v>
      </c>
      <c r="C14" s="1133">
        <v>13.237434145810694</v>
      </c>
      <c r="D14" s="1134">
        <v>0</v>
      </c>
      <c r="E14" s="1134">
        <v>0</v>
      </c>
      <c r="F14" s="1133">
        <v>10.329233460000001</v>
      </c>
      <c r="G14" s="1133">
        <v>10.028382000000001</v>
      </c>
      <c r="H14" s="1135">
        <f>+C14+D14-E14-F14</f>
        <v>2.9082006858106926</v>
      </c>
      <c r="J14" s="1136">
        <v>0.82633867680000006</v>
      </c>
      <c r="K14" s="1135">
        <f t="shared" ref="K14:K37" si="0">+H14-J14</f>
        <v>2.0818620090106927</v>
      </c>
      <c r="M14" s="106">
        <f>+IF(ISERROR(K14/(F14+J14)),0,K14/(F14+J14))</f>
        <v>0.18662081903832134</v>
      </c>
      <c r="N14" s="1133">
        <v>35.958425916330448</v>
      </c>
      <c r="O14" s="109">
        <f t="shared" ref="O14:O77" si="1">IF(K14&lt;0,N14/$N$263,0)</f>
        <v>0</v>
      </c>
      <c r="P14" s="1137">
        <f t="shared" ref="P14:P37" si="2">(M14^2*O14)*100</f>
        <v>0</v>
      </c>
      <c r="Q14" s="1131"/>
    </row>
    <row r="15" spans="1:18">
      <c r="B15" s="1132" t="s">
        <v>825</v>
      </c>
      <c r="C15" s="1133">
        <v>98.19974832593806</v>
      </c>
      <c r="D15" s="1134">
        <v>0</v>
      </c>
      <c r="E15" s="1134">
        <v>0</v>
      </c>
      <c r="F15" s="1133">
        <v>95.898326130000001</v>
      </c>
      <c r="G15" s="1133">
        <v>93.105170999999999</v>
      </c>
      <c r="H15" s="1135">
        <f t="shared" ref="H15:H37" si="3">+C15+D15-E15-F15</f>
        <v>2.3014221959380592</v>
      </c>
      <c r="J15" s="1136">
        <v>7.6718660904</v>
      </c>
      <c r="K15" s="1135">
        <f t="shared" si="0"/>
        <v>-5.3704438944619408</v>
      </c>
      <c r="M15" s="106">
        <f>+IF(ISERROR(K15/(F15+J15)),0,K15/(F15+J15))</f>
        <v>-5.1853180720505952E-2</v>
      </c>
      <c r="N15" s="1133">
        <v>301.6719100557126</v>
      </c>
      <c r="O15" s="109">
        <f>IF(K15&lt;0,N15/$N$263,0)</f>
        <v>5.6381975946319211E-2</v>
      </c>
      <c r="P15" s="1137">
        <f>(M15^2*O15)*100</f>
        <v>1.5159717037030083E-2</v>
      </c>
      <c r="Q15" s="1131"/>
    </row>
    <row r="16" spans="1:18">
      <c r="B16" s="1132" t="s">
        <v>826</v>
      </c>
      <c r="C16" s="1133">
        <v>24.261232180175281</v>
      </c>
      <c r="D16" s="1134">
        <v>0</v>
      </c>
      <c r="E16" s="1134">
        <v>0</v>
      </c>
      <c r="F16" s="1133">
        <v>17.851696320000002</v>
      </c>
      <c r="G16" s="1133">
        <v>17.331744</v>
      </c>
      <c r="H16" s="1135">
        <f t="shared" si="3"/>
        <v>6.4095358601752785</v>
      </c>
      <c r="J16" s="1136">
        <v>1.4281357056000001</v>
      </c>
      <c r="K16" s="1135">
        <f t="shared" si="0"/>
        <v>4.9814001545752786</v>
      </c>
      <c r="M16" s="106">
        <f t="shared" ref="M16:M37" si="4">+IF(ISERROR(K16/(F16+J16)),0,K16/(F16+J16))</f>
        <v>0.25837362835738992</v>
      </c>
      <c r="N16" s="1133">
        <v>56.942466876744888</v>
      </c>
      <c r="O16" s="109">
        <f>IF(K16&lt;0,N16/$N$263,0)</f>
        <v>0</v>
      </c>
      <c r="P16" s="1137">
        <f>(M16^2*O16)*100</f>
        <v>0</v>
      </c>
      <c r="Q16" s="1131"/>
    </row>
    <row r="17" spans="2:17">
      <c r="B17" s="1132" t="s">
        <v>827</v>
      </c>
      <c r="C17" s="1133">
        <v>3.4303502424489793</v>
      </c>
      <c r="D17" s="1134">
        <v>0</v>
      </c>
      <c r="E17" s="1134">
        <v>0</v>
      </c>
      <c r="F17" s="1133">
        <v>5.8283361200000003</v>
      </c>
      <c r="G17" s="1133">
        <v>4.7644039999999999</v>
      </c>
      <c r="H17" s="1135">
        <f t="shared" si="3"/>
        <v>-2.397985877551021</v>
      </c>
      <c r="J17" s="1136">
        <v>0.56419903056133769</v>
      </c>
      <c r="K17" s="1135">
        <f t="shared" si="0"/>
        <v>-2.9621849081123588</v>
      </c>
      <c r="M17" s="106">
        <f t="shared" si="4"/>
        <v>-0.46338187250362556</v>
      </c>
      <c r="N17" s="1133">
        <v>8.2390723337071474</v>
      </c>
      <c r="O17" s="109">
        <f t="shared" si="1"/>
        <v>1.5398688530638149E-3</v>
      </c>
      <c r="P17" s="1137">
        <f t="shared" si="2"/>
        <v>3.3064488980597571E-2</v>
      </c>
      <c r="Q17" s="1131"/>
    </row>
    <row r="18" spans="2:17">
      <c r="B18" s="1132" t="s">
        <v>828</v>
      </c>
      <c r="C18" s="1133">
        <v>0.29682845076530612</v>
      </c>
      <c r="D18" s="1134">
        <v>0</v>
      </c>
      <c r="E18" s="1134">
        <v>0</v>
      </c>
      <c r="F18" s="1133">
        <v>0.1236</v>
      </c>
      <c r="G18" s="1133">
        <v>0.12</v>
      </c>
      <c r="H18" s="1135">
        <f t="shared" si="3"/>
        <v>0.17322845076530613</v>
      </c>
      <c r="J18" s="1136">
        <v>9.888000000000001E-3</v>
      </c>
      <c r="K18" s="1135">
        <f t="shared" si="0"/>
        <v>0.16334045076530612</v>
      </c>
      <c r="M18" s="106">
        <f t="shared" si="4"/>
        <v>1.2236339653400015</v>
      </c>
      <c r="N18" s="1133">
        <v>0.34592844375176973</v>
      </c>
      <c r="O18" s="109">
        <f t="shared" si="1"/>
        <v>0</v>
      </c>
      <c r="P18" s="1137">
        <f t="shared" si="2"/>
        <v>0</v>
      </c>
      <c r="Q18" s="1131"/>
    </row>
    <row r="19" spans="2:17">
      <c r="B19" s="1132" t="s">
        <v>829</v>
      </c>
      <c r="C19" s="1133">
        <v>0.18</v>
      </c>
      <c r="D19" s="1134">
        <v>0</v>
      </c>
      <c r="E19" s="1134">
        <v>0</v>
      </c>
      <c r="F19" s="1133">
        <v>0.23152205000000003</v>
      </c>
      <c r="G19" s="1133">
        <v>0.176235</v>
      </c>
      <c r="H19" s="1135">
        <f t="shared" si="3"/>
        <v>-5.1522050000000041E-2</v>
      </c>
      <c r="J19" s="1136">
        <v>2.0888123703830426E-2</v>
      </c>
      <c r="K19" s="1135">
        <f t="shared" si="0"/>
        <v>-7.241017370383046E-2</v>
      </c>
      <c r="M19" s="106">
        <f t="shared" si="4"/>
        <v>-0.28687502029452311</v>
      </c>
      <c r="N19" s="1133">
        <v>0.39614386300605892</v>
      </c>
      <c r="O19" s="109">
        <f t="shared" si="1"/>
        <v>7.4038626105972892E-5</v>
      </c>
      <c r="P19" s="1137">
        <f t="shared" si="2"/>
        <v>6.0931773412578171E-4</v>
      </c>
      <c r="Q19" s="1131"/>
    </row>
    <row r="20" spans="2:17">
      <c r="B20" s="1132" t="s">
        <v>830</v>
      </c>
      <c r="C20" s="1133">
        <v>28.96340091636829</v>
      </c>
      <c r="D20" s="1134">
        <v>0</v>
      </c>
      <c r="E20" s="1134">
        <v>0</v>
      </c>
      <c r="F20" s="1133">
        <v>25.250075079999998</v>
      </c>
      <c r="G20" s="1133">
        <v>24.514635999999999</v>
      </c>
      <c r="H20" s="1135">
        <f t="shared" si="3"/>
        <v>3.7133258363682913</v>
      </c>
      <c r="J20" s="1136">
        <v>2.0200060064000001</v>
      </c>
      <c r="K20" s="1135">
        <f t="shared" si="0"/>
        <v>1.6933198299682912</v>
      </c>
      <c r="M20" s="106">
        <f t="shared" si="4"/>
        <v>6.2094418590224708E-2</v>
      </c>
      <c r="N20" s="1133">
        <v>68.004967021720987</v>
      </c>
      <c r="O20" s="109">
        <f t="shared" si="1"/>
        <v>0</v>
      </c>
      <c r="P20" s="1137">
        <f t="shared" si="2"/>
        <v>0</v>
      </c>
      <c r="Q20" s="1131"/>
    </row>
    <row r="21" spans="2:17">
      <c r="B21" s="1132" t="s">
        <v>831</v>
      </c>
      <c r="C21" s="1133">
        <v>111.53142300000002</v>
      </c>
      <c r="D21" s="1134">
        <v>0</v>
      </c>
      <c r="E21" s="1134">
        <v>0</v>
      </c>
      <c r="F21" s="1133">
        <v>110.43123344999999</v>
      </c>
      <c r="G21" s="1133">
        <v>95.920614999999998</v>
      </c>
      <c r="H21" s="1135">
        <f t="shared" si="3"/>
        <v>1.1001895500000245</v>
      </c>
      <c r="J21" s="1136">
        <v>8.8344986759999991</v>
      </c>
      <c r="K21" s="1135">
        <f t="shared" si="0"/>
        <v>-7.7343091259999746</v>
      </c>
      <c r="M21" s="106">
        <f t="shared" si="4"/>
        <v>-6.4849382870755812E-2</v>
      </c>
      <c r="N21" s="1133">
        <v>342.2293845436605</v>
      </c>
      <c r="O21" s="109">
        <f t="shared" si="1"/>
        <v>6.3962100163388769E-2</v>
      </c>
      <c r="P21" s="1137">
        <f t="shared" si="2"/>
        <v>2.689889317758808E-2</v>
      </c>
      <c r="Q21" s="1131"/>
    </row>
    <row r="22" spans="2:17">
      <c r="B22" s="1132" t="s">
        <v>832</v>
      </c>
      <c r="C22" s="1133">
        <v>1.8</v>
      </c>
      <c r="D22" s="1134">
        <v>0</v>
      </c>
      <c r="E22" s="1134">
        <v>0</v>
      </c>
      <c r="F22" s="1133">
        <v>1.2985433100000001</v>
      </c>
      <c r="G22" s="1133">
        <v>0.98887700000000001</v>
      </c>
      <c r="H22" s="1135">
        <f t="shared" si="3"/>
        <v>0.50145668999999993</v>
      </c>
      <c r="J22" s="1136">
        <v>0.10388346480000001</v>
      </c>
      <c r="K22" s="1135">
        <f t="shared" si="0"/>
        <v>0.39757322519999994</v>
      </c>
      <c r="M22" s="106">
        <f t="shared" si="4"/>
        <v>0.28348947149607706</v>
      </c>
      <c r="N22" s="1133">
        <v>3.6106713337824581</v>
      </c>
      <c r="O22" s="109">
        <f t="shared" si="1"/>
        <v>0</v>
      </c>
      <c r="P22" s="1137">
        <f t="shared" si="2"/>
        <v>0</v>
      </c>
      <c r="Q22" s="1131"/>
    </row>
    <row r="23" spans="2:17">
      <c r="B23" s="1132" t="s">
        <v>833</v>
      </c>
      <c r="C23" s="1133">
        <v>0.5541689209391305</v>
      </c>
      <c r="D23" s="1134">
        <v>0</v>
      </c>
      <c r="E23" s="1134">
        <v>0</v>
      </c>
      <c r="F23" s="1133">
        <v>1.9956539841999998</v>
      </c>
      <c r="G23" s="1133">
        <v>1.6419729999999999</v>
      </c>
      <c r="H23" s="1135">
        <f t="shared" si="3"/>
        <v>-1.4414850632608693</v>
      </c>
      <c r="J23" s="1136">
        <v>0.19163524893962905</v>
      </c>
      <c r="K23" s="1135">
        <f t="shared" si="0"/>
        <v>-1.6331203122004985</v>
      </c>
      <c r="M23" s="106">
        <f t="shared" si="4"/>
        <v>-0.74664122488104701</v>
      </c>
      <c r="N23" s="1133">
        <v>5.6343877850728976</v>
      </c>
      <c r="O23" s="109">
        <f t="shared" si="1"/>
        <v>1.0530576629144766E-3</v>
      </c>
      <c r="P23" s="1137">
        <f t="shared" si="2"/>
        <v>5.8705133950730549E-2</v>
      </c>
      <c r="Q23" s="1131"/>
    </row>
    <row r="24" spans="2:17">
      <c r="B24" s="1132" t="s">
        <v>834</v>
      </c>
      <c r="C24" s="1133">
        <v>0.41565560390243916</v>
      </c>
      <c r="D24" s="1134">
        <v>0</v>
      </c>
      <c r="E24" s="1134">
        <v>0</v>
      </c>
      <c r="F24" s="1133">
        <v>0.45449136000000001</v>
      </c>
      <c r="G24" s="1133">
        <v>0.339312</v>
      </c>
      <c r="H24" s="1135">
        <f t="shared" si="3"/>
        <v>-3.8835756097560847E-2</v>
      </c>
      <c r="J24" s="1136">
        <v>3.6359308800000004E-2</v>
      </c>
      <c r="K24" s="1135">
        <f t="shared" si="0"/>
        <v>-7.5195064897560851E-2</v>
      </c>
      <c r="M24" s="106">
        <f t="shared" si="4"/>
        <v>-0.15319336343453069</v>
      </c>
      <c r="N24" s="1133">
        <v>0.70578080898727436</v>
      </c>
      <c r="O24" s="109">
        <f t="shared" si="1"/>
        <v>1.3190925395853136E-4</v>
      </c>
      <c r="P24" s="1137">
        <f t="shared" si="2"/>
        <v>3.0956736244013613E-4</v>
      </c>
      <c r="Q24" s="1131"/>
    </row>
    <row r="25" spans="2:17">
      <c r="B25" s="1132" t="s">
        <v>835</v>
      </c>
      <c r="C25" s="1133">
        <v>2</v>
      </c>
      <c r="D25" s="1134">
        <v>0</v>
      </c>
      <c r="E25" s="1134">
        <v>0</v>
      </c>
      <c r="F25" s="1133">
        <v>1.632464304</v>
      </c>
      <c r="G25" s="1133">
        <v>1.320764</v>
      </c>
      <c r="H25" s="1135">
        <f t="shared" si="3"/>
        <v>0.36753569600000002</v>
      </c>
      <c r="J25" s="1136">
        <v>0.13059714432</v>
      </c>
      <c r="K25" s="1135">
        <f t="shared" si="0"/>
        <v>0.23693855168000003</v>
      </c>
      <c r="M25" s="106">
        <f t="shared" si="4"/>
        <v>0.1343904104452944</v>
      </c>
      <c r="N25" s="1133">
        <v>5.4070630615047843</v>
      </c>
      <c r="O25" s="109">
        <f t="shared" si="1"/>
        <v>0</v>
      </c>
      <c r="P25" s="1137">
        <f t="shared" si="2"/>
        <v>0</v>
      </c>
      <c r="Q25" s="1131"/>
    </row>
    <row r="26" spans="2:17">
      <c r="B26" s="1132" t="s">
        <v>836</v>
      </c>
      <c r="C26" s="1133">
        <v>3.6000000000000004E-2</v>
      </c>
      <c r="D26" s="1134">
        <v>0</v>
      </c>
      <c r="E26" s="1134">
        <v>0</v>
      </c>
      <c r="F26" s="1133">
        <v>1.0129020000000001E-2</v>
      </c>
      <c r="G26" s="1133">
        <v>6.5560000000000002E-3</v>
      </c>
      <c r="H26" s="1135">
        <f t="shared" si="3"/>
        <v>2.5870980000000002E-2</v>
      </c>
      <c r="J26" s="1136">
        <v>8.1032160000000012E-4</v>
      </c>
      <c r="K26" s="1135">
        <f t="shared" si="0"/>
        <v>2.5060658400000001E-2</v>
      </c>
      <c r="M26" s="106">
        <f t="shared" si="4"/>
        <v>2.2908744709096567</v>
      </c>
      <c r="N26" s="1133">
        <v>4.5187185941258416E-2</v>
      </c>
      <c r="O26" s="109">
        <f t="shared" si="1"/>
        <v>0</v>
      </c>
      <c r="P26" s="1137">
        <f t="shared" si="2"/>
        <v>0</v>
      </c>
      <c r="Q26" s="1131"/>
    </row>
    <row r="27" spans="2:17">
      <c r="B27" s="1132" t="s">
        <v>837</v>
      </c>
      <c r="C27" s="1133">
        <v>0.25</v>
      </c>
      <c r="D27" s="1134">
        <v>0</v>
      </c>
      <c r="E27" s="1134">
        <v>0</v>
      </c>
      <c r="F27" s="1133">
        <v>0.1821684368</v>
      </c>
      <c r="G27" s="1133">
        <v>0.13004599999999999</v>
      </c>
      <c r="H27" s="1135">
        <f t="shared" si="3"/>
        <v>6.78315632E-2</v>
      </c>
      <c r="J27" s="1136">
        <v>1.4573474944000001E-2</v>
      </c>
      <c r="K27" s="1135">
        <f t="shared" si="0"/>
        <v>5.3258088256000001E-2</v>
      </c>
      <c r="M27" s="106">
        <f t="shared" si="4"/>
        <v>0.27070026810199582</v>
      </c>
      <c r="N27" s="1133">
        <v>0.44756831789436913</v>
      </c>
      <c r="O27" s="109">
        <f t="shared" si="1"/>
        <v>0</v>
      </c>
      <c r="P27" s="1137">
        <f t="shared" si="2"/>
        <v>0</v>
      </c>
      <c r="Q27" s="1131"/>
    </row>
    <row r="28" spans="2:17">
      <c r="B28" s="1132" t="s">
        <v>838</v>
      </c>
      <c r="C28" s="1133">
        <v>9.5000000000000001E-2</v>
      </c>
      <c r="D28" s="1134">
        <v>0</v>
      </c>
      <c r="E28" s="1134">
        <v>0</v>
      </c>
      <c r="F28" s="1133">
        <v>0.13664477</v>
      </c>
      <c r="G28" s="1133">
        <v>9.2858999999999997E-2</v>
      </c>
      <c r="H28" s="1135">
        <f t="shared" si="3"/>
        <v>-4.1644769999999998E-2</v>
      </c>
      <c r="J28" s="1136">
        <v>1.09315816E-2</v>
      </c>
      <c r="K28" s="1135">
        <f t="shared" si="0"/>
        <v>-5.2576351600000001E-2</v>
      </c>
      <c r="M28" s="106">
        <f t="shared" si="4"/>
        <v>-0.35626542484602258</v>
      </c>
      <c r="N28" s="1133">
        <v>0.15068903590886634</v>
      </c>
      <c r="O28" s="109">
        <f t="shared" si="1"/>
        <v>2.8163529035297555E-5</v>
      </c>
      <c r="P28" s="1137">
        <f t="shared" si="2"/>
        <v>3.5746574138025613E-4</v>
      </c>
      <c r="Q28" s="1131"/>
    </row>
    <row r="29" spans="2:17">
      <c r="B29" s="1132" t="s">
        <v>839</v>
      </c>
      <c r="C29" s="1133">
        <v>0.15</v>
      </c>
      <c r="D29" s="1134">
        <v>0</v>
      </c>
      <c r="E29" s="1134">
        <v>0</v>
      </c>
      <c r="F29" s="1133">
        <v>0.15700423899999999</v>
      </c>
      <c r="G29" s="1133">
        <v>0.104405</v>
      </c>
      <c r="H29" s="1135">
        <f t="shared" si="3"/>
        <v>-7.0042389999999954E-3</v>
      </c>
      <c r="J29" s="1136">
        <v>1.8933366382796787E-2</v>
      </c>
      <c r="K29" s="1135">
        <f t="shared" si="0"/>
        <v>-2.5937605382796783E-2</v>
      </c>
      <c r="M29" s="106">
        <f t="shared" si="4"/>
        <v>-0.14742502221945647</v>
      </c>
      <c r="N29" s="1133">
        <v>0.42858310213041206</v>
      </c>
      <c r="O29" s="109">
        <f t="shared" si="1"/>
        <v>8.0101465697794344E-5</v>
      </c>
      <c r="P29" s="1137">
        <f t="shared" si="2"/>
        <v>1.7409362435071409E-4</v>
      </c>
      <c r="Q29" s="1131"/>
    </row>
    <row r="30" spans="2:17">
      <c r="B30" s="1132" t="s">
        <v>840</v>
      </c>
      <c r="C30" s="1133">
        <v>20.765273632327709</v>
      </c>
      <c r="D30" s="1134">
        <v>0</v>
      </c>
      <c r="E30" s="1134">
        <v>0</v>
      </c>
      <c r="F30" s="1133">
        <v>26.478241930000003</v>
      </c>
      <c r="G30" s="1133">
        <v>25.707031000000001</v>
      </c>
      <c r="H30" s="1135">
        <f t="shared" si="3"/>
        <v>-5.712968297672294</v>
      </c>
      <c r="J30" s="1136">
        <v>2.206636344587924</v>
      </c>
      <c r="K30" s="1135">
        <f t="shared" si="0"/>
        <v>-7.919604642260218</v>
      </c>
      <c r="M30" s="106">
        <f t="shared" si="4"/>
        <v>-0.27608988145075147</v>
      </c>
      <c r="N30" s="1133">
        <v>81.060021016692119</v>
      </c>
      <c r="O30" s="109">
        <f t="shared" si="1"/>
        <v>1.5149982490339322E-2</v>
      </c>
      <c r="P30" s="1137">
        <f t="shared" si="2"/>
        <v>0.1154816848303486</v>
      </c>
      <c r="Q30" s="1131"/>
    </row>
    <row r="31" spans="2:17">
      <c r="B31" s="1132" t="s">
        <v>841</v>
      </c>
      <c r="C31" s="1133">
        <v>3.88</v>
      </c>
      <c r="D31" s="1134">
        <v>0</v>
      </c>
      <c r="E31" s="1134">
        <v>0</v>
      </c>
      <c r="F31" s="1133">
        <v>3.0520578900000004</v>
      </c>
      <c r="G31" s="1133">
        <v>2.9631630000000002</v>
      </c>
      <c r="H31" s="1135">
        <f t="shared" si="3"/>
        <v>0.82794210999999951</v>
      </c>
      <c r="J31" s="1136">
        <v>0.24416463120000004</v>
      </c>
      <c r="K31" s="1135">
        <f t="shared" si="0"/>
        <v>0.58377747879999942</v>
      </c>
      <c r="M31" s="106">
        <f t="shared" si="4"/>
        <v>0.17710499671832633</v>
      </c>
      <c r="N31" s="1133">
        <v>5.936059211389713</v>
      </c>
      <c r="O31" s="109">
        <f t="shared" si="1"/>
        <v>0</v>
      </c>
      <c r="P31" s="1137">
        <f t="shared" si="2"/>
        <v>0</v>
      </c>
      <c r="Q31" s="1131"/>
    </row>
    <row r="32" spans="2:17">
      <c r="B32" s="1132" t="s">
        <v>842</v>
      </c>
      <c r="C32" s="1133">
        <v>0.5320613474823529</v>
      </c>
      <c r="D32" s="1134">
        <v>0</v>
      </c>
      <c r="E32" s="1134">
        <v>0</v>
      </c>
      <c r="F32" s="1133">
        <v>0.38462869760000007</v>
      </c>
      <c r="G32" s="1133">
        <v>0.29173900000000003</v>
      </c>
      <c r="H32" s="1135">
        <f t="shared" si="3"/>
        <v>0.14743264988235283</v>
      </c>
      <c r="J32" s="1136">
        <v>3.0770295808000007E-2</v>
      </c>
      <c r="K32" s="1135">
        <f t="shared" si="0"/>
        <v>0.11666235407435283</v>
      </c>
      <c r="M32" s="106">
        <f t="shared" si="4"/>
        <v>0.28084409429410534</v>
      </c>
      <c r="N32" s="1133">
        <v>0.42459157765141536</v>
      </c>
      <c r="O32" s="109">
        <f t="shared" si="1"/>
        <v>0</v>
      </c>
      <c r="P32" s="1137">
        <f t="shared" si="2"/>
        <v>0</v>
      </c>
      <c r="Q32" s="1131"/>
    </row>
    <row r="33" spans="2:17">
      <c r="B33" s="1132" t="s">
        <v>843</v>
      </c>
      <c r="C33" s="1133">
        <v>1.4119321796608695</v>
      </c>
      <c r="D33" s="1134">
        <v>0</v>
      </c>
      <c r="E33" s="1134">
        <v>0</v>
      </c>
      <c r="F33" s="1133">
        <v>1.3533983700000001</v>
      </c>
      <c r="G33" s="1133">
        <v>1.313979</v>
      </c>
      <c r="H33" s="1135">
        <f t="shared" si="3"/>
        <v>5.8533809660869407E-2</v>
      </c>
      <c r="J33" s="1136">
        <v>0.11909207996619746</v>
      </c>
      <c r="K33" s="1135">
        <f t="shared" si="0"/>
        <v>-6.0558270305328052E-2</v>
      </c>
      <c r="M33" s="106">
        <f t="shared" si="4"/>
        <v>-4.1126426529094449E-2</v>
      </c>
      <c r="N33" s="1133">
        <v>2.7056609739042075</v>
      </c>
      <c r="O33" s="109">
        <f t="shared" si="1"/>
        <v>5.0568351531764656E-4</v>
      </c>
      <c r="P33" s="1137">
        <f t="shared" si="2"/>
        <v>8.5530448048228594E-5</v>
      </c>
      <c r="Q33" s="1131"/>
    </row>
    <row r="34" spans="2:17">
      <c r="B34" s="1132" t="s">
        <v>844</v>
      </c>
      <c r="C34" s="1133">
        <v>1.05</v>
      </c>
      <c r="D34" s="1134">
        <v>0</v>
      </c>
      <c r="E34" s="1134">
        <v>0</v>
      </c>
      <c r="F34" s="1133">
        <v>1.0281419199999999</v>
      </c>
      <c r="G34" s="1133">
        <v>0.829264</v>
      </c>
      <c r="H34" s="1135">
        <f t="shared" si="3"/>
        <v>2.1858080000000113E-2</v>
      </c>
      <c r="J34" s="1136">
        <v>0.14175351443109457</v>
      </c>
      <c r="K34" s="1135">
        <f t="shared" si="0"/>
        <v>-0.11989543443109446</v>
      </c>
      <c r="M34" s="106">
        <f t="shared" si="4"/>
        <v>-0.10248388950196913</v>
      </c>
      <c r="N34" s="1133">
        <v>1.5743388413955453</v>
      </c>
      <c r="O34" s="109">
        <f t="shared" si="1"/>
        <v>2.9424129900104635E-4</v>
      </c>
      <c r="P34" s="1137">
        <f t="shared" si="2"/>
        <v>3.0904009473565547E-4</v>
      </c>
      <c r="Q34" s="1131"/>
    </row>
    <row r="35" spans="2:17">
      <c r="B35" s="1132" t="s">
        <v>845</v>
      </c>
      <c r="C35" s="1133">
        <v>0.97</v>
      </c>
      <c r="D35" s="1134">
        <v>0</v>
      </c>
      <c r="E35" s="1134">
        <v>0</v>
      </c>
      <c r="F35" s="1133">
        <v>0.63065561000000003</v>
      </c>
      <c r="G35" s="1133">
        <v>0.61228700000000003</v>
      </c>
      <c r="H35" s="1135">
        <f t="shared" si="3"/>
        <v>0.33934438999999994</v>
      </c>
      <c r="J35" s="1136">
        <v>5.0452448800000001E-2</v>
      </c>
      <c r="K35" s="1135">
        <f t="shared" si="0"/>
        <v>0.28889194119999995</v>
      </c>
      <c r="M35" s="106">
        <f t="shared" si="4"/>
        <v>0.42414993842383814</v>
      </c>
      <c r="N35" s="1133">
        <v>1.017953866084774</v>
      </c>
      <c r="O35" s="109">
        <f t="shared" si="1"/>
        <v>0</v>
      </c>
      <c r="P35" s="1137">
        <f t="shared" si="2"/>
        <v>0</v>
      </c>
      <c r="Q35" s="1131"/>
    </row>
    <row r="36" spans="2:17">
      <c r="B36" s="1132" t="s">
        <v>846</v>
      </c>
      <c r="C36" s="1133">
        <v>6.984</v>
      </c>
      <c r="D36" s="1134">
        <v>0</v>
      </c>
      <c r="E36" s="1134">
        <v>0</v>
      </c>
      <c r="F36" s="1133">
        <v>6.5609352000000003</v>
      </c>
      <c r="G36" s="1133">
        <v>6.3698399999999999</v>
      </c>
      <c r="H36" s="1135">
        <f t="shared" si="3"/>
        <v>0.42306479999999969</v>
      </c>
      <c r="J36" s="1136">
        <v>0.52487481600000008</v>
      </c>
      <c r="K36" s="1135">
        <f t="shared" si="0"/>
        <v>-0.10181001600000039</v>
      </c>
      <c r="M36" s="106">
        <f t="shared" si="4"/>
        <v>-1.4368154913850345E-2</v>
      </c>
      <c r="N36" s="1133">
        <v>12.623901208046995</v>
      </c>
      <c r="O36" s="109">
        <f t="shared" si="1"/>
        <v>2.3593860433653506E-3</v>
      </c>
      <c r="P36" s="1137">
        <f t="shared" si="2"/>
        <v>4.8708079889590354E-5</v>
      </c>
      <c r="Q36" s="1131"/>
    </row>
    <row r="37" spans="2:17">
      <c r="B37" s="1138" t="s">
        <v>847</v>
      </c>
      <c r="C37" s="1139">
        <v>0.16</v>
      </c>
      <c r="D37" s="1140">
        <v>0</v>
      </c>
      <c r="E37" s="1140">
        <v>0</v>
      </c>
      <c r="F37" s="1139">
        <v>0.13778019999999999</v>
      </c>
      <c r="G37" s="1139">
        <v>8.1339999999999996E-2</v>
      </c>
      <c r="H37" s="1141">
        <f t="shared" si="3"/>
        <v>2.2219800000000012E-2</v>
      </c>
      <c r="J37" s="1142">
        <v>1.1022416E-2</v>
      </c>
      <c r="K37" s="1141">
        <f t="shared" si="0"/>
        <v>1.1197384000000012E-2</v>
      </c>
      <c r="M37" s="111">
        <f t="shared" si="4"/>
        <v>7.5249913617110142E-2</v>
      </c>
      <c r="N37" s="1139">
        <v>7.2837885705891336E-2</v>
      </c>
      <c r="O37" s="112">
        <f t="shared" si="1"/>
        <v>0</v>
      </c>
      <c r="P37" s="1143">
        <f t="shared" si="2"/>
        <v>0</v>
      </c>
      <c r="Q37" s="1131"/>
    </row>
    <row r="38" spans="2:17">
      <c r="B38" s="1132" t="s">
        <v>848</v>
      </c>
      <c r="C38" s="1133">
        <v>0.02</v>
      </c>
      <c r="D38" s="1134">
        <v>0</v>
      </c>
      <c r="E38" s="1134">
        <v>0</v>
      </c>
      <c r="F38" s="1133">
        <v>1.4123586600000002E-2</v>
      </c>
      <c r="G38" s="1133">
        <v>1.0233000000000001E-2</v>
      </c>
      <c r="H38" s="1135">
        <f>+C38+D38-E38-F38</f>
        <v>5.8764133999999989E-3</v>
      </c>
      <c r="J38" s="1136">
        <v>1.1298869280000001E-3</v>
      </c>
      <c r="K38" s="1135">
        <f>+H38-J38</f>
        <v>4.746526471999999E-3</v>
      </c>
      <c r="M38" s="106">
        <f>+IF(ISERROR(K38/(F38+J38)),0,K38/(F38+J38))</f>
        <v>0.31117676005318062</v>
      </c>
      <c r="N38" s="1133">
        <v>5.6849081526549335E-2</v>
      </c>
      <c r="O38" s="109">
        <f t="shared" si="1"/>
        <v>0</v>
      </c>
      <c r="P38" s="1137">
        <f>(M38^2*O38)*100</f>
        <v>0</v>
      </c>
      <c r="Q38" s="1131"/>
    </row>
    <row r="39" spans="2:17">
      <c r="B39" s="1132" t="s">
        <v>849</v>
      </c>
      <c r="C39" s="1133">
        <v>16.975000000000001</v>
      </c>
      <c r="D39" s="1134">
        <v>0</v>
      </c>
      <c r="E39" s="1134">
        <v>0</v>
      </c>
      <c r="F39" s="1133">
        <v>13.94905516</v>
      </c>
      <c r="G39" s="1133">
        <v>13.542771999999999</v>
      </c>
      <c r="H39" s="1135">
        <f t="shared" ref="H39:H62" si="5">+C39+D39-E39-F39</f>
        <v>3.0259448400000011</v>
      </c>
      <c r="J39" s="1136">
        <v>1.1159244128000001</v>
      </c>
      <c r="K39" s="1135">
        <f t="shared" ref="K39:K62" si="6">+H39-J39</f>
        <v>1.910020427200001</v>
      </c>
      <c r="M39" s="106">
        <f>+IF(ISERROR(K39/(F39+J39)),0,K39/(F39+J39))</f>
        <v>0.12678546412691893</v>
      </c>
      <c r="N39" s="1133">
        <v>26.697579041032569</v>
      </c>
      <c r="O39" s="109">
        <f t="shared" si="1"/>
        <v>0</v>
      </c>
      <c r="P39" s="1137">
        <f t="shared" ref="P39:P62" si="7">(M39^2*O39)*100</f>
        <v>0</v>
      </c>
      <c r="Q39" s="1131"/>
    </row>
    <row r="40" spans="2:17">
      <c r="B40" s="1132" t="s">
        <v>850</v>
      </c>
      <c r="C40" s="1133">
        <v>0.24875</v>
      </c>
      <c r="D40" s="1134">
        <v>0</v>
      </c>
      <c r="E40" s="1134">
        <v>0</v>
      </c>
      <c r="F40" s="1133">
        <v>0.16761190000000001</v>
      </c>
      <c r="G40" s="1133">
        <v>0.16273000000000001</v>
      </c>
      <c r="H40" s="1135">
        <f t="shared" si="5"/>
        <v>8.1138099999999991E-2</v>
      </c>
      <c r="J40" s="1136">
        <v>1.3408952000000002E-2</v>
      </c>
      <c r="K40" s="1135">
        <f t="shared" si="6"/>
        <v>6.7729147999999989E-2</v>
      </c>
      <c r="M40" s="106">
        <f t="shared" ref="M40:M62" si="8">+IF(ISERROR(K40/(F40+J40)),0,K40/(F40+J40))</f>
        <v>0.37415108398672209</v>
      </c>
      <c r="N40" s="1133">
        <v>0.31622301599143071</v>
      </c>
      <c r="O40" s="109">
        <f t="shared" si="1"/>
        <v>0</v>
      </c>
      <c r="P40" s="1137">
        <f t="shared" si="7"/>
        <v>0</v>
      </c>
      <c r="Q40" s="1131"/>
    </row>
    <row r="41" spans="2:17">
      <c r="B41" s="1132" t="s">
        <v>851</v>
      </c>
      <c r="C41" s="1133">
        <v>0.34825</v>
      </c>
      <c r="D41" s="1134">
        <v>0</v>
      </c>
      <c r="E41" s="1134">
        <v>0</v>
      </c>
      <c r="F41" s="1133">
        <v>0.31482052999999999</v>
      </c>
      <c r="G41" s="1133">
        <v>0.30565100000000001</v>
      </c>
      <c r="H41" s="1135">
        <f t="shared" si="5"/>
        <v>3.3429470000000017E-2</v>
      </c>
      <c r="J41" s="1136">
        <v>2.51856424E-2</v>
      </c>
      <c r="K41" s="1135">
        <f t="shared" si="6"/>
        <v>8.2438276000000171E-3</v>
      </c>
      <c r="M41" s="106">
        <f t="shared" si="8"/>
        <v>2.4246111597943501E-2</v>
      </c>
      <c r="N41" s="1133">
        <v>0.44768651702157602</v>
      </c>
      <c r="O41" s="109">
        <f t="shared" si="1"/>
        <v>0</v>
      </c>
      <c r="P41" s="1137">
        <f t="shared" si="7"/>
        <v>0</v>
      </c>
      <c r="Q41" s="1131"/>
    </row>
    <row r="42" spans="2:17">
      <c r="B42" s="1132" t="s">
        <v>852</v>
      </c>
      <c r="C42" s="1133">
        <v>0.12934999999999999</v>
      </c>
      <c r="D42" s="1134">
        <v>0</v>
      </c>
      <c r="E42" s="1134">
        <v>0</v>
      </c>
      <c r="F42" s="1133">
        <v>9.7818070000000007E-2</v>
      </c>
      <c r="G42" s="1133">
        <v>9.4968999999999998E-2</v>
      </c>
      <c r="H42" s="1135">
        <f t="shared" si="5"/>
        <v>3.1531929999999986E-2</v>
      </c>
      <c r="J42" s="1136">
        <v>7.8254456000000014E-3</v>
      </c>
      <c r="K42" s="1135">
        <f t="shared" si="6"/>
        <v>2.3706484399999984E-2</v>
      </c>
      <c r="M42" s="106">
        <f t="shared" si="8"/>
        <v>0.22440075252474825</v>
      </c>
      <c r="N42" s="1133">
        <v>0.17410031217505736</v>
      </c>
      <c r="O42" s="109">
        <f t="shared" si="1"/>
        <v>0</v>
      </c>
      <c r="P42" s="1137">
        <f t="shared" si="7"/>
        <v>0</v>
      </c>
      <c r="Q42" s="1131"/>
    </row>
    <row r="43" spans="2:17">
      <c r="B43" s="1132" t="s">
        <v>853</v>
      </c>
      <c r="C43" s="1133">
        <v>2.3880000000000002E-2</v>
      </c>
      <c r="D43" s="1134">
        <v>0</v>
      </c>
      <c r="E43" s="1134">
        <v>0</v>
      </c>
      <c r="F43" s="1133">
        <v>1.1125029999999999E-2</v>
      </c>
      <c r="G43" s="1133">
        <v>1.0801E-2</v>
      </c>
      <c r="H43" s="1135">
        <f t="shared" si="5"/>
        <v>1.2754970000000003E-2</v>
      </c>
      <c r="J43" s="1136">
        <v>8.9000240000000001E-4</v>
      </c>
      <c r="K43" s="1135">
        <f t="shared" si="6"/>
        <v>1.1864967600000003E-2</v>
      </c>
      <c r="M43" s="106">
        <f t="shared" si="8"/>
        <v>0.98751024591494274</v>
      </c>
      <c r="N43" s="1133">
        <v>2.4871473167865331E-2</v>
      </c>
      <c r="O43" s="109">
        <f t="shared" si="1"/>
        <v>0</v>
      </c>
      <c r="P43" s="1137">
        <f t="shared" si="7"/>
        <v>0</v>
      </c>
      <c r="Q43" s="1131"/>
    </row>
    <row r="44" spans="2:17">
      <c r="B44" s="1132" t="s">
        <v>854</v>
      </c>
      <c r="C44" s="1133">
        <v>0.39749999999999996</v>
      </c>
      <c r="D44" s="1134">
        <v>0</v>
      </c>
      <c r="E44" s="1134">
        <v>0</v>
      </c>
      <c r="F44" s="1133">
        <v>0.38299314000000001</v>
      </c>
      <c r="G44" s="1133">
        <v>0.371838</v>
      </c>
      <c r="H44" s="1135">
        <f t="shared" si="5"/>
        <v>1.4506859999999955E-2</v>
      </c>
      <c r="J44" s="1136">
        <v>3.0639451200000001E-2</v>
      </c>
      <c r="K44" s="1135">
        <f t="shared" si="6"/>
        <v>-1.6132591200000046E-2</v>
      </c>
      <c r="M44" s="106">
        <f t="shared" si="8"/>
        <v>-3.9002224542310303E-2</v>
      </c>
      <c r="N44" s="1133">
        <v>0.87760769606610545</v>
      </c>
      <c r="O44" s="109">
        <f t="shared" si="1"/>
        <v>1.6402341205969627E-4</v>
      </c>
      <c r="P44" s="1137">
        <f t="shared" si="7"/>
        <v>2.4950807096204299E-5</v>
      </c>
      <c r="Q44" s="1131"/>
    </row>
    <row r="45" spans="2:17">
      <c r="B45" s="1132" t="s">
        <v>855</v>
      </c>
      <c r="C45" s="1133">
        <v>2.4534155218977531</v>
      </c>
      <c r="D45" s="1134">
        <v>0</v>
      </c>
      <c r="E45" s="1134">
        <v>0</v>
      </c>
      <c r="F45" s="1133">
        <v>2.04033833</v>
      </c>
      <c r="G45" s="1133">
        <v>1.9809110000000001</v>
      </c>
      <c r="H45" s="1135">
        <f t="shared" si="5"/>
        <v>0.41307719189775316</v>
      </c>
      <c r="J45" s="1136">
        <v>0.33429004284920871</v>
      </c>
      <c r="K45" s="1135">
        <f t="shared" si="6"/>
        <v>7.8787149048544447E-2</v>
      </c>
      <c r="M45" s="106">
        <f t="shared" si="8"/>
        <v>3.3178728069357365E-2</v>
      </c>
      <c r="N45" s="1133">
        <v>4.6528947959057039</v>
      </c>
      <c r="O45" s="109">
        <f t="shared" si="1"/>
        <v>0</v>
      </c>
      <c r="P45" s="1137">
        <f t="shared" si="7"/>
        <v>0</v>
      </c>
      <c r="Q45" s="1131"/>
    </row>
    <row r="46" spans="2:17">
      <c r="B46" s="1132" t="s">
        <v>856</v>
      </c>
      <c r="C46" s="1133">
        <v>0.5146158475275362</v>
      </c>
      <c r="D46" s="1134">
        <v>0</v>
      </c>
      <c r="E46" s="1134">
        <v>0</v>
      </c>
      <c r="F46" s="1133">
        <v>0.47487223000000001</v>
      </c>
      <c r="G46" s="1133">
        <v>0.46104099999999998</v>
      </c>
      <c r="H46" s="1135">
        <f t="shared" si="5"/>
        <v>3.974361752753619E-2</v>
      </c>
      <c r="J46" s="1136">
        <v>5.2046008315315813E-2</v>
      </c>
      <c r="K46" s="1135">
        <f t="shared" si="6"/>
        <v>-1.2302390787779623E-2</v>
      </c>
      <c r="M46" s="106">
        <f t="shared" si="8"/>
        <v>-2.3347817352296102E-2</v>
      </c>
      <c r="N46" s="1133">
        <v>0.56171457670388514</v>
      </c>
      <c r="O46" s="109">
        <f t="shared" si="1"/>
        <v>1.0498351585524296E-4</v>
      </c>
      <c r="P46" s="1137">
        <f t="shared" si="7"/>
        <v>5.7228674540728531E-6</v>
      </c>
      <c r="Q46" s="1131"/>
    </row>
    <row r="47" spans="2:17">
      <c r="B47" s="1132" t="s">
        <v>857</v>
      </c>
      <c r="C47" s="1133">
        <v>7.4999999999999997E-2</v>
      </c>
      <c r="D47" s="1134">
        <v>0</v>
      </c>
      <c r="E47" s="1134">
        <v>0</v>
      </c>
      <c r="F47" s="1133">
        <v>5.2103168000000005E-2</v>
      </c>
      <c r="G47" s="1133">
        <v>3.8912000000000002E-2</v>
      </c>
      <c r="H47" s="1135">
        <f t="shared" si="5"/>
        <v>2.2896831999999992E-2</v>
      </c>
      <c r="J47" s="1136">
        <v>4.1682534400000002E-3</v>
      </c>
      <c r="K47" s="1135">
        <f t="shared" si="6"/>
        <v>1.8728578559999993E-2</v>
      </c>
      <c r="M47" s="106">
        <f t="shared" si="8"/>
        <v>0.33282575916390417</v>
      </c>
      <c r="N47" s="1133">
        <v>5.3296013931140002E-2</v>
      </c>
      <c r="O47" s="109">
        <f t="shared" si="1"/>
        <v>0</v>
      </c>
      <c r="P47" s="1137">
        <f t="shared" si="7"/>
        <v>0</v>
      </c>
      <c r="Q47" s="1131"/>
    </row>
    <row r="48" spans="2:17">
      <c r="B48" s="1132" t="s">
        <v>858</v>
      </c>
      <c r="C48" s="1133">
        <v>0.17909999999999998</v>
      </c>
      <c r="D48" s="1134">
        <v>0</v>
      </c>
      <c r="E48" s="1134">
        <v>0</v>
      </c>
      <c r="F48" s="1133">
        <v>0.13389793999999999</v>
      </c>
      <c r="G48" s="1133">
        <v>0.129998</v>
      </c>
      <c r="H48" s="1135">
        <f t="shared" si="5"/>
        <v>4.5202059999999988E-2</v>
      </c>
      <c r="J48" s="1136">
        <v>1.702372212817941E-2</v>
      </c>
      <c r="K48" s="1135">
        <f t="shared" si="6"/>
        <v>2.8178337871820579E-2</v>
      </c>
      <c r="M48" s="106">
        <f t="shared" si="8"/>
        <v>0.1867083722407484</v>
      </c>
      <c r="N48" s="1133">
        <v>0.298457678014384</v>
      </c>
      <c r="O48" s="109">
        <f t="shared" si="1"/>
        <v>0</v>
      </c>
      <c r="P48" s="1137">
        <f t="shared" si="7"/>
        <v>0</v>
      </c>
      <c r="Q48" s="1131"/>
    </row>
    <row r="49" spans="2:17">
      <c r="B49" s="1132" t="s">
        <v>859</v>
      </c>
      <c r="C49" s="1133">
        <v>4.9750000000000003E-2</v>
      </c>
      <c r="D49" s="1134">
        <v>0</v>
      </c>
      <c r="E49" s="1134">
        <v>0</v>
      </c>
      <c r="F49" s="1133">
        <v>2.996064E-2</v>
      </c>
      <c r="G49" s="1133">
        <v>2.9087999999999999E-2</v>
      </c>
      <c r="H49" s="1135">
        <f t="shared" si="5"/>
        <v>1.9789360000000002E-2</v>
      </c>
      <c r="J49" s="1136">
        <v>2.3968512000000003E-3</v>
      </c>
      <c r="K49" s="1135">
        <f t="shared" si="6"/>
        <v>1.7392508800000001E-2</v>
      </c>
      <c r="M49" s="106">
        <f t="shared" si="8"/>
        <v>0.53751104164713492</v>
      </c>
      <c r="N49" s="1133">
        <v>0.11935766107542313</v>
      </c>
      <c r="O49" s="109">
        <f t="shared" si="1"/>
        <v>0</v>
      </c>
      <c r="P49" s="1137">
        <f t="shared" si="7"/>
        <v>0</v>
      </c>
      <c r="Q49" s="1131"/>
    </row>
    <row r="50" spans="2:17">
      <c r="B50" s="1132" t="s">
        <v>860</v>
      </c>
      <c r="C50" s="1133">
        <v>1.46</v>
      </c>
      <c r="D50" s="1134">
        <v>0</v>
      </c>
      <c r="E50" s="1134">
        <v>0</v>
      </c>
      <c r="F50" s="1133">
        <v>1.4269459320000002</v>
      </c>
      <c r="G50" s="1133">
        <v>1.154487</v>
      </c>
      <c r="H50" s="1135">
        <f t="shared" si="5"/>
        <v>3.305406799999977E-2</v>
      </c>
      <c r="J50" s="1136">
        <v>0.11415567456000002</v>
      </c>
      <c r="K50" s="1135">
        <f t="shared" si="6"/>
        <v>-8.1101606560000247E-2</v>
      </c>
      <c r="M50" s="106">
        <f t="shared" si="8"/>
        <v>-5.2625736171304609E-2</v>
      </c>
      <c r="N50" s="1133">
        <v>1.9950474548223407</v>
      </c>
      <c r="O50" s="109">
        <f t="shared" si="1"/>
        <v>3.7287103591708277E-4</v>
      </c>
      <c r="P50" s="1137">
        <f t="shared" si="7"/>
        <v>1.0326544422096043E-4</v>
      </c>
      <c r="Q50" s="1131"/>
    </row>
    <row r="51" spans="2:17">
      <c r="B51" s="1132" t="s">
        <v>861</v>
      </c>
      <c r="C51" s="1133">
        <v>0.15</v>
      </c>
      <c r="D51" s="1134">
        <v>0</v>
      </c>
      <c r="E51" s="1134">
        <v>0</v>
      </c>
      <c r="F51" s="1133">
        <v>0.1403226783</v>
      </c>
      <c r="G51" s="1133">
        <v>0.10560899999999999</v>
      </c>
      <c r="H51" s="1135">
        <f t="shared" si="5"/>
        <v>9.6773216999999911E-3</v>
      </c>
      <c r="J51" s="1136">
        <v>1.1225814264000001E-2</v>
      </c>
      <c r="K51" s="1135">
        <f t="shared" si="6"/>
        <v>-1.5484925640000102E-3</v>
      </c>
      <c r="M51" s="106">
        <f t="shared" si="8"/>
        <v>-1.0217802485538224E-2</v>
      </c>
      <c r="N51" s="1133">
        <v>0.143899237614078</v>
      </c>
      <c r="O51" s="109">
        <f t="shared" si="1"/>
        <v>2.6894527078614163E-5</v>
      </c>
      <c r="P51" s="1137">
        <f t="shared" si="7"/>
        <v>2.8078824252601481E-7</v>
      </c>
      <c r="Q51" s="1131"/>
    </row>
    <row r="52" spans="2:17">
      <c r="B52" s="1132" t="s">
        <v>862</v>
      </c>
      <c r="C52" s="1133">
        <v>0.31312011066829271</v>
      </c>
      <c r="D52" s="1134">
        <v>0</v>
      </c>
      <c r="E52" s="1134">
        <v>0</v>
      </c>
      <c r="F52" s="1133">
        <v>0.31705705140000001</v>
      </c>
      <c r="G52" s="1133">
        <v>0.238622</v>
      </c>
      <c r="H52" s="1135">
        <f t="shared" si="5"/>
        <v>-3.9369407317073057E-3</v>
      </c>
      <c r="J52" s="1136">
        <v>3.1825128643610666E-2</v>
      </c>
      <c r="K52" s="1135">
        <f t="shared" si="6"/>
        <v>-3.5762069375317972E-2</v>
      </c>
      <c r="M52" s="106">
        <f t="shared" si="8"/>
        <v>-0.10250471769824321</v>
      </c>
      <c r="N52" s="1133">
        <v>0.35708329333863797</v>
      </c>
      <c r="O52" s="109">
        <f t="shared" si="1"/>
        <v>6.6738270898783288E-5</v>
      </c>
      <c r="P52" s="1137">
        <f t="shared" si="7"/>
        <v>7.0123350457550573E-5</v>
      </c>
      <c r="Q52" s="1131"/>
    </row>
    <row r="53" spans="2:17">
      <c r="B53" s="1132" t="s">
        <v>863</v>
      </c>
      <c r="C53" s="1133">
        <v>0.15</v>
      </c>
      <c r="D53" s="1134">
        <v>0</v>
      </c>
      <c r="E53" s="1134">
        <v>0</v>
      </c>
      <c r="F53" s="1133">
        <v>0.16372210500000001</v>
      </c>
      <c r="G53" s="1133">
        <v>0.10596899999999999</v>
      </c>
      <c r="H53" s="1135">
        <f t="shared" si="5"/>
        <v>-1.3722105000000012E-2</v>
      </c>
      <c r="J53" s="1136">
        <v>1.3097768400000001E-2</v>
      </c>
      <c r="K53" s="1135">
        <f t="shared" si="6"/>
        <v>-2.6819873400000013E-2</v>
      </c>
      <c r="M53" s="106">
        <f t="shared" si="8"/>
        <v>-0.15167906686217553</v>
      </c>
      <c r="N53" s="1133">
        <v>0.11192162925539401</v>
      </c>
      <c r="O53" s="109">
        <f t="shared" si="1"/>
        <v>2.0917965505588795E-5</v>
      </c>
      <c r="P53" s="1137">
        <f t="shared" si="7"/>
        <v>4.8124999598617593E-5</v>
      </c>
      <c r="Q53" s="1131"/>
    </row>
    <row r="54" spans="2:17">
      <c r="B54" s="1132" t="s">
        <v>864</v>
      </c>
      <c r="C54" s="1133">
        <v>0.44775000000000004</v>
      </c>
      <c r="D54" s="1134">
        <v>0</v>
      </c>
      <c r="E54" s="1134">
        <v>0</v>
      </c>
      <c r="F54" s="1133">
        <v>0.46011336000000003</v>
      </c>
      <c r="G54" s="1133">
        <v>0.446712</v>
      </c>
      <c r="H54" s="1135">
        <f t="shared" si="5"/>
        <v>-1.236335999999999E-2</v>
      </c>
      <c r="J54" s="1136">
        <v>8.1435975794062865E-2</v>
      </c>
      <c r="K54" s="1135">
        <f t="shared" si="6"/>
        <v>-9.3799335794062855E-2</v>
      </c>
      <c r="M54" s="106">
        <f t="shared" si="8"/>
        <v>-0.17320552273695763</v>
      </c>
      <c r="N54" s="1133">
        <v>0.77634526959693939</v>
      </c>
      <c r="O54" s="109">
        <f t="shared" si="1"/>
        <v>1.4509763374511594E-4</v>
      </c>
      <c r="P54" s="1137">
        <f t="shared" si="7"/>
        <v>4.3529512277563459E-4</v>
      </c>
      <c r="Q54" s="1131"/>
    </row>
    <row r="55" spans="2:17">
      <c r="B55" s="1132" t="s">
        <v>865</v>
      </c>
      <c r="C55" s="1133">
        <v>0.19900000000000001</v>
      </c>
      <c r="D55" s="1134">
        <v>0</v>
      </c>
      <c r="E55" s="1134">
        <v>0</v>
      </c>
      <c r="F55" s="1133">
        <v>0.15099182</v>
      </c>
      <c r="G55" s="1133">
        <v>0.146594</v>
      </c>
      <c r="H55" s="1135">
        <f t="shared" si="5"/>
        <v>4.8008180000000011E-2</v>
      </c>
      <c r="J55" s="1136">
        <v>3.1294426191662068E-2</v>
      </c>
      <c r="K55" s="1135">
        <f t="shared" si="6"/>
        <v>1.6713753808337943E-2</v>
      </c>
      <c r="M55" s="106">
        <f t="shared" si="8"/>
        <v>9.1689604440943526E-2</v>
      </c>
      <c r="N55" s="1133">
        <v>0.28602194143045129</v>
      </c>
      <c r="O55" s="109">
        <f t="shared" si="1"/>
        <v>0</v>
      </c>
      <c r="P55" s="1137">
        <f t="shared" si="7"/>
        <v>0</v>
      </c>
      <c r="Q55" s="1131"/>
    </row>
    <row r="56" spans="2:17">
      <c r="B56" s="1132" t="s">
        <v>866</v>
      </c>
      <c r="C56" s="1133">
        <v>0.1</v>
      </c>
      <c r="D56" s="1134">
        <v>0</v>
      </c>
      <c r="E56" s="1134">
        <v>0</v>
      </c>
      <c r="F56" s="1133">
        <v>9.4180710000000001E-2</v>
      </c>
      <c r="G56" s="1133">
        <v>5.7457000000000001E-2</v>
      </c>
      <c r="H56" s="1135">
        <f t="shared" si="5"/>
        <v>5.8192900000000047E-3</v>
      </c>
      <c r="J56" s="1136">
        <v>7.5344568000000004E-3</v>
      </c>
      <c r="K56" s="1135">
        <f t="shared" si="6"/>
        <v>-1.7151667999999957E-3</v>
      </c>
      <c r="M56" s="106">
        <f t="shared" si="8"/>
        <v>-1.686244887522512E-2</v>
      </c>
      <c r="N56" s="1133">
        <v>0.101262426469166</v>
      </c>
      <c r="O56" s="109">
        <f t="shared" si="1"/>
        <v>1.8925778314580336E-5</v>
      </c>
      <c r="P56" s="1137">
        <f t="shared" si="7"/>
        <v>5.3813971033329278E-7</v>
      </c>
      <c r="Q56" s="1131"/>
    </row>
    <row r="57" spans="2:17">
      <c r="B57" s="1132" t="s">
        <v>867</v>
      </c>
      <c r="C57" s="1133">
        <v>8.4512805820895515E-2</v>
      </c>
      <c r="D57" s="1134">
        <v>0</v>
      </c>
      <c r="E57" s="1134">
        <v>0</v>
      </c>
      <c r="F57" s="1133">
        <v>0.11149347</v>
      </c>
      <c r="G57" s="1133">
        <v>7.8148999999999996E-2</v>
      </c>
      <c r="H57" s="1135">
        <f t="shared" si="5"/>
        <v>-2.6980664179104483E-2</v>
      </c>
      <c r="J57" s="1136">
        <v>8.9194775999999996E-3</v>
      </c>
      <c r="K57" s="1135">
        <f t="shared" si="6"/>
        <v>-3.5900141779104486E-2</v>
      </c>
      <c r="M57" s="106">
        <f t="shared" si="8"/>
        <v>-0.29814187340020304</v>
      </c>
      <c r="N57" s="1133">
        <v>0.149228839007192</v>
      </c>
      <c r="O57" s="109">
        <f t="shared" si="1"/>
        <v>2.7890620674118393E-5</v>
      </c>
      <c r="P57" s="1137">
        <f t="shared" si="7"/>
        <v>2.479157574293074E-4</v>
      </c>
      <c r="Q57" s="1131"/>
    </row>
    <row r="58" spans="2:17">
      <c r="B58" s="1132" t="s">
        <v>868</v>
      </c>
      <c r="C58" s="1133">
        <v>4.3605422044444439E-2</v>
      </c>
      <c r="D58" s="1134">
        <v>0</v>
      </c>
      <c r="E58" s="1134">
        <v>0</v>
      </c>
      <c r="F58" s="1133">
        <v>7.3524720000000002E-2</v>
      </c>
      <c r="G58" s="1133">
        <v>5.0023999999999999E-2</v>
      </c>
      <c r="H58" s="1135">
        <f t="shared" si="5"/>
        <v>-2.9919297955555563E-2</v>
      </c>
      <c r="J58" s="1136">
        <v>5.8819776000000002E-3</v>
      </c>
      <c r="K58" s="1135">
        <f t="shared" si="6"/>
        <v>-3.580127555555556E-2</v>
      </c>
      <c r="M58" s="106">
        <f t="shared" si="8"/>
        <v>-0.45085964581853555</v>
      </c>
      <c r="N58" s="1133">
        <v>0.101262426469166</v>
      </c>
      <c r="O58" s="109">
        <f t="shared" si="1"/>
        <v>1.8925778314580336E-5</v>
      </c>
      <c r="P58" s="1137">
        <f t="shared" si="7"/>
        <v>3.8471266142526932E-4</v>
      </c>
      <c r="Q58" s="1131"/>
    </row>
    <row r="59" spans="2:17">
      <c r="B59" s="1132" t="s">
        <v>869</v>
      </c>
      <c r="C59" s="1133">
        <v>0.04</v>
      </c>
      <c r="D59" s="1134">
        <v>0</v>
      </c>
      <c r="E59" s="1134">
        <v>0</v>
      </c>
      <c r="F59" s="1133">
        <v>3.4309670799999997E-2</v>
      </c>
      <c r="G59" s="1133">
        <v>2.3458E-2</v>
      </c>
      <c r="H59" s="1135">
        <f t="shared" si="5"/>
        <v>5.6903292000000036E-3</v>
      </c>
      <c r="J59" s="1136">
        <v>2.7447736639999998E-3</v>
      </c>
      <c r="K59" s="1135">
        <f t="shared" si="6"/>
        <v>2.9455555360000038E-3</v>
      </c>
      <c r="M59" s="106">
        <f t="shared" si="8"/>
        <v>7.9492637890219597E-2</v>
      </c>
      <c r="N59" s="1133">
        <v>7.106135190818666E-2</v>
      </c>
      <c r="O59" s="109">
        <f t="shared" si="1"/>
        <v>0</v>
      </c>
      <c r="P59" s="1137">
        <f t="shared" si="7"/>
        <v>0</v>
      </c>
      <c r="Q59" s="1131"/>
    </row>
    <row r="60" spans="2:17">
      <c r="B60" s="1132" t="s">
        <v>870</v>
      </c>
      <c r="C60" s="1133">
        <v>0.15118762506666666</v>
      </c>
      <c r="D60" s="1134">
        <v>0</v>
      </c>
      <c r="E60" s="1134">
        <v>0</v>
      </c>
      <c r="F60" s="1133">
        <v>0.1478381248</v>
      </c>
      <c r="G60" s="1133">
        <v>0.104768</v>
      </c>
      <c r="H60" s="1135">
        <f t="shared" si="5"/>
        <v>3.3495002666666662E-3</v>
      </c>
      <c r="J60" s="1136">
        <v>1.1827049984E-2</v>
      </c>
      <c r="K60" s="1135">
        <f t="shared" si="6"/>
        <v>-8.4775497173333342E-3</v>
      </c>
      <c r="M60" s="106">
        <f t="shared" si="8"/>
        <v>-5.3095797056571831E-2</v>
      </c>
      <c r="N60" s="1133">
        <v>0.24693819788094867</v>
      </c>
      <c r="O60" s="109">
        <f t="shared" si="1"/>
        <v>4.6152336591695909E-5</v>
      </c>
      <c r="P60" s="1137">
        <f t="shared" si="7"/>
        <v>1.3011099037751256E-5</v>
      </c>
      <c r="Q60" s="1131"/>
    </row>
    <row r="61" spans="2:17">
      <c r="B61" s="1132" t="s">
        <v>871</v>
      </c>
      <c r="C61" s="1133">
        <v>0.05</v>
      </c>
      <c r="D61" s="1134">
        <v>0</v>
      </c>
      <c r="E61" s="1134">
        <v>0</v>
      </c>
      <c r="F61" s="1133">
        <v>3.3684720000000001E-2</v>
      </c>
      <c r="G61" s="1133">
        <v>2.2023999999999998E-2</v>
      </c>
      <c r="H61" s="1135">
        <f t="shared" si="5"/>
        <v>1.6315280000000001E-2</v>
      </c>
      <c r="J61" s="1136">
        <v>2.6947776E-3</v>
      </c>
      <c r="K61" s="1135">
        <f t="shared" si="6"/>
        <v>1.3620502400000001E-2</v>
      </c>
      <c r="M61" s="106">
        <f t="shared" si="8"/>
        <v>0.3744005084886054</v>
      </c>
      <c r="N61" s="1133">
        <v>4.7966412538026006E-2</v>
      </c>
      <c r="O61" s="109">
        <f t="shared" si="1"/>
        <v>0</v>
      </c>
      <c r="P61" s="1137">
        <f t="shared" si="7"/>
        <v>0</v>
      </c>
      <c r="Q61" s="1131"/>
    </row>
    <row r="62" spans="2:17">
      <c r="B62" s="1132" t="s">
        <v>872</v>
      </c>
      <c r="C62" s="1133">
        <v>0.45</v>
      </c>
      <c r="D62" s="1134">
        <v>0</v>
      </c>
      <c r="E62" s="1134">
        <v>0</v>
      </c>
      <c r="F62" s="1133">
        <v>0.36356439420000003</v>
      </c>
      <c r="G62" s="1133">
        <v>0.28013900000000003</v>
      </c>
      <c r="H62" s="1135">
        <f t="shared" si="5"/>
        <v>8.6435605799999982E-2</v>
      </c>
      <c r="J62" s="1136">
        <v>2.9085151536000001E-2</v>
      </c>
      <c r="K62" s="1135">
        <f t="shared" si="6"/>
        <v>5.7350454263999984E-2</v>
      </c>
      <c r="M62" s="106">
        <f t="shared" si="8"/>
        <v>0.14606015691804686</v>
      </c>
      <c r="N62" s="1133">
        <v>0.95044558177199667</v>
      </c>
      <c r="O62" s="109">
        <f t="shared" si="1"/>
        <v>0</v>
      </c>
      <c r="P62" s="1137">
        <f t="shared" si="7"/>
        <v>0</v>
      </c>
      <c r="Q62" s="1131"/>
    </row>
    <row r="63" spans="2:17">
      <c r="B63" s="1132" t="s">
        <v>873</v>
      </c>
      <c r="C63" s="1133">
        <v>1.5</v>
      </c>
      <c r="D63" s="1134">
        <v>0</v>
      </c>
      <c r="E63" s="1134">
        <v>0</v>
      </c>
      <c r="F63" s="1133">
        <v>1.2482170399999999</v>
      </c>
      <c r="G63" s="1133">
        <v>0.97496799999999995</v>
      </c>
      <c r="H63" s="1135">
        <f>+C63+D63-E63-F63</f>
        <v>0.25178296000000011</v>
      </c>
      <c r="J63" s="1136">
        <v>0.16454480264719284</v>
      </c>
      <c r="K63" s="1135">
        <f>+H63-J63</f>
        <v>8.7238157352807266E-2</v>
      </c>
      <c r="M63" s="106">
        <f>+IF(ISERROR(K63/(F63+J63)),0,K63/(F63+J63))</f>
        <v>6.1750080388172791E-2</v>
      </c>
      <c r="N63" s="1133">
        <v>1.5953273503387908</v>
      </c>
      <c r="O63" s="109">
        <f t="shared" si="1"/>
        <v>0</v>
      </c>
      <c r="P63" s="1137">
        <f>(M63^2*O63)*100</f>
        <v>0</v>
      </c>
      <c r="Q63" s="1131"/>
    </row>
    <row r="64" spans="2:17">
      <c r="B64" s="1132" t="s">
        <v>874</v>
      </c>
      <c r="C64" s="1133">
        <v>5.7710000000000004E-2</v>
      </c>
      <c r="D64" s="1134">
        <v>0</v>
      </c>
      <c r="E64" s="1134">
        <v>0</v>
      </c>
      <c r="F64" s="1133">
        <v>3.7963740000000003E-2</v>
      </c>
      <c r="G64" s="1133">
        <v>3.6858000000000002E-2</v>
      </c>
      <c r="H64" s="1135">
        <f t="shared" ref="H64:H87" si="9">+C64+D64-E64-F64</f>
        <v>1.9746260000000002E-2</v>
      </c>
      <c r="J64" s="1136">
        <v>3.0370992000000002E-3</v>
      </c>
      <c r="K64" s="1135">
        <f t="shared" ref="K64:K87" si="10">+H64-J64</f>
        <v>1.6709160800000001E-2</v>
      </c>
      <c r="M64" s="106">
        <f>+IF(ISERROR(K64/(F64+J64)),0,K64/(F64+J64))</f>
        <v>0.40753216582942531</v>
      </c>
      <c r="N64" s="1133">
        <v>4.7966412538026006E-2</v>
      </c>
      <c r="O64" s="109">
        <f t="shared" si="1"/>
        <v>0</v>
      </c>
      <c r="P64" s="1137">
        <f t="shared" ref="P64:P87" si="11">(M64^2*O64)*100</f>
        <v>0</v>
      </c>
      <c r="Q64" s="1131"/>
    </row>
    <row r="65" spans="2:17">
      <c r="B65" s="1132" t="s">
        <v>875</v>
      </c>
      <c r="C65" s="1133">
        <v>0.33</v>
      </c>
      <c r="D65" s="1134">
        <v>0</v>
      </c>
      <c r="E65" s="1134">
        <v>0</v>
      </c>
      <c r="F65" s="1133">
        <v>0.28057134080000001</v>
      </c>
      <c r="G65" s="1133">
        <v>0.212812</v>
      </c>
      <c r="H65" s="1135">
        <f t="shared" si="9"/>
        <v>4.9428659200000002E-2</v>
      </c>
      <c r="J65" s="1136">
        <v>2.8467927259551062E-2</v>
      </c>
      <c r="K65" s="1135">
        <f t="shared" si="10"/>
        <v>2.0960731940448941E-2</v>
      </c>
      <c r="M65" s="106">
        <f t="shared" ref="M65:M87" si="12">+IF(ISERROR(K65/(F65+J65)),0,K65/(F65+J65))</f>
        <v>6.7825464615098238E-2</v>
      </c>
      <c r="N65" s="1133">
        <v>0.52585400412058125</v>
      </c>
      <c r="O65" s="109">
        <f t="shared" si="1"/>
        <v>0</v>
      </c>
      <c r="P65" s="1137">
        <f t="shared" si="11"/>
        <v>0</v>
      </c>
      <c r="Q65" s="1131"/>
    </row>
    <row r="66" spans="2:17">
      <c r="B66" s="1132" t="s">
        <v>876</v>
      </c>
      <c r="C66" s="1133">
        <v>2.4E-2</v>
      </c>
      <c r="D66" s="1134">
        <v>0</v>
      </c>
      <c r="E66" s="1134">
        <v>0</v>
      </c>
      <c r="F66" s="1133">
        <v>4.0090896000000008E-2</v>
      </c>
      <c r="G66" s="1133">
        <v>2.5440000000000001E-2</v>
      </c>
      <c r="H66" s="1135">
        <f t="shared" si="9"/>
        <v>-1.6090896000000007E-2</v>
      </c>
      <c r="J66" s="1136">
        <v>3.2072716800000006E-3</v>
      </c>
      <c r="K66" s="1135">
        <f t="shared" si="10"/>
        <v>-1.9298167680000009E-2</v>
      </c>
      <c r="M66" s="106">
        <f t="shared" si="12"/>
        <v>-0.44570402661436609</v>
      </c>
      <c r="N66" s="1133">
        <v>6.5731750515072657E-2</v>
      </c>
      <c r="O66" s="109">
        <f t="shared" si="1"/>
        <v>1.2285154344552147E-5</v>
      </c>
      <c r="P66" s="1137">
        <f t="shared" si="11"/>
        <v>2.4404714555613076E-4</v>
      </c>
      <c r="Q66" s="1131"/>
    </row>
    <row r="67" spans="2:17">
      <c r="B67" s="1132" t="s">
        <v>877</v>
      </c>
      <c r="C67" s="1133">
        <v>0.13821679354838712</v>
      </c>
      <c r="D67" s="1134">
        <v>0</v>
      </c>
      <c r="E67" s="1134">
        <v>0</v>
      </c>
      <c r="F67" s="1133">
        <v>0.1585376</v>
      </c>
      <c r="G67" s="1133">
        <v>0.11840000000000001</v>
      </c>
      <c r="H67" s="1135">
        <f t="shared" si="9"/>
        <v>-2.0320806451612883E-2</v>
      </c>
      <c r="J67" s="1136">
        <v>1.2683008000000001E-2</v>
      </c>
      <c r="K67" s="1135">
        <f t="shared" si="10"/>
        <v>-3.3003814451612885E-2</v>
      </c>
      <c r="M67" s="106">
        <f t="shared" si="12"/>
        <v>-0.19275608723228507</v>
      </c>
      <c r="N67" s="1133">
        <v>0.23094939370160669</v>
      </c>
      <c r="O67" s="109">
        <f t="shared" si="1"/>
        <v>4.316405580518323E-5</v>
      </c>
      <c r="P67" s="1137">
        <f t="shared" si="11"/>
        <v>1.6037565726389029E-4</v>
      </c>
      <c r="Q67" s="1131"/>
    </row>
    <row r="68" spans="2:17">
      <c r="B68" s="1132" t="s">
        <v>878</v>
      </c>
      <c r="C68" s="1133">
        <v>0.01</v>
      </c>
      <c r="D68" s="1134">
        <v>0</v>
      </c>
      <c r="E68" s="1134">
        <v>0</v>
      </c>
      <c r="F68" s="1133">
        <v>2.5018288000000001E-3</v>
      </c>
      <c r="G68" s="1133">
        <v>1.598E-3</v>
      </c>
      <c r="H68" s="1135">
        <f t="shared" si="9"/>
        <v>7.4981712000000006E-3</v>
      </c>
      <c r="J68" s="1136">
        <v>2.0014630400000001E-4</v>
      </c>
      <c r="K68" s="1135">
        <f t="shared" si="10"/>
        <v>7.2980248960000009E-3</v>
      </c>
      <c r="M68" s="106">
        <f t="shared" si="12"/>
        <v>2.7009963508531278</v>
      </c>
      <c r="N68" s="1133">
        <v>2.1318405572455998E-2</v>
      </c>
      <c r="O68" s="109">
        <f t="shared" si="1"/>
        <v>0</v>
      </c>
      <c r="P68" s="1137">
        <f t="shared" si="11"/>
        <v>0</v>
      </c>
      <c r="Q68" s="1131"/>
    </row>
    <row r="69" spans="2:17">
      <c r="B69" s="1132" t="s">
        <v>879</v>
      </c>
      <c r="C69" s="1133">
        <v>0.38</v>
      </c>
      <c r="D69" s="1134">
        <v>0</v>
      </c>
      <c r="E69" s="1134">
        <v>0</v>
      </c>
      <c r="F69" s="1133">
        <v>0.30926862399999999</v>
      </c>
      <c r="G69" s="1133">
        <v>0.22078</v>
      </c>
      <c r="H69" s="1135">
        <f t="shared" si="9"/>
        <v>7.0731376000000012E-2</v>
      </c>
      <c r="J69" s="1136">
        <v>2.4741489919999998E-2</v>
      </c>
      <c r="K69" s="1135">
        <f t="shared" si="10"/>
        <v>4.5989886080000014E-2</v>
      </c>
      <c r="M69" s="106">
        <f t="shared" si="12"/>
        <v>0.13769010027946404</v>
      </c>
      <c r="N69" s="1133">
        <v>0.40327317207895935</v>
      </c>
      <c r="O69" s="109">
        <f t="shared" si="1"/>
        <v>0</v>
      </c>
      <c r="P69" s="1137">
        <f t="shared" si="11"/>
        <v>0</v>
      </c>
      <c r="Q69" s="1131"/>
    </row>
    <row r="70" spans="2:17">
      <c r="B70" s="1132" t="s">
        <v>880</v>
      </c>
      <c r="C70" s="1133">
        <v>0.21307004062499998</v>
      </c>
      <c r="D70" s="1134">
        <v>0</v>
      </c>
      <c r="E70" s="1134">
        <v>0</v>
      </c>
      <c r="F70" s="1133">
        <v>0.16568615</v>
      </c>
      <c r="G70" s="1133">
        <v>0.13270499999999999</v>
      </c>
      <c r="H70" s="1135">
        <f t="shared" si="9"/>
        <v>4.738389062499998E-2</v>
      </c>
      <c r="J70" s="1136">
        <v>1.3254892000000001E-2</v>
      </c>
      <c r="K70" s="1135">
        <f t="shared" si="10"/>
        <v>3.4128998624999976E-2</v>
      </c>
      <c r="M70" s="106">
        <f t="shared" si="12"/>
        <v>0.19072761756355469</v>
      </c>
      <c r="N70" s="1133">
        <v>0.20963098812915065</v>
      </c>
      <c r="O70" s="109">
        <f t="shared" si="1"/>
        <v>0</v>
      </c>
      <c r="P70" s="1137">
        <f t="shared" si="11"/>
        <v>0</v>
      </c>
      <c r="Q70" s="1131"/>
    </row>
    <row r="71" spans="2:17">
      <c r="B71" s="1132" t="s">
        <v>881</v>
      </c>
      <c r="C71" s="1133">
        <v>0.19500000000000001</v>
      </c>
      <c r="D71" s="1134">
        <v>0</v>
      </c>
      <c r="E71" s="1134">
        <v>0</v>
      </c>
      <c r="F71" s="1133">
        <v>7.2388039500000015E-2</v>
      </c>
      <c r="G71" s="1133">
        <v>5.2059000000000001E-2</v>
      </c>
      <c r="H71" s="1135">
        <f t="shared" si="9"/>
        <v>0.12261196049999999</v>
      </c>
      <c r="J71" s="1136">
        <v>5.7910431600000012E-3</v>
      </c>
      <c r="K71" s="1135">
        <f t="shared" si="10"/>
        <v>0.11682091734</v>
      </c>
      <c r="M71" s="106">
        <f t="shared" si="12"/>
        <v>1.4942733192208575</v>
      </c>
      <c r="N71" s="1133">
        <v>0.21851365711767401</v>
      </c>
      <c r="O71" s="109">
        <f t="shared" si="1"/>
        <v>0</v>
      </c>
      <c r="P71" s="1137">
        <f t="shared" si="11"/>
        <v>0</v>
      </c>
      <c r="Q71" s="1131"/>
    </row>
    <row r="72" spans="2:17">
      <c r="B72" s="1132" t="s">
        <v>882</v>
      </c>
      <c r="C72" s="1133">
        <v>2.5999999999999999E-2</v>
      </c>
      <c r="D72" s="1134">
        <v>0</v>
      </c>
      <c r="E72" s="1134">
        <v>0</v>
      </c>
      <c r="F72" s="1133">
        <v>1.8898543E-2</v>
      </c>
      <c r="G72" s="1133">
        <v>1.0793000000000001E-2</v>
      </c>
      <c r="H72" s="1135">
        <f t="shared" si="9"/>
        <v>7.1014569999999985E-3</v>
      </c>
      <c r="J72" s="1136">
        <v>2.3340158888628753E-3</v>
      </c>
      <c r="K72" s="1135">
        <f t="shared" si="10"/>
        <v>4.7674411111371228E-3</v>
      </c>
      <c r="M72" s="106">
        <f t="shared" si="12"/>
        <v>0.22453445842732556</v>
      </c>
      <c r="N72" s="1133">
        <v>5.3296013931140002E-2</v>
      </c>
      <c r="O72" s="109">
        <f t="shared" si="1"/>
        <v>0</v>
      </c>
      <c r="P72" s="1137">
        <f t="shared" si="11"/>
        <v>0</v>
      </c>
      <c r="Q72" s="1131"/>
    </row>
    <row r="73" spans="2:17">
      <c r="B73" s="1132" t="s">
        <v>883</v>
      </c>
      <c r="C73" s="1133">
        <v>2.1912957051546393</v>
      </c>
      <c r="D73" s="1134">
        <v>0</v>
      </c>
      <c r="E73" s="1134">
        <v>0</v>
      </c>
      <c r="F73" s="1133">
        <v>2.6208444499999999</v>
      </c>
      <c r="G73" s="1133">
        <v>2.1843149999999998</v>
      </c>
      <c r="H73" s="1135">
        <f t="shared" si="9"/>
        <v>-0.42954874484536054</v>
      </c>
      <c r="J73" s="1136">
        <v>0.209667556</v>
      </c>
      <c r="K73" s="1135">
        <f t="shared" si="10"/>
        <v>-0.63921630084536052</v>
      </c>
      <c r="M73" s="106">
        <f t="shared" si="12"/>
        <v>-0.22583062692911277</v>
      </c>
      <c r="N73" s="1133">
        <v>3.8225210572750719</v>
      </c>
      <c r="O73" s="109">
        <f t="shared" si="1"/>
        <v>7.144227988140475E-4</v>
      </c>
      <c r="P73" s="1137">
        <f t="shared" si="11"/>
        <v>3.6435185566569698E-3</v>
      </c>
      <c r="Q73" s="1131"/>
    </row>
    <row r="74" spans="2:17">
      <c r="B74" s="1132" t="s">
        <v>884</v>
      </c>
      <c r="C74" s="1133">
        <v>1.0270567539157898</v>
      </c>
      <c r="D74" s="1134">
        <v>0</v>
      </c>
      <c r="E74" s="1134">
        <v>0</v>
      </c>
      <c r="F74" s="1133">
        <v>0.52026948000000006</v>
      </c>
      <c r="G74" s="1133">
        <v>0.50511600000000001</v>
      </c>
      <c r="H74" s="1135">
        <f t="shared" si="9"/>
        <v>0.5067872739157897</v>
      </c>
      <c r="J74" s="1136">
        <v>7.4617026917230281E-2</v>
      </c>
      <c r="K74" s="1135">
        <f t="shared" si="10"/>
        <v>0.43217024699855944</v>
      </c>
      <c r="M74" s="106">
        <f t="shared" si="12"/>
        <v>0.72647512083962862</v>
      </c>
      <c r="N74" s="1133">
        <v>1.3600489563211113</v>
      </c>
      <c r="O74" s="109">
        <f t="shared" si="1"/>
        <v>0</v>
      </c>
      <c r="P74" s="1137">
        <f t="shared" si="11"/>
        <v>0</v>
      </c>
      <c r="Q74" s="1131"/>
    </row>
    <row r="75" spans="2:17">
      <c r="B75" s="1132" t="s">
        <v>885</v>
      </c>
      <c r="C75" s="1133">
        <v>0.34865611666666668</v>
      </c>
      <c r="D75" s="1134">
        <v>0</v>
      </c>
      <c r="E75" s="1134">
        <v>0</v>
      </c>
      <c r="F75" s="1133">
        <v>0.57575595000000002</v>
      </c>
      <c r="G75" s="1133">
        <v>0.44636500000000001</v>
      </c>
      <c r="H75" s="1135">
        <f t="shared" si="9"/>
        <v>-0.22709983333333333</v>
      </c>
      <c r="J75" s="1136">
        <v>4.6060476000000003E-2</v>
      </c>
      <c r="K75" s="1135">
        <f t="shared" si="10"/>
        <v>-0.27316030933333335</v>
      </c>
      <c r="M75" s="106">
        <f t="shared" si="12"/>
        <v>-0.43929413555462005</v>
      </c>
      <c r="N75" s="1133">
        <v>0.54717240969303726</v>
      </c>
      <c r="O75" s="109">
        <f t="shared" si="1"/>
        <v>1.0226560913843409E-4</v>
      </c>
      <c r="P75" s="1137">
        <f t="shared" si="11"/>
        <v>1.9735149503911087E-3</v>
      </c>
      <c r="Q75" s="1131"/>
    </row>
    <row r="76" spans="2:17">
      <c r="B76" s="1132" t="s">
        <v>886</v>
      </c>
      <c r="C76" s="1133">
        <v>0.28332911279069772</v>
      </c>
      <c r="D76" s="1134">
        <v>0</v>
      </c>
      <c r="E76" s="1134">
        <v>0</v>
      </c>
      <c r="F76" s="1133">
        <v>0.35328484999999998</v>
      </c>
      <c r="G76" s="1133">
        <v>0.27439599999999997</v>
      </c>
      <c r="H76" s="1135">
        <f t="shared" si="9"/>
        <v>-6.995573720930226E-2</v>
      </c>
      <c r="J76" s="1136">
        <v>2.8262788E-2</v>
      </c>
      <c r="K76" s="1135">
        <f t="shared" si="10"/>
        <v>-9.8218525209302257E-2</v>
      </c>
      <c r="M76" s="106">
        <f t="shared" si="12"/>
        <v>-0.25742139493811322</v>
      </c>
      <c r="N76" s="1133">
        <v>0.3926139692927314</v>
      </c>
      <c r="O76" s="109">
        <f t="shared" si="1"/>
        <v>7.3378894868811499E-5</v>
      </c>
      <c r="P76" s="1137">
        <f t="shared" si="11"/>
        <v>4.8625093057106435E-4</v>
      </c>
      <c r="Q76" s="1131"/>
    </row>
    <row r="77" spans="2:17">
      <c r="B77" s="1132" t="s">
        <v>887</v>
      </c>
      <c r="C77" s="1133">
        <v>0.4</v>
      </c>
      <c r="D77" s="1134">
        <v>0</v>
      </c>
      <c r="E77" s="1134">
        <v>0</v>
      </c>
      <c r="F77" s="1133">
        <v>0.43567764000000003</v>
      </c>
      <c r="G77" s="1133">
        <v>0.35249000000000003</v>
      </c>
      <c r="H77" s="1135">
        <f t="shared" si="9"/>
        <v>-3.567764000000001E-2</v>
      </c>
      <c r="J77" s="1136">
        <v>4.5497206588664414E-2</v>
      </c>
      <c r="K77" s="1135">
        <f t="shared" si="10"/>
        <v>-8.1174846588664418E-2</v>
      </c>
      <c r="M77" s="106">
        <f t="shared" si="12"/>
        <v>-0.16870135079620502</v>
      </c>
      <c r="N77" s="1133">
        <v>0.66264710654384062</v>
      </c>
      <c r="O77" s="109">
        <f t="shared" si="1"/>
        <v>1.2384763704102571E-4</v>
      </c>
      <c r="P77" s="1137">
        <f t="shared" si="11"/>
        <v>3.5247218022766596E-4</v>
      </c>
      <c r="Q77" s="1131"/>
    </row>
    <row r="78" spans="2:17">
      <c r="B78" s="1132" t="s">
        <v>888</v>
      </c>
      <c r="C78" s="1133">
        <v>0.13762620421052635</v>
      </c>
      <c r="D78" s="1134">
        <v>0</v>
      </c>
      <c r="E78" s="1134">
        <v>0</v>
      </c>
      <c r="F78" s="1133">
        <v>0.19063426999999999</v>
      </c>
      <c r="G78" s="1133">
        <v>0.13750899999999999</v>
      </c>
      <c r="H78" s="1135">
        <f t="shared" si="9"/>
        <v>-5.3008065789473646E-2</v>
      </c>
      <c r="J78" s="1136">
        <v>1.5250741599999999E-2</v>
      </c>
      <c r="K78" s="1135">
        <f t="shared" si="10"/>
        <v>-6.8258807389473652E-2</v>
      </c>
      <c r="M78" s="106">
        <f t="shared" si="12"/>
        <v>-0.33153849743122171</v>
      </c>
      <c r="N78" s="1133">
        <v>0.34820062435011473</v>
      </c>
      <c r="O78" s="109">
        <f t="shared" ref="O78:O141" si="13">IF(K78&lt;0,N78/$N$263,0)</f>
        <v>6.5078114906276256E-5</v>
      </c>
      <c r="P78" s="1137">
        <f t="shared" si="11"/>
        <v>7.1532416098459028E-4</v>
      </c>
      <c r="Q78" s="1131"/>
    </row>
    <row r="79" spans="2:17">
      <c r="B79" s="1132" t="s">
        <v>889</v>
      </c>
      <c r="C79" s="1133">
        <v>0.19</v>
      </c>
      <c r="D79" s="1134">
        <v>0</v>
      </c>
      <c r="E79" s="1134">
        <v>0</v>
      </c>
      <c r="F79" s="1133">
        <v>0.22999689880000002</v>
      </c>
      <c r="G79" s="1133">
        <v>0.18007899999999999</v>
      </c>
      <c r="H79" s="1135">
        <f t="shared" si="9"/>
        <v>-3.9996898800000014E-2</v>
      </c>
      <c r="J79" s="1136">
        <v>1.8399751904000002E-2</v>
      </c>
      <c r="K79" s="1135">
        <f t="shared" si="10"/>
        <v>-5.8396650704000019E-2</v>
      </c>
      <c r="M79" s="106">
        <f t="shared" si="12"/>
        <v>-0.23509435629866018</v>
      </c>
      <c r="N79" s="1133">
        <v>0.54361934209762808</v>
      </c>
      <c r="O79" s="109">
        <f t="shared" si="13"/>
        <v>1.016015467414313E-4</v>
      </c>
      <c r="P79" s="1137">
        <f t="shared" si="11"/>
        <v>5.615452093933077E-4</v>
      </c>
      <c r="Q79" s="1131"/>
    </row>
    <row r="80" spans="2:17">
      <c r="B80" s="1132" t="s">
        <v>890</v>
      </c>
      <c r="C80" s="1133">
        <v>0.1474252659555555</v>
      </c>
      <c r="D80" s="1134">
        <v>0</v>
      </c>
      <c r="E80" s="1134">
        <v>0</v>
      </c>
      <c r="F80" s="1133">
        <v>0.12052553240000001</v>
      </c>
      <c r="G80" s="1133">
        <v>9.5913999999999999E-2</v>
      </c>
      <c r="H80" s="1135">
        <f t="shared" si="9"/>
        <v>2.6899733555555486E-2</v>
      </c>
      <c r="J80" s="1136">
        <v>9.6420425920000011E-3</v>
      </c>
      <c r="K80" s="1135">
        <f t="shared" si="10"/>
        <v>1.7257690963555485E-2</v>
      </c>
      <c r="M80" s="106">
        <f t="shared" si="12"/>
        <v>0.13258056750781541</v>
      </c>
      <c r="N80" s="1133">
        <v>0.24693819788094867</v>
      </c>
      <c r="O80" s="109">
        <f t="shared" si="13"/>
        <v>0</v>
      </c>
      <c r="P80" s="1137">
        <f t="shared" si="11"/>
        <v>0</v>
      </c>
      <c r="Q80" s="1131"/>
    </row>
    <row r="81" spans="2:17">
      <c r="B81" s="1132" t="s">
        <v>891</v>
      </c>
      <c r="C81" s="1133">
        <v>0.2422362263157895</v>
      </c>
      <c r="D81" s="1134">
        <v>0</v>
      </c>
      <c r="E81" s="1134">
        <v>0</v>
      </c>
      <c r="F81" s="1133">
        <v>0.28610445000000001</v>
      </c>
      <c r="G81" s="1133">
        <v>0.22631499999999999</v>
      </c>
      <c r="H81" s="1135">
        <f t="shared" si="9"/>
        <v>-4.3868223684210506E-2</v>
      </c>
      <c r="J81" s="1136">
        <v>4.2981363536487627E-2</v>
      </c>
      <c r="K81" s="1135">
        <f t="shared" si="10"/>
        <v>-8.6849587220698132E-2</v>
      </c>
      <c r="M81" s="106">
        <f t="shared" si="12"/>
        <v>-0.26391167181404074</v>
      </c>
      <c r="N81" s="1133">
        <v>0.54217270492913383</v>
      </c>
      <c r="O81" s="109">
        <f t="shared" si="13"/>
        <v>1.0133117267172746E-4</v>
      </c>
      <c r="P81" s="1137">
        <f t="shared" si="11"/>
        <v>7.0576523906070148E-4</v>
      </c>
      <c r="Q81" s="1131"/>
    </row>
    <row r="82" spans="2:17">
      <c r="B82" s="1132" t="s">
        <v>892</v>
      </c>
      <c r="C82" s="1133">
        <v>0.54800000000000004</v>
      </c>
      <c r="D82" s="1134">
        <v>0</v>
      </c>
      <c r="E82" s="1134">
        <v>0</v>
      </c>
      <c r="F82" s="1133">
        <v>0.62052071900000005</v>
      </c>
      <c r="G82" s="1133">
        <v>0.46342100000000003</v>
      </c>
      <c r="H82" s="1135">
        <f t="shared" si="9"/>
        <v>-7.2520719000000011E-2</v>
      </c>
      <c r="J82" s="1136">
        <v>4.9641657520000007E-2</v>
      </c>
      <c r="K82" s="1135">
        <f t="shared" si="10"/>
        <v>-0.12216237652000002</v>
      </c>
      <c r="M82" s="106">
        <f t="shared" si="12"/>
        <v>-0.18228772727344272</v>
      </c>
      <c r="N82" s="1133">
        <v>0.92202104100872206</v>
      </c>
      <c r="O82" s="109">
        <f t="shared" si="13"/>
        <v>1.7232419202223152E-4</v>
      </c>
      <c r="P82" s="1137">
        <f t="shared" si="11"/>
        <v>5.7261287853949388E-4</v>
      </c>
      <c r="Q82" s="1131"/>
    </row>
    <row r="83" spans="2:17">
      <c r="B83" s="1132" t="s">
        <v>893</v>
      </c>
      <c r="C83" s="1133">
        <v>0.2</v>
      </c>
      <c r="D83" s="1134">
        <v>0</v>
      </c>
      <c r="E83" s="1134">
        <v>0</v>
      </c>
      <c r="F83" s="1133">
        <v>0.20799002</v>
      </c>
      <c r="G83" s="1133">
        <v>0.148534</v>
      </c>
      <c r="H83" s="1135">
        <f t="shared" si="9"/>
        <v>-7.9900199999999866E-3</v>
      </c>
      <c r="J83" s="1136">
        <v>2.5892282611580032E-2</v>
      </c>
      <c r="K83" s="1135">
        <f t="shared" si="10"/>
        <v>-3.3882302611580019E-2</v>
      </c>
      <c r="M83" s="106">
        <f t="shared" si="12"/>
        <v>-0.14486903127446135</v>
      </c>
      <c r="N83" s="1133">
        <v>0.26292700206029063</v>
      </c>
      <c r="O83" s="109">
        <f t="shared" si="13"/>
        <v>4.9140617378208588E-5</v>
      </c>
      <c r="P83" s="1137">
        <f t="shared" si="11"/>
        <v>1.031315916907605E-4</v>
      </c>
      <c r="Q83" s="1131"/>
    </row>
    <row r="84" spans="2:17">
      <c r="B84" s="1132" t="s">
        <v>894</v>
      </c>
      <c r="C84" s="1133">
        <v>0.9546130312550607</v>
      </c>
      <c r="D84" s="1134">
        <v>0</v>
      </c>
      <c r="E84" s="1134">
        <v>0</v>
      </c>
      <c r="F84" s="1133">
        <v>1.0053359100000001</v>
      </c>
      <c r="G84" s="1133">
        <v>0.80129700000000004</v>
      </c>
      <c r="H84" s="1135">
        <f t="shared" si="9"/>
        <v>-5.0722878744939415E-2</v>
      </c>
      <c r="J84" s="1136">
        <v>8.0426872800000007E-2</v>
      </c>
      <c r="K84" s="1135">
        <f t="shared" si="10"/>
        <v>-0.13114975154493941</v>
      </c>
      <c r="M84" s="106">
        <f t="shared" si="12"/>
        <v>-0.1207904282800394</v>
      </c>
      <c r="N84" s="1133">
        <v>1.602419722651564</v>
      </c>
      <c r="O84" s="109">
        <f t="shared" si="13"/>
        <v>2.9948956878936007E-4</v>
      </c>
      <c r="P84" s="1137">
        <f t="shared" si="11"/>
        <v>4.369650910660438E-4</v>
      </c>
      <c r="Q84" s="1131"/>
    </row>
    <row r="85" spans="2:17">
      <c r="B85" s="1132" t="s">
        <v>895</v>
      </c>
      <c r="C85" s="1133">
        <v>0.16</v>
      </c>
      <c r="D85" s="1134">
        <v>0</v>
      </c>
      <c r="E85" s="1134">
        <v>0</v>
      </c>
      <c r="F85" s="1133">
        <v>0.12638146349999999</v>
      </c>
      <c r="G85" s="1133">
        <v>8.4621000000000002E-2</v>
      </c>
      <c r="H85" s="1135">
        <f t="shared" si="9"/>
        <v>3.3618536500000018E-2</v>
      </c>
      <c r="J85" s="1136">
        <v>1.0110517079999999E-2</v>
      </c>
      <c r="K85" s="1135">
        <f t="shared" si="10"/>
        <v>2.3508019420000019E-2</v>
      </c>
      <c r="M85" s="106">
        <f t="shared" si="12"/>
        <v>0.17223004106253423</v>
      </c>
      <c r="N85" s="1133">
        <v>0.17232377837735269</v>
      </c>
      <c r="O85" s="109">
        <f t="shared" si="13"/>
        <v>0</v>
      </c>
      <c r="P85" s="1137">
        <f t="shared" si="11"/>
        <v>0</v>
      </c>
      <c r="Q85" s="1131"/>
    </row>
    <row r="86" spans="2:17">
      <c r="B86" s="1132" t="s">
        <v>896</v>
      </c>
      <c r="C86" s="1133">
        <v>2.3228134516129033E-2</v>
      </c>
      <c r="D86" s="1134">
        <v>0</v>
      </c>
      <c r="E86" s="1134">
        <v>0</v>
      </c>
      <c r="F86" s="1133">
        <v>5.8163069999999997E-2</v>
      </c>
      <c r="G86" s="1133">
        <v>3.7645999999999999E-2</v>
      </c>
      <c r="H86" s="1135">
        <f t="shared" si="9"/>
        <v>-3.4934935483870964E-2</v>
      </c>
      <c r="J86" s="1136">
        <v>6.0838571219999993E-3</v>
      </c>
      <c r="K86" s="1135">
        <f t="shared" si="10"/>
        <v>-4.1018792605870963E-2</v>
      </c>
      <c r="M86" s="106">
        <f t="shared" si="12"/>
        <v>-0.63845532297567187</v>
      </c>
      <c r="N86" s="1133">
        <v>7.106135190818666E-2</v>
      </c>
      <c r="O86" s="109">
        <f t="shared" si="13"/>
        <v>1.3281247940056375E-5</v>
      </c>
      <c r="P86" s="1137">
        <f t="shared" si="11"/>
        <v>5.4137713403240389E-4</v>
      </c>
      <c r="Q86" s="1131"/>
    </row>
    <row r="87" spans="2:17">
      <c r="B87" s="1132" t="s">
        <v>897</v>
      </c>
      <c r="C87" s="1133">
        <v>1.6742172929870129</v>
      </c>
      <c r="D87" s="1134">
        <v>0</v>
      </c>
      <c r="E87" s="1134">
        <v>0</v>
      </c>
      <c r="F87" s="1133">
        <v>1.97745393</v>
      </c>
      <c r="G87" s="1133">
        <v>1.567431</v>
      </c>
      <c r="H87" s="1135">
        <f t="shared" si="9"/>
        <v>-0.30323663701298709</v>
      </c>
      <c r="J87" s="1136">
        <v>0.25981419707809844</v>
      </c>
      <c r="K87" s="1135">
        <f t="shared" si="10"/>
        <v>-0.56305083409108558</v>
      </c>
      <c r="M87" s="106">
        <f t="shared" si="12"/>
        <v>-0.25166891141762132</v>
      </c>
      <c r="N87" s="1133">
        <v>2.9639181678298052</v>
      </c>
      <c r="O87" s="109">
        <f t="shared" si="13"/>
        <v>5.539513533579461E-4</v>
      </c>
      <c r="P87" s="1137">
        <f t="shared" si="11"/>
        <v>3.5085750355577966E-3</v>
      </c>
      <c r="Q87" s="1131"/>
    </row>
    <row r="88" spans="2:17">
      <c r="B88" s="1132" t="s">
        <v>898</v>
      </c>
      <c r="C88" s="1133">
        <v>0.51739999999999997</v>
      </c>
      <c r="D88" s="1134">
        <v>0</v>
      </c>
      <c r="E88" s="1134">
        <v>0</v>
      </c>
      <c r="F88" s="1133">
        <v>0.50563420999999997</v>
      </c>
      <c r="G88" s="1133">
        <v>0.49090699999999998</v>
      </c>
      <c r="H88" s="1135">
        <f>+C88+D88-E88-F88</f>
        <v>1.1765789999999998E-2</v>
      </c>
      <c r="J88" s="1136">
        <v>4.0450736799999998E-2</v>
      </c>
      <c r="K88" s="1135">
        <f>+H88-J88</f>
        <v>-2.86849468E-2</v>
      </c>
      <c r="M88" s="106">
        <f>+IF(ISERROR(K88/(F88+J88)),0,K88/(F88+J88))</f>
        <v>-5.2528360226903804E-2</v>
      </c>
      <c r="N88" s="1133">
        <v>0.92557410860413136</v>
      </c>
      <c r="O88" s="109">
        <f t="shared" si="13"/>
        <v>1.7298825441923433E-4</v>
      </c>
      <c r="P88" s="1137">
        <f>(M88^2*O88)*100</f>
        <v>4.7731414392333234E-5</v>
      </c>
      <c r="Q88" s="1131"/>
    </row>
    <row r="89" spans="2:17">
      <c r="B89" s="1132" t="s">
        <v>899</v>
      </c>
      <c r="C89" s="1133">
        <v>1.3</v>
      </c>
      <c r="D89" s="1134">
        <v>0</v>
      </c>
      <c r="E89" s="1134">
        <v>0</v>
      </c>
      <c r="F89" s="1133">
        <v>1.1165413416000001</v>
      </c>
      <c r="G89" s="1133">
        <v>0.79125599999999996</v>
      </c>
      <c r="H89" s="1135">
        <f t="shared" ref="H89:H112" si="14">+C89+D89-E89-F89</f>
        <v>0.18345865839999997</v>
      </c>
      <c r="J89" s="1136">
        <v>8.9323307328000007E-2</v>
      </c>
      <c r="K89" s="1135">
        <f t="shared" ref="K89:K112" si="15">+H89-J89</f>
        <v>9.4135351071999968E-2</v>
      </c>
      <c r="M89" s="106">
        <f>+IF(ISERROR(K89/(F89+J89)),0,K89/(F89+J89))</f>
        <v>7.8064607960508028E-2</v>
      </c>
      <c r="N89" s="1133">
        <v>1.4478750451293032</v>
      </c>
      <c r="O89" s="109">
        <f t="shared" si="13"/>
        <v>0</v>
      </c>
      <c r="P89" s="1137">
        <f t="shared" ref="P89:P112" si="16">(M89^2*O89)*100</f>
        <v>0</v>
      </c>
      <c r="Q89" s="1131"/>
    </row>
    <row r="90" spans="2:17">
      <c r="B90" s="1132" t="s">
        <v>900</v>
      </c>
      <c r="C90" s="1133">
        <v>0.42943689093061227</v>
      </c>
      <c r="D90" s="1134">
        <v>0</v>
      </c>
      <c r="E90" s="1134">
        <v>0</v>
      </c>
      <c r="F90" s="1133">
        <v>0.18567859440000001</v>
      </c>
      <c r="G90" s="1133">
        <v>0.118599</v>
      </c>
      <c r="H90" s="1135">
        <f t="shared" si="14"/>
        <v>0.24375829653061226</v>
      </c>
      <c r="J90" s="1136">
        <v>1.4854287552E-2</v>
      </c>
      <c r="K90" s="1135">
        <f t="shared" si="15"/>
        <v>0.22890400897861227</v>
      </c>
      <c r="M90" s="106">
        <f t="shared" ref="M90:M112" si="17">+IF(ISERROR(K90/(F90+J90)),0,K90/(F90+J90))</f>
        <v>1.1414786779626658</v>
      </c>
      <c r="N90" s="1133">
        <v>0.19056969511377361</v>
      </c>
      <c r="O90" s="109">
        <f t="shared" si="13"/>
        <v>0</v>
      </c>
      <c r="P90" s="1137">
        <f t="shared" si="16"/>
        <v>0</v>
      </c>
      <c r="Q90" s="1131"/>
    </row>
    <row r="91" spans="2:17">
      <c r="B91" s="1132" t="s">
        <v>901</v>
      </c>
      <c r="C91" s="1133">
        <v>5.6715000000000002E-2</v>
      </c>
      <c r="D91" s="1134">
        <v>0</v>
      </c>
      <c r="E91" s="1134">
        <v>0</v>
      </c>
      <c r="F91" s="1133">
        <v>3.2812710000000002E-2</v>
      </c>
      <c r="G91" s="1133">
        <v>3.1857000000000003E-2</v>
      </c>
      <c r="H91" s="1135">
        <f t="shared" si="14"/>
        <v>2.390229E-2</v>
      </c>
      <c r="J91" s="1136">
        <v>2.6250168000000003E-3</v>
      </c>
      <c r="K91" s="1135">
        <f t="shared" si="15"/>
        <v>2.1277273199999999E-2</v>
      </c>
      <c r="M91" s="106">
        <f t="shared" si="17"/>
        <v>0.60041303777983857</v>
      </c>
      <c r="N91" s="1133">
        <v>8.2858849129567078E-2</v>
      </c>
      <c r="O91" s="109">
        <f t="shared" si="13"/>
        <v>0</v>
      </c>
      <c r="P91" s="1137">
        <f t="shared" si="16"/>
        <v>0</v>
      </c>
      <c r="Q91" s="1131"/>
    </row>
    <row r="92" spans="2:17">
      <c r="B92" s="1132" t="s">
        <v>902</v>
      </c>
      <c r="C92" s="1133">
        <v>0.35322499999999996</v>
      </c>
      <c r="D92" s="1134">
        <v>0</v>
      </c>
      <c r="E92" s="1134">
        <v>0</v>
      </c>
      <c r="F92" s="1133">
        <v>0.31597515999999998</v>
      </c>
      <c r="G92" s="1133">
        <v>0.30677199999999999</v>
      </c>
      <c r="H92" s="1135">
        <f t="shared" si="14"/>
        <v>3.7249839999999979E-2</v>
      </c>
      <c r="J92" s="1136">
        <v>2.5278012799999999E-2</v>
      </c>
      <c r="K92" s="1135">
        <f t="shared" si="15"/>
        <v>1.1971827199999979E-2</v>
      </c>
      <c r="M92" s="106">
        <f t="shared" si="17"/>
        <v>3.5081951331823569E-2</v>
      </c>
      <c r="N92" s="1133">
        <v>0.51827397788886076</v>
      </c>
      <c r="O92" s="109">
        <f t="shared" si="13"/>
        <v>0</v>
      </c>
      <c r="P92" s="1137">
        <f t="shared" si="16"/>
        <v>0</v>
      </c>
      <c r="Q92" s="1131"/>
    </row>
    <row r="93" spans="2:17">
      <c r="B93" s="1132" t="s">
        <v>903</v>
      </c>
      <c r="C93" s="1133">
        <v>4.8849480326530616E-2</v>
      </c>
      <c r="D93" s="1134">
        <v>0</v>
      </c>
      <c r="E93" s="1134">
        <v>0</v>
      </c>
      <c r="F93" s="1133">
        <v>5.0715964000000002E-2</v>
      </c>
      <c r="G93" s="1133">
        <v>2.8964E-2</v>
      </c>
      <c r="H93" s="1135">
        <f t="shared" si="14"/>
        <v>-1.8664836734693865E-3</v>
      </c>
      <c r="J93" s="1136">
        <v>4.0572771200000001E-3</v>
      </c>
      <c r="K93" s="1135">
        <f t="shared" si="15"/>
        <v>-5.9237607934693867E-3</v>
      </c>
      <c r="M93" s="106">
        <f t="shared" si="17"/>
        <v>-0.10815063473222829</v>
      </c>
      <c r="N93" s="1133">
        <v>9.0982265710897195E-2</v>
      </c>
      <c r="O93" s="109">
        <f t="shared" si="13"/>
        <v>1.7004433445281889E-5</v>
      </c>
      <c r="P93" s="1137">
        <f t="shared" si="16"/>
        <v>1.9889337253855423E-5</v>
      </c>
      <c r="Q93" s="1131"/>
    </row>
    <row r="94" spans="2:17">
      <c r="B94" s="1132" t="s">
        <v>904</v>
      </c>
      <c r="C94" s="1133">
        <v>0.04</v>
      </c>
      <c r="D94" s="1134">
        <v>0</v>
      </c>
      <c r="E94" s="1134">
        <v>0</v>
      </c>
      <c r="F94" s="1133">
        <v>8.8990699999999985E-3</v>
      </c>
      <c r="G94" s="1133">
        <v>7.6689999999999996E-3</v>
      </c>
      <c r="H94" s="1135">
        <f t="shared" si="14"/>
        <v>3.1100930000000002E-2</v>
      </c>
      <c r="J94" s="1136">
        <v>7.1192559999999985E-4</v>
      </c>
      <c r="K94" s="1135">
        <f t="shared" si="15"/>
        <v>3.0389004400000003E-2</v>
      </c>
      <c r="M94" s="106">
        <f t="shared" si="17"/>
        <v>3.1618997307625452</v>
      </c>
      <c r="N94" s="1133">
        <v>5.3614549436778701E-2</v>
      </c>
      <c r="O94" s="109">
        <f t="shared" si="13"/>
        <v>0</v>
      </c>
      <c r="P94" s="1137">
        <f t="shared" si="16"/>
        <v>0</v>
      </c>
      <c r="Q94" s="1131"/>
    </row>
    <row r="95" spans="2:17">
      <c r="B95" s="1132" t="s">
        <v>905</v>
      </c>
      <c r="C95" s="1133">
        <v>0.61610998463235289</v>
      </c>
      <c r="D95" s="1134">
        <v>0</v>
      </c>
      <c r="E95" s="1134">
        <v>0</v>
      </c>
      <c r="F95" s="1133">
        <v>0.4017</v>
      </c>
      <c r="G95" s="1133">
        <v>0.39</v>
      </c>
      <c r="H95" s="1135">
        <f t="shared" si="14"/>
        <v>0.21440998463235289</v>
      </c>
      <c r="J95" s="1136">
        <v>5.0853152465477454E-2</v>
      </c>
      <c r="K95" s="1135">
        <f t="shared" si="15"/>
        <v>0.16355683216687544</v>
      </c>
      <c r="M95" s="106">
        <f t="shared" si="17"/>
        <v>0.36140911023562522</v>
      </c>
      <c r="N95" s="1133">
        <v>0.49601015857178549</v>
      </c>
      <c r="O95" s="109">
        <f t="shared" si="13"/>
        <v>0</v>
      </c>
      <c r="P95" s="1137">
        <f t="shared" si="16"/>
        <v>0</v>
      </c>
      <c r="Q95" s="1131"/>
    </row>
    <row r="96" spans="2:17">
      <c r="B96" s="1132" t="s">
        <v>906</v>
      </c>
      <c r="C96" s="1133">
        <v>0.35196742151428567</v>
      </c>
      <c r="D96" s="1134">
        <v>0</v>
      </c>
      <c r="E96" s="1134">
        <v>0</v>
      </c>
      <c r="F96" s="1133">
        <v>0.15334934580000001</v>
      </c>
      <c r="G96" s="1133">
        <v>0.111942</v>
      </c>
      <c r="H96" s="1135">
        <f t="shared" si="14"/>
        <v>0.19861807571428566</v>
      </c>
      <c r="J96" s="1136">
        <v>1.2267947664E-2</v>
      </c>
      <c r="K96" s="1135">
        <f t="shared" si="15"/>
        <v>0.18635012805028567</v>
      </c>
      <c r="M96" s="106">
        <f t="shared" si="17"/>
        <v>1.1251852035052869</v>
      </c>
      <c r="N96" s="1133">
        <v>0.32006261330440616</v>
      </c>
      <c r="O96" s="109">
        <f t="shared" si="13"/>
        <v>0</v>
      </c>
      <c r="P96" s="1137">
        <f t="shared" si="16"/>
        <v>0</v>
      </c>
      <c r="Q96" s="1131"/>
    </row>
    <row r="97" spans="2:17">
      <c r="B97" s="1132" t="s">
        <v>907</v>
      </c>
      <c r="C97" s="1133">
        <v>0.60478661562608693</v>
      </c>
      <c r="D97" s="1134">
        <v>0</v>
      </c>
      <c r="E97" s="1134">
        <v>0</v>
      </c>
      <c r="F97" s="1133">
        <v>0.48461294000000005</v>
      </c>
      <c r="G97" s="1133">
        <v>0.47049800000000003</v>
      </c>
      <c r="H97" s="1135">
        <f t="shared" si="14"/>
        <v>0.12017367562608688</v>
      </c>
      <c r="J97" s="1136">
        <v>3.8769035200000003E-2</v>
      </c>
      <c r="K97" s="1135">
        <f t="shared" si="15"/>
        <v>8.1404640426086888E-2</v>
      </c>
      <c r="M97" s="106">
        <f t="shared" si="17"/>
        <v>0.15553581186088747</v>
      </c>
      <c r="N97" s="1133">
        <v>0.58813536048829962</v>
      </c>
      <c r="O97" s="109">
        <f t="shared" si="13"/>
        <v>0</v>
      </c>
      <c r="P97" s="1137">
        <f t="shared" si="16"/>
        <v>0</v>
      </c>
      <c r="Q97" s="1131"/>
    </row>
    <row r="98" spans="2:17">
      <c r="B98" s="1132" t="s">
        <v>908</v>
      </c>
      <c r="C98" s="1133">
        <v>4.2627409999999992</v>
      </c>
      <c r="D98" s="1134">
        <v>0</v>
      </c>
      <c r="E98" s="1134">
        <v>0</v>
      </c>
      <c r="F98" s="1133">
        <v>3.9359606300000003</v>
      </c>
      <c r="G98" s="1133">
        <v>3.8213210000000002</v>
      </c>
      <c r="H98" s="1135">
        <f t="shared" si="14"/>
        <v>0.32678036999999893</v>
      </c>
      <c r="J98" s="1136">
        <v>0.31487685040000002</v>
      </c>
      <c r="K98" s="1135">
        <f t="shared" si="15"/>
        <v>1.1903519599998913E-2</v>
      </c>
      <c r="M98" s="106">
        <f t="shared" si="17"/>
        <v>2.8002763349303113E-3</v>
      </c>
      <c r="N98" s="1133">
        <v>5.4325933140372511</v>
      </c>
      <c r="O98" s="109">
        <f t="shared" si="13"/>
        <v>0</v>
      </c>
      <c r="P98" s="1137">
        <f t="shared" si="16"/>
        <v>0</v>
      </c>
      <c r="Q98" s="1131"/>
    </row>
    <row r="99" spans="2:17">
      <c r="B99" s="1132" t="s">
        <v>909</v>
      </c>
      <c r="C99" s="1133">
        <v>6.9307668805494513</v>
      </c>
      <c r="D99" s="1134">
        <v>0</v>
      </c>
      <c r="E99" s="1134">
        <v>0</v>
      </c>
      <c r="F99" s="1133">
        <v>6.6184514300000004</v>
      </c>
      <c r="G99" s="1133">
        <v>6.425681</v>
      </c>
      <c r="H99" s="1135">
        <f t="shared" si="14"/>
        <v>0.31231545054945098</v>
      </c>
      <c r="J99" s="1136">
        <v>0.52947611440000009</v>
      </c>
      <c r="K99" s="1135">
        <f t="shared" si="15"/>
        <v>-0.21716066385054911</v>
      </c>
      <c r="M99" s="106">
        <f t="shared" si="17"/>
        <v>-3.0380926849305052E-2</v>
      </c>
      <c r="N99" s="1133">
        <v>14.301705631692171</v>
      </c>
      <c r="O99" s="109">
        <f t="shared" si="13"/>
        <v>2.6729648868152431E-3</v>
      </c>
      <c r="P99" s="1137">
        <f t="shared" si="16"/>
        <v>2.4671485049689311E-4</v>
      </c>
      <c r="Q99" s="1131"/>
    </row>
    <row r="100" spans="2:17">
      <c r="B100" s="1132" t="s">
        <v>910</v>
      </c>
      <c r="C100" s="1133">
        <v>0.59699999999999998</v>
      </c>
      <c r="D100" s="1134">
        <v>0</v>
      </c>
      <c r="E100" s="1134">
        <v>0</v>
      </c>
      <c r="F100" s="1133">
        <v>0.65315287000000011</v>
      </c>
      <c r="G100" s="1133">
        <v>0.63412900000000005</v>
      </c>
      <c r="H100" s="1135">
        <f t="shared" si="14"/>
        <v>-5.6152870000000132E-2</v>
      </c>
      <c r="J100" s="1136">
        <v>5.2252229600000012E-2</v>
      </c>
      <c r="K100" s="1135">
        <f t="shared" si="15"/>
        <v>-0.10840509960000014</v>
      </c>
      <c r="M100" s="106">
        <f t="shared" si="17"/>
        <v>-0.15367779402427234</v>
      </c>
      <c r="N100" s="1133">
        <v>0.99158760171320171</v>
      </c>
      <c r="O100" s="109">
        <f t="shared" si="13"/>
        <v>1.8532606598386007E-4</v>
      </c>
      <c r="P100" s="1137">
        <f t="shared" si="16"/>
        <v>4.3768205657093392E-4</v>
      </c>
      <c r="Q100" s="1131"/>
    </row>
    <row r="101" spans="2:17">
      <c r="B101" s="1132" t="s">
        <v>911</v>
      </c>
      <c r="C101" s="1133">
        <v>0.58704000000000001</v>
      </c>
      <c r="D101" s="1134">
        <v>0</v>
      </c>
      <c r="E101" s="1134">
        <v>0</v>
      </c>
      <c r="F101" s="1133">
        <v>0.38389439000000003</v>
      </c>
      <c r="G101" s="1133">
        <v>0.37271300000000002</v>
      </c>
      <c r="H101" s="1135">
        <f t="shared" si="14"/>
        <v>0.20314560999999998</v>
      </c>
      <c r="J101" s="1136">
        <v>3.0711551200000003E-2</v>
      </c>
      <c r="K101" s="1135">
        <f t="shared" si="15"/>
        <v>0.17243405879999998</v>
      </c>
      <c r="M101" s="106">
        <f t="shared" si="17"/>
        <v>0.41589866826539329</v>
      </c>
      <c r="N101" s="1133">
        <v>0.75329910827824631</v>
      </c>
      <c r="O101" s="109">
        <f t="shared" si="13"/>
        <v>0</v>
      </c>
      <c r="P101" s="1137">
        <f t="shared" si="16"/>
        <v>0</v>
      </c>
      <c r="Q101" s="1131"/>
    </row>
    <row r="102" spans="2:17">
      <c r="B102" s="1132" t="s">
        <v>912</v>
      </c>
      <c r="C102" s="1133">
        <v>0.39800000000000002</v>
      </c>
      <c r="D102" s="1134">
        <v>0</v>
      </c>
      <c r="E102" s="1134">
        <v>0</v>
      </c>
      <c r="F102" s="1133">
        <v>0.33031894000000001</v>
      </c>
      <c r="G102" s="1133">
        <v>0.32069799999999998</v>
      </c>
      <c r="H102" s="1135">
        <f t="shared" si="14"/>
        <v>6.7681060000000015E-2</v>
      </c>
      <c r="J102" s="1136">
        <v>2.6425515199999999E-2</v>
      </c>
      <c r="K102" s="1135">
        <f t="shared" si="15"/>
        <v>4.1255544800000016E-2</v>
      </c>
      <c r="M102" s="106">
        <f t="shared" si="17"/>
        <v>0.11564452985505019</v>
      </c>
      <c r="N102" s="1133">
        <v>0.86475662940104803</v>
      </c>
      <c r="O102" s="109">
        <f t="shared" si="13"/>
        <v>0</v>
      </c>
      <c r="P102" s="1137">
        <f t="shared" si="16"/>
        <v>0</v>
      </c>
      <c r="Q102" s="1131"/>
    </row>
    <row r="103" spans="2:17">
      <c r="B103" s="1132" t="s">
        <v>913</v>
      </c>
      <c r="C103" s="1133">
        <v>5.7371999999999999E-2</v>
      </c>
      <c r="D103" s="1134">
        <v>0</v>
      </c>
      <c r="E103" s="1134">
        <v>0</v>
      </c>
      <c r="F103" s="1133">
        <v>1.9780119999999998E-2</v>
      </c>
      <c r="G103" s="1133">
        <v>1.9203999999999999E-2</v>
      </c>
      <c r="H103" s="1135">
        <f t="shared" si="14"/>
        <v>3.7591880000000001E-2</v>
      </c>
      <c r="J103" s="1136">
        <v>1.5824095999999999E-3</v>
      </c>
      <c r="K103" s="1135">
        <f t="shared" si="15"/>
        <v>3.60094704E-2</v>
      </c>
      <c r="M103" s="106">
        <f t="shared" si="17"/>
        <v>1.6856370043367899</v>
      </c>
      <c r="N103" s="1133">
        <v>0.11530088392013974</v>
      </c>
      <c r="O103" s="109">
        <f t="shared" si="13"/>
        <v>0</v>
      </c>
      <c r="P103" s="1137">
        <f t="shared" si="16"/>
        <v>0</v>
      </c>
      <c r="Q103" s="1131"/>
    </row>
    <row r="104" spans="2:17">
      <c r="B104" s="1132" t="s">
        <v>914</v>
      </c>
      <c r="C104" s="1133">
        <v>1.4508389875E-2</v>
      </c>
      <c r="D104" s="1134">
        <v>0</v>
      </c>
      <c r="E104" s="1134">
        <v>0</v>
      </c>
      <c r="F104" s="1133">
        <v>2.0662418000000002E-2</v>
      </c>
      <c r="G104" s="1133">
        <v>1.2460000000000001E-2</v>
      </c>
      <c r="H104" s="1135">
        <f t="shared" si="14"/>
        <v>-6.1540281250000023E-3</v>
      </c>
      <c r="J104" s="1136">
        <v>1.6529934400000001E-3</v>
      </c>
      <c r="K104" s="1135">
        <f t="shared" si="15"/>
        <v>-7.8070215650000024E-3</v>
      </c>
      <c r="M104" s="106">
        <f t="shared" si="17"/>
        <v>-0.34984887399414233</v>
      </c>
      <c r="N104" s="1133">
        <v>6.9180530352083852E-2</v>
      </c>
      <c r="O104" s="109">
        <f t="shared" si="13"/>
        <v>1.2929725533757682E-5</v>
      </c>
      <c r="P104" s="1137">
        <f t="shared" si="16"/>
        <v>1.582523860744491E-4</v>
      </c>
      <c r="Q104" s="1131"/>
    </row>
    <row r="105" spans="2:17">
      <c r="B105" s="1132" t="s">
        <v>915</v>
      </c>
      <c r="C105" s="1133">
        <v>0.03</v>
      </c>
      <c r="D105" s="1134">
        <v>0</v>
      </c>
      <c r="E105" s="1134">
        <v>0</v>
      </c>
      <c r="F105" s="1133">
        <v>1.2645763200000002E-2</v>
      </c>
      <c r="G105" s="1133">
        <v>7.3080000000000003E-3</v>
      </c>
      <c r="H105" s="1135">
        <f t="shared" si="14"/>
        <v>1.7354236799999999E-2</v>
      </c>
      <c r="J105" s="1136">
        <v>1.0116610560000001E-3</v>
      </c>
      <c r="K105" s="1135">
        <f t="shared" si="15"/>
        <v>1.6342575743999999E-2</v>
      </c>
      <c r="M105" s="106">
        <f t="shared" si="17"/>
        <v>1.1966074596255112</v>
      </c>
      <c r="N105" s="1133">
        <v>5.5728760561400865E-2</v>
      </c>
      <c r="O105" s="109">
        <f t="shared" si="13"/>
        <v>0</v>
      </c>
      <c r="P105" s="1137">
        <f t="shared" si="16"/>
        <v>0</v>
      </c>
      <c r="Q105" s="1131"/>
    </row>
    <row r="106" spans="2:17">
      <c r="B106" s="1132" t="s">
        <v>916</v>
      </c>
      <c r="C106" s="1133">
        <v>0</v>
      </c>
      <c r="D106" s="1134">
        <v>0</v>
      </c>
      <c r="E106" s="1134">
        <v>0</v>
      </c>
      <c r="F106" s="1133">
        <v>2.7087569999999998E-2</v>
      </c>
      <c r="G106" s="1133">
        <v>1.5618999999999999E-2</v>
      </c>
      <c r="H106" s="1135">
        <f t="shared" si="14"/>
        <v>-2.7087569999999998E-2</v>
      </c>
      <c r="J106" s="1136">
        <v>2.7429476666129878E-3</v>
      </c>
      <c r="K106" s="1135">
        <f t="shared" si="15"/>
        <v>-2.9830517666612988E-2</v>
      </c>
      <c r="M106" s="106">
        <f t="shared" si="17"/>
        <v>-1</v>
      </c>
      <c r="N106" s="1133">
        <v>3.8433627973379916E-2</v>
      </c>
      <c r="O106" s="109">
        <f t="shared" si="13"/>
        <v>7.1831808520876007E-6</v>
      </c>
      <c r="P106" s="1137">
        <f t="shared" si="16"/>
        <v>7.1831808520876009E-4</v>
      </c>
      <c r="Q106" s="1131"/>
    </row>
    <row r="107" spans="2:17">
      <c r="B107" s="1132" t="s">
        <v>917</v>
      </c>
      <c r="C107" s="1133">
        <v>1.4999999999999999E-2</v>
      </c>
      <c r="D107" s="1134">
        <v>0</v>
      </c>
      <c r="E107" s="1134">
        <v>0</v>
      </c>
      <c r="F107" s="1133">
        <v>4.0324499999999999E-3</v>
      </c>
      <c r="G107" s="1133">
        <v>3.9150000000000001E-3</v>
      </c>
      <c r="H107" s="1135">
        <f t="shared" si="14"/>
        <v>1.096755E-2</v>
      </c>
      <c r="J107" s="1136">
        <v>3.2259600000000003E-4</v>
      </c>
      <c r="K107" s="1135">
        <f t="shared" si="15"/>
        <v>1.0644954E-2</v>
      </c>
      <c r="M107" s="106">
        <f t="shared" si="17"/>
        <v>2.444280496692802</v>
      </c>
      <c r="N107" s="1133">
        <v>1.9401563014936087E-2</v>
      </c>
      <c r="O107" s="109">
        <f t="shared" si="13"/>
        <v>0</v>
      </c>
      <c r="P107" s="1137">
        <f t="shared" si="16"/>
        <v>0</v>
      </c>
      <c r="Q107" s="1131"/>
    </row>
    <row r="108" spans="2:17">
      <c r="B108" s="1132" t="s">
        <v>918</v>
      </c>
      <c r="C108" s="1133">
        <v>1.6282044010624999</v>
      </c>
      <c r="D108" s="1134">
        <v>0</v>
      </c>
      <c r="E108" s="1134">
        <v>0</v>
      </c>
      <c r="F108" s="1133">
        <v>1.5102623744999999</v>
      </c>
      <c r="G108" s="1133">
        <v>1.275021</v>
      </c>
      <c r="H108" s="1135">
        <f t="shared" si="14"/>
        <v>0.11794202656249997</v>
      </c>
      <c r="J108" s="1136">
        <v>0.12082098996</v>
      </c>
      <c r="K108" s="1135">
        <f t="shared" si="15"/>
        <v>-2.8789633975000312E-3</v>
      </c>
      <c r="M108" s="106">
        <f t="shared" si="17"/>
        <v>-1.7650620809643075E-3</v>
      </c>
      <c r="N108" s="1133">
        <v>2.8776142908488387</v>
      </c>
      <c r="O108" s="109">
        <f t="shared" si="13"/>
        <v>5.3782130294948653E-4</v>
      </c>
      <c r="P108" s="1137">
        <f t="shared" si="16"/>
        <v>1.6755522318354485E-7</v>
      </c>
      <c r="Q108" s="1131"/>
    </row>
    <row r="109" spans="2:17">
      <c r="B109" s="1132" t="s">
        <v>919</v>
      </c>
      <c r="C109" s="1133">
        <v>0.51831847208333326</v>
      </c>
      <c r="D109" s="1134">
        <v>0</v>
      </c>
      <c r="E109" s="1134">
        <v>0</v>
      </c>
      <c r="F109" s="1133">
        <v>0.57217267000000005</v>
      </c>
      <c r="G109" s="1133">
        <v>0.41278900000000002</v>
      </c>
      <c r="H109" s="1135">
        <f t="shared" si="14"/>
        <v>-5.3854197916666791E-2</v>
      </c>
      <c r="J109" s="1136">
        <v>4.5773813600000005E-2</v>
      </c>
      <c r="K109" s="1135">
        <f t="shared" si="15"/>
        <v>-9.9628011516666795E-2</v>
      </c>
      <c r="M109" s="106">
        <f t="shared" si="17"/>
        <v>-0.16122433602382391</v>
      </c>
      <c r="N109" s="1133">
        <v>0.49876488552697923</v>
      </c>
      <c r="O109" s="109">
        <f t="shared" si="13"/>
        <v>9.3218323752640285E-5</v>
      </c>
      <c r="P109" s="1137">
        <f t="shared" si="16"/>
        <v>2.4230505988059094E-4</v>
      </c>
      <c r="Q109" s="1131"/>
    </row>
    <row r="110" spans="2:17">
      <c r="B110" s="1132" t="s">
        <v>920</v>
      </c>
      <c r="C110" s="1133">
        <v>0.86565000000000003</v>
      </c>
      <c r="D110" s="1134">
        <v>0</v>
      </c>
      <c r="E110" s="1134">
        <v>0</v>
      </c>
      <c r="F110" s="1133">
        <v>0.34344732</v>
      </c>
      <c r="G110" s="1133">
        <v>0.33344400000000002</v>
      </c>
      <c r="H110" s="1135">
        <f t="shared" si="14"/>
        <v>0.52220268000000003</v>
      </c>
      <c r="J110" s="1136">
        <v>2.74757856E-2</v>
      </c>
      <c r="K110" s="1135">
        <f t="shared" si="15"/>
        <v>0.49472689440000001</v>
      </c>
      <c r="M110" s="106">
        <f t="shared" si="17"/>
        <v>1.3337721132247524</v>
      </c>
      <c r="N110" s="1133">
        <v>1.1400340240616669</v>
      </c>
      <c r="O110" s="109">
        <f t="shared" si="13"/>
        <v>0</v>
      </c>
      <c r="P110" s="1137">
        <f t="shared" si="16"/>
        <v>0</v>
      </c>
      <c r="Q110" s="1131"/>
    </row>
    <row r="111" spans="2:17">
      <c r="B111" s="1132" t="s">
        <v>921</v>
      </c>
      <c r="C111" s="1133">
        <v>6.2284587018608697</v>
      </c>
      <c r="D111" s="1134">
        <v>0</v>
      </c>
      <c r="E111" s="1134">
        <v>0</v>
      </c>
      <c r="F111" s="1133">
        <v>3.6318788799999999</v>
      </c>
      <c r="G111" s="1133">
        <v>3.5260959999999999</v>
      </c>
      <c r="H111" s="1135">
        <f t="shared" si="14"/>
        <v>2.5965798218608698</v>
      </c>
      <c r="J111" s="1136">
        <v>0.29055031040000001</v>
      </c>
      <c r="K111" s="1135">
        <f t="shared" si="15"/>
        <v>2.3060295114608698</v>
      </c>
      <c r="M111" s="106">
        <f t="shared" si="17"/>
        <v>0.58790851269024602</v>
      </c>
      <c r="N111" s="1133">
        <v>9.2475122744943921</v>
      </c>
      <c r="O111" s="109">
        <f t="shared" si="13"/>
        <v>0</v>
      </c>
      <c r="P111" s="1137">
        <f t="shared" si="16"/>
        <v>0</v>
      </c>
      <c r="Q111" s="1131"/>
    </row>
    <row r="112" spans="2:17">
      <c r="B112" s="1132" t="s">
        <v>922</v>
      </c>
      <c r="C112" s="1133">
        <v>2.1679685714583332</v>
      </c>
      <c r="D112" s="1134">
        <v>0</v>
      </c>
      <c r="E112" s="1134">
        <v>0</v>
      </c>
      <c r="F112" s="1133">
        <v>1.8242845000000001</v>
      </c>
      <c r="G112" s="1133">
        <v>1.77115</v>
      </c>
      <c r="H112" s="1135">
        <f t="shared" si="14"/>
        <v>0.34368407145833313</v>
      </c>
      <c r="J112" s="1136">
        <v>0.14594276</v>
      </c>
      <c r="K112" s="1135">
        <f t="shared" si="15"/>
        <v>0.19774131145833312</v>
      </c>
      <c r="M112" s="106">
        <f t="shared" si="17"/>
        <v>0.10036472211755568</v>
      </c>
      <c r="N112" s="1133">
        <v>4.2743685604594965</v>
      </c>
      <c r="O112" s="109">
        <f t="shared" si="13"/>
        <v>0</v>
      </c>
      <c r="P112" s="1137">
        <f t="shared" si="16"/>
        <v>0</v>
      </c>
      <c r="Q112" s="1131"/>
    </row>
    <row r="113" spans="2:17">
      <c r="B113" s="1132" t="s">
        <v>923</v>
      </c>
      <c r="C113" s="1133">
        <v>2.9850000000000002E-3</v>
      </c>
      <c r="D113" s="1134">
        <v>0</v>
      </c>
      <c r="E113" s="1134">
        <v>0</v>
      </c>
      <c r="F113" s="1133">
        <v>1.5810499999999999E-3</v>
      </c>
      <c r="G113" s="1133">
        <v>1.5349999999999999E-3</v>
      </c>
      <c r="H113" s="1135">
        <f>+C113+D113-E113-F113</f>
        <v>1.4039500000000004E-3</v>
      </c>
      <c r="J113" s="1136">
        <v>1.26484E-4</v>
      </c>
      <c r="K113" s="1135">
        <f>+H113-J113</f>
        <v>1.2774660000000003E-3</v>
      </c>
      <c r="M113" s="106">
        <f>+IF(ISERROR(K113/(F113+J113)),0,K113/(F113+J113))</f>
        <v>0.7481350298149263</v>
      </c>
      <c r="N113" s="1133">
        <v>1.6193665114512312E-2</v>
      </c>
      <c r="O113" s="109">
        <f t="shared" si="13"/>
        <v>0</v>
      </c>
      <c r="P113" s="1137">
        <f>(M113^2*O113)*100</f>
        <v>0</v>
      </c>
      <c r="Q113" s="1131"/>
    </row>
    <row r="114" spans="2:17">
      <c r="B114" s="1132" t="s">
        <v>924</v>
      </c>
      <c r="C114" s="1133">
        <v>1.2E-2</v>
      </c>
      <c r="D114" s="1134">
        <v>0</v>
      </c>
      <c r="E114" s="1134">
        <v>0</v>
      </c>
      <c r="F114" s="1133">
        <v>1.48811104E-2</v>
      </c>
      <c r="G114" s="1133">
        <v>7.8519999999999996E-3</v>
      </c>
      <c r="H114" s="1135">
        <f t="shared" ref="H114:H137" si="18">+C114+D114-E114-F114</f>
        <v>-2.8811103999999994E-3</v>
      </c>
      <c r="J114" s="1136">
        <v>1.1904888319999999E-3</v>
      </c>
      <c r="K114" s="1135">
        <f t="shared" ref="K114:K137" si="19">+H114-J114</f>
        <v>-4.0715992319999995E-3</v>
      </c>
      <c r="M114" s="106">
        <f>+IF(ISERROR(K114/(F114+J114)),0,K114/(F114+J114))</f>
        <v>-0.25334126201287299</v>
      </c>
      <c r="N114" s="1133">
        <v>2.7529230694670937E-2</v>
      </c>
      <c r="O114" s="109">
        <f t="shared" si="13"/>
        <v>5.145167220113264E-6</v>
      </c>
      <c r="P114" s="1137">
        <f t="shared" ref="P114:P137" si="20">(M114^2*O114)*100</f>
        <v>3.3022606795896153E-5</v>
      </c>
      <c r="Q114" s="1131"/>
    </row>
    <row r="115" spans="2:17">
      <c r="B115" s="1132" t="s">
        <v>925</v>
      </c>
      <c r="C115" s="1133">
        <v>0.61599999999999999</v>
      </c>
      <c r="D115" s="1134">
        <v>0</v>
      </c>
      <c r="E115" s="1134">
        <v>0</v>
      </c>
      <c r="F115" s="1133">
        <v>0.59570643279999991</v>
      </c>
      <c r="G115" s="1133">
        <v>0.49013200000000001</v>
      </c>
      <c r="H115" s="1135">
        <f t="shared" si="18"/>
        <v>2.0293567200000084E-2</v>
      </c>
      <c r="J115" s="1136">
        <v>5.0934450299292937E-2</v>
      </c>
      <c r="K115" s="1135">
        <f t="shared" si="19"/>
        <v>-3.0640883099292852E-2</v>
      </c>
      <c r="M115" s="106">
        <f t="shared" ref="M115:M137" si="21">+IF(ISERROR(K115/(F115+J115)),0,K115/(F115+J115))</f>
        <v>-4.7384698215234701E-2</v>
      </c>
      <c r="N115" s="1133">
        <v>1.0234396352371784</v>
      </c>
      <c r="O115" s="109">
        <f t="shared" si="13"/>
        <v>1.9127915783009311E-4</v>
      </c>
      <c r="P115" s="1137">
        <f t="shared" si="20"/>
        <v>4.2948093412802141E-5</v>
      </c>
      <c r="Q115" s="1131"/>
    </row>
    <row r="116" spans="2:17">
      <c r="B116" s="1132" t="s">
        <v>926</v>
      </c>
      <c r="C116" s="1133">
        <v>3.0000000000000001E-3</v>
      </c>
      <c r="D116" s="1134">
        <v>0</v>
      </c>
      <c r="E116" s="1134">
        <v>0</v>
      </c>
      <c r="F116" s="1133">
        <v>3.1565380000000004E-3</v>
      </c>
      <c r="G116" s="1133">
        <v>1.3929999999999999E-3</v>
      </c>
      <c r="H116" s="1135">
        <f t="shared" si="18"/>
        <v>-1.5653800000000034E-4</v>
      </c>
      <c r="J116" s="1136">
        <v>2.5252304000000005E-4</v>
      </c>
      <c r="K116" s="1135">
        <f t="shared" si="19"/>
        <v>-4.0906104000000039E-4</v>
      </c>
      <c r="M116" s="106">
        <f t="shared" si="21"/>
        <v>-0.11999228972444576</v>
      </c>
      <c r="N116" s="1133">
        <v>9.7161990687073888E-3</v>
      </c>
      <c r="O116" s="109">
        <f t="shared" si="13"/>
        <v>1.8159413718046812E-6</v>
      </c>
      <c r="P116" s="1137">
        <f t="shared" si="20"/>
        <v>2.6146195523934054E-6</v>
      </c>
      <c r="Q116" s="1131"/>
    </row>
    <row r="117" spans="2:17">
      <c r="B117" s="1132" t="s">
        <v>927</v>
      </c>
      <c r="C117" s="1133">
        <v>1</v>
      </c>
      <c r="D117" s="1134">
        <v>0</v>
      </c>
      <c r="E117" s="1134">
        <v>0</v>
      </c>
      <c r="F117" s="1133">
        <v>1.1641505700000001</v>
      </c>
      <c r="G117" s="1133">
        <v>0.94771899999999998</v>
      </c>
      <c r="H117" s="1135">
        <f t="shared" si="18"/>
        <v>-0.16415057000000011</v>
      </c>
      <c r="J117" s="1136">
        <v>0.1429307621552855</v>
      </c>
      <c r="K117" s="1135">
        <f t="shared" si="19"/>
        <v>-0.3070813321552856</v>
      </c>
      <c r="M117" s="106">
        <f t="shared" si="21"/>
        <v>-0.23493666736784463</v>
      </c>
      <c r="N117" s="1133">
        <v>1.6889992714436344</v>
      </c>
      <c r="O117" s="109">
        <f t="shared" si="13"/>
        <v>3.1567114179871373E-4</v>
      </c>
      <c r="P117" s="1137">
        <f t="shared" si="20"/>
        <v>1.7423543698374319E-3</v>
      </c>
      <c r="Q117" s="1131"/>
    </row>
    <row r="118" spans="2:17">
      <c r="B118" s="1132" t="s">
        <v>928</v>
      </c>
      <c r="C118" s="1133">
        <v>1.2513000000000001</v>
      </c>
      <c r="D118" s="1134">
        <v>0</v>
      </c>
      <c r="E118" s="1134">
        <v>0</v>
      </c>
      <c r="F118" s="1133">
        <v>0.91940272000000001</v>
      </c>
      <c r="G118" s="1133">
        <v>0.89262399999999997</v>
      </c>
      <c r="H118" s="1135">
        <f t="shared" si="18"/>
        <v>0.33189728000000007</v>
      </c>
      <c r="J118" s="1136">
        <v>7.3552217599999997E-2</v>
      </c>
      <c r="K118" s="1135">
        <f t="shared" si="19"/>
        <v>0.2583450624000001</v>
      </c>
      <c r="M118" s="106">
        <f t="shared" si="21"/>
        <v>0.26017803287672592</v>
      </c>
      <c r="N118" s="1133">
        <v>1.9009901515290071</v>
      </c>
      <c r="O118" s="109">
        <f t="shared" si="13"/>
        <v>0</v>
      </c>
      <c r="P118" s="1137">
        <f t="shared" si="20"/>
        <v>0</v>
      </c>
      <c r="Q118" s="1131"/>
    </row>
    <row r="119" spans="2:17">
      <c r="B119" s="1132" t="s">
        <v>929</v>
      </c>
      <c r="C119" s="1133">
        <v>0.35743704242247187</v>
      </c>
      <c r="D119" s="1134">
        <v>0</v>
      </c>
      <c r="E119" s="1134">
        <v>0</v>
      </c>
      <c r="F119" s="1133">
        <v>1.0449810204000001</v>
      </c>
      <c r="G119" s="1133">
        <v>0.83159400000000006</v>
      </c>
      <c r="H119" s="1135">
        <f t="shared" si="18"/>
        <v>-0.6875439779775282</v>
      </c>
      <c r="J119" s="1136">
        <v>0.10804639196143424</v>
      </c>
      <c r="K119" s="1135">
        <f t="shared" si="19"/>
        <v>-0.79559036993896248</v>
      </c>
      <c r="M119" s="106">
        <f t="shared" si="21"/>
        <v>-0.69000126225062575</v>
      </c>
      <c r="N119" s="1133">
        <v>1.4137069644969251</v>
      </c>
      <c r="O119" s="109">
        <f t="shared" si="13"/>
        <v>2.6421946959758114E-4</v>
      </c>
      <c r="P119" s="1137">
        <f t="shared" si="20"/>
        <v>1.2579534972127271E-2</v>
      </c>
      <c r="Q119" s="1131"/>
    </row>
    <row r="120" spans="2:17">
      <c r="B120" s="1132" t="s">
        <v>930</v>
      </c>
      <c r="C120" s="1133">
        <v>126.02185508447253</v>
      </c>
      <c r="D120" s="1134">
        <v>0</v>
      </c>
      <c r="E120" s="1134">
        <v>0</v>
      </c>
      <c r="F120" s="1133">
        <v>132.67130990999999</v>
      </c>
      <c r="G120" s="1133">
        <v>128.807097</v>
      </c>
      <c r="H120" s="1135">
        <f t="shared" si="18"/>
        <v>-6.6494548255274566</v>
      </c>
      <c r="J120" s="1136">
        <v>10.6137047928</v>
      </c>
      <c r="K120" s="1135">
        <f t="shared" si="19"/>
        <v>-17.263159618327457</v>
      </c>
      <c r="M120" s="106">
        <f t="shared" si="21"/>
        <v>-0.12048126354409419</v>
      </c>
      <c r="N120" s="1133">
        <v>373.08857065557686</v>
      </c>
      <c r="O120" s="109">
        <f t="shared" si="13"/>
        <v>6.9729630487188984E-2</v>
      </c>
      <c r="P120" s="1137">
        <f t="shared" si="20"/>
        <v>0.10121768283991106</v>
      </c>
      <c r="Q120" s="1131"/>
    </row>
    <row r="121" spans="2:17">
      <c r="B121" s="1132" t="s">
        <v>931</v>
      </c>
      <c r="C121" s="1133">
        <v>15.42066941112105</v>
      </c>
      <c r="D121" s="1134">
        <v>0</v>
      </c>
      <c r="E121" s="1134">
        <v>0</v>
      </c>
      <c r="F121" s="1133">
        <v>11.85546171</v>
      </c>
      <c r="G121" s="1133">
        <v>11.510157</v>
      </c>
      <c r="H121" s="1135">
        <f t="shared" si="18"/>
        <v>3.5652077011210501</v>
      </c>
      <c r="J121" s="1136">
        <v>1.0393912624784947</v>
      </c>
      <c r="K121" s="1135">
        <f t="shared" si="19"/>
        <v>2.5258164386425555</v>
      </c>
      <c r="M121" s="106">
        <f t="shared" si="21"/>
        <v>0.19587787809860335</v>
      </c>
      <c r="N121" s="1133">
        <v>33.192832596494149</v>
      </c>
      <c r="O121" s="109">
        <f t="shared" si="13"/>
        <v>0</v>
      </c>
      <c r="P121" s="1137">
        <f t="shared" si="20"/>
        <v>0</v>
      </c>
      <c r="Q121" s="1131"/>
    </row>
    <row r="122" spans="2:17">
      <c r="B122" s="1132" t="s">
        <v>932</v>
      </c>
      <c r="C122" s="1133">
        <v>19.054853684497221</v>
      </c>
      <c r="D122" s="1134">
        <v>0</v>
      </c>
      <c r="E122" s="1134">
        <v>0</v>
      </c>
      <c r="F122" s="1133">
        <v>14.67542194</v>
      </c>
      <c r="G122" s="1133">
        <v>12.220798</v>
      </c>
      <c r="H122" s="1135">
        <f t="shared" si="18"/>
        <v>4.3794317444972215</v>
      </c>
      <c r="J122" s="1136">
        <v>1.1740337552</v>
      </c>
      <c r="K122" s="1135">
        <f t="shared" si="19"/>
        <v>3.2053979892972215</v>
      </c>
      <c r="M122" s="106">
        <f t="shared" si="21"/>
        <v>0.20224025675960436</v>
      </c>
      <c r="N122" s="1133">
        <v>35.477595447853652</v>
      </c>
      <c r="O122" s="109">
        <f t="shared" si="13"/>
        <v>0</v>
      </c>
      <c r="P122" s="1137">
        <f t="shared" si="20"/>
        <v>0</v>
      </c>
      <c r="Q122" s="1131"/>
    </row>
    <row r="123" spans="2:17">
      <c r="B123" s="1132" t="s">
        <v>933</v>
      </c>
      <c r="C123" s="1133">
        <v>1.94</v>
      </c>
      <c r="D123" s="1134">
        <v>0</v>
      </c>
      <c r="E123" s="1134">
        <v>0</v>
      </c>
      <c r="F123" s="1133">
        <v>1.6989953</v>
      </c>
      <c r="G123" s="1133">
        <v>1.64951</v>
      </c>
      <c r="H123" s="1135">
        <f t="shared" si="18"/>
        <v>0.24100469999999996</v>
      </c>
      <c r="J123" s="1136">
        <v>0.13591962399999999</v>
      </c>
      <c r="K123" s="1135">
        <f t="shared" si="19"/>
        <v>0.10508507599999997</v>
      </c>
      <c r="M123" s="106">
        <f t="shared" si="21"/>
        <v>5.7269726582702303E-2</v>
      </c>
      <c r="N123" s="1133">
        <v>4.3935730903278838</v>
      </c>
      <c r="O123" s="109">
        <f t="shared" si="13"/>
        <v>0</v>
      </c>
      <c r="P123" s="1137">
        <f t="shared" si="20"/>
        <v>0</v>
      </c>
      <c r="Q123" s="1131"/>
    </row>
    <row r="124" spans="2:17">
      <c r="B124" s="1132" t="s">
        <v>934</v>
      </c>
      <c r="C124" s="1133">
        <v>7.7936603318521742</v>
      </c>
      <c r="D124" s="1134">
        <v>0</v>
      </c>
      <c r="E124" s="1134">
        <v>0</v>
      </c>
      <c r="F124" s="1133">
        <v>7.5748847100000001</v>
      </c>
      <c r="G124" s="1133">
        <v>7.3542569999999996</v>
      </c>
      <c r="H124" s="1135">
        <f t="shared" si="18"/>
        <v>0.21877562185217414</v>
      </c>
      <c r="J124" s="1136">
        <v>0.60599077680000002</v>
      </c>
      <c r="K124" s="1135">
        <f t="shared" si="19"/>
        <v>-0.38721515494782588</v>
      </c>
      <c r="M124" s="106">
        <f t="shared" si="21"/>
        <v>-4.7331750198692672E-2</v>
      </c>
      <c r="N124" s="1133">
        <v>18.241306644046343</v>
      </c>
      <c r="O124" s="109">
        <f t="shared" si="13"/>
        <v>3.4092697336126341E-3</v>
      </c>
      <c r="P124" s="1137">
        <f t="shared" si="20"/>
        <v>7.637768495304336E-4</v>
      </c>
      <c r="Q124" s="1131"/>
    </row>
    <row r="125" spans="2:17">
      <c r="B125" s="1132" t="s">
        <v>935</v>
      </c>
      <c r="C125" s="1133">
        <v>0.45</v>
      </c>
      <c r="D125" s="1134">
        <v>0</v>
      </c>
      <c r="E125" s="1134">
        <v>0</v>
      </c>
      <c r="F125" s="1133">
        <v>0.3658427130000001</v>
      </c>
      <c r="G125" s="1133">
        <v>0.28877000000000003</v>
      </c>
      <c r="H125" s="1135">
        <f t="shared" si="18"/>
        <v>8.4157286999999914E-2</v>
      </c>
      <c r="J125" s="1136">
        <v>2.9267417040000007E-2</v>
      </c>
      <c r="K125" s="1135">
        <f t="shared" si="19"/>
        <v>5.4889869959999907E-2</v>
      </c>
      <c r="M125" s="106">
        <f t="shared" si="21"/>
        <v>0.1389229629583098</v>
      </c>
      <c r="N125" s="1133">
        <v>0.79283861524570476</v>
      </c>
      <c r="O125" s="109">
        <f t="shared" si="13"/>
        <v>0</v>
      </c>
      <c r="P125" s="1137">
        <f t="shared" si="20"/>
        <v>0</v>
      </c>
      <c r="Q125" s="1131"/>
    </row>
    <row r="126" spans="2:17">
      <c r="B126" s="1132" t="s">
        <v>936</v>
      </c>
      <c r="C126" s="1133">
        <v>4.3370598315306125E-2</v>
      </c>
      <c r="D126" s="1134">
        <v>0</v>
      </c>
      <c r="E126" s="1134">
        <v>0</v>
      </c>
      <c r="F126" s="1133">
        <v>5.7585240000000003E-2</v>
      </c>
      <c r="G126" s="1133">
        <v>5.5907999999999999E-2</v>
      </c>
      <c r="H126" s="1135">
        <f t="shared" si="18"/>
        <v>-1.4214641684693878E-2</v>
      </c>
      <c r="J126" s="1136">
        <v>4.6068191999999999E-3</v>
      </c>
      <c r="K126" s="1135">
        <f t="shared" si="19"/>
        <v>-1.8821460884693879E-2</v>
      </c>
      <c r="M126" s="106">
        <f t="shared" si="21"/>
        <v>-0.30263447016872336</v>
      </c>
      <c r="N126" s="1133">
        <v>6.9484732572095462E-2</v>
      </c>
      <c r="O126" s="109">
        <f t="shared" si="13"/>
        <v>1.2986580420407035E-5</v>
      </c>
      <c r="P126" s="1137">
        <f t="shared" si="20"/>
        <v>1.1894100255556212E-4</v>
      </c>
      <c r="Q126" s="1131"/>
    </row>
    <row r="127" spans="2:17">
      <c r="B127" s="1132" t="s">
        <v>937</v>
      </c>
      <c r="C127" s="1133">
        <v>19.418940478854346</v>
      </c>
      <c r="D127" s="1134">
        <v>0</v>
      </c>
      <c r="E127" s="1134">
        <v>0</v>
      </c>
      <c r="F127" s="1133">
        <v>17.116309279999999</v>
      </c>
      <c r="G127" s="1133">
        <v>16.617775999999999</v>
      </c>
      <c r="H127" s="1135">
        <f t="shared" si="18"/>
        <v>2.3026311988543462</v>
      </c>
      <c r="J127" s="1136">
        <v>1.3962216718442837</v>
      </c>
      <c r="K127" s="1135">
        <f t="shared" si="19"/>
        <v>0.9064095270100625</v>
      </c>
      <c r="M127" s="106">
        <f t="shared" si="21"/>
        <v>4.8961945255776212E-2</v>
      </c>
      <c r="N127" s="1133">
        <v>26.38428840013022</v>
      </c>
      <c r="O127" s="109">
        <f t="shared" si="13"/>
        <v>0</v>
      </c>
      <c r="P127" s="1137">
        <f t="shared" si="20"/>
        <v>0</v>
      </c>
      <c r="Q127" s="1131"/>
    </row>
    <row r="128" spans="2:17">
      <c r="B128" s="1132" t="s">
        <v>938</v>
      </c>
      <c r="C128" s="1133">
        <v>35.198343765094656</v>
      </c>
      <c r="D128" s="1134">
        <v>0</v>
      </c>
      <c r="E128" s="1134">
        <v>0</v>
      </c>
      <c r="F128" s="1133">
        <v>31.35657531</v>
      </c>
      <c r="G128" s="1133">
        <v>30.443276999999998</v>
      </c>
      <c r="H128" s="1135">
        <f t="shared" si="18"/>
        <v>3.8417684550946554</v>
      </c>
      <c r="J128" s="1136">
        <v>2.5085260248000001</v>
      </c>
      <c r="K128" s="1135">
        <f t="shared" si="19"/>
        <v>1.3332424302946553</v>
      </c>
      <c r="M128" s="106">
        <f t="shared" si="21"/>
        <v>3.9369214257292257E-2</v>
      </c>
      <c r="N128" s="1133">
        <v>47.083304132127239</v>
      </c>
      <c r="O128" s="109">
        <f t="shared" si="13"/>
        <v>0</v>
      </c>
      <c r="P128" s="1137">
        <f t="shared" si="20"/>
        <v>0</v>
      </c>
      <c r="Q128" s="1131"/>
    </row>
    <row r="129" spans="2:17">
      <c r="B129" s="1132" t="s">
        <v>939</v>
      </c>
      <c r="C129" s="1133">
        <v>0.1</v>
      </c>
      <c r="D129" s="1134">
        <v>0</v>
      </c>
      <c r="E129" s="1134">
        <v>0</v>
      </c>
      <c r="F129" s="1133">
        <v>3.7752384000000007E-2</v>
      </c>
      <c r="G129" s="1133">
        <v>2.2908000000000001E-2</v>
      </c>
      <c r="H129" s="1135">
        <f t="shared" si="18"/>
        <v>6.2247615999999999E-2</v>
      </c>
      <c r="J129" s="1136">
        <v>3.0201907200000004E-3</v>
      </c>
      <c r="K129" s="1135">
        <f t="shared" si="19"/>
        <v>5.9227425279999996E-2</v>
      </c>
      <c r="M129" s="106">
        <f t="shared" si="21"/>
        <v>1.4526290205300034</v>
      </c>
      <c r="N129" s="1133">
        <v>7.6867998545197949E-2</v>
      </c>
      <c r="O129" s="109">
        <f t="shared" si="13"/>
        <v>0</v>
      </c>
      <c r="P129" s="1137">
        <f t="shared" si="20"/>
        <v>0</v>
      </c>
      <c r="Q129" s="1131"/>
    </row>
    <row r="130" spans="2:17">
      <c r="B130" s="1132" t="s">
        <v>940</v>
      </c>
      <c r="C130" s="1133">
        <v>15.213554307714823</v>
      </c>
      <c r="D130" s="1134">
        <v>0</v>
      </c>
      <c r="E130" s="1134">
        <v>0</v>
      </c>
      <c r="F130" s="1133">
        <v>13.031081050000001</v>
      </c>
      <c r="G130" s="1133">
        <v>12.651535000000001</v>
      </c>
      <c r="H130" s="1135">
        <f t="shared" si="18"/>
        <v>2.1824732577148218</v>
      </c>
      <c r="J130" s="1136">
        <v>1.0424864840000001</v>
      </c>
      <c r="K130" s="1135">
        <f t="shared" si="19"/>
        <v>1.1399867737148217</v>
      </c>
      <c r="M130" s="106">
        <f t="shared" si="21"/>
        <v>8.1001975580161492E-2</v>
      </c>
      <c r="N130" s="1133">
        <v>20.759511291702005</v>
      </c>
      <c r="O130" s="109">
        <f t="shared" si="13"/>
        <v>0</v>
      </c>
      <c r="P130" s="1137">
        <f t="shared" si="20"/>
        <v>0</v>
      </c>
      <c r="Q130" s="1131"/>
    </row>
    <row r="131" spans="2:17">
      <c r="B131" s="1132" t="s">
        <v>941</v>
      </c>
      <c r="C131" s="1133">
        <v>19.088745313709218</v>
      </c>
      <c r="D131" s="1134">
        <v>0</v>
      </c>
      <c r="E131" s="1134">
        <v>0</v>
      </c>
      <c r="F131" s="1133">
        <v>15.55113467</v>
      </c>
      <c r="G131" s="1133">
        <v>15.098189</v>
      </c>
      <c r="H131" s="1135">
        <f t="shared" si="18"/>
        <v>3.5376106437092183</v>
      </c>
      <c r="J131" s="1136">
        <v>1.3726155004701004</v>
      </c>
      <c r="K131" s="1135">
        <f t="shared" si="19"/>
        <v>2.1649951432391177</v>
      </c>
      <c r="M131" s="106">
        <f t="shared" si="21"/>
        <v>0.1279264419192841</v>
      </c>
      <c r="N131" s="1133">
        <v>35.010427729842021</v>
      </c>
      <c r="O131" s="109">
        <f t="shared" si="13"/>
        <v>0</v>
      </c>
      <c r="P131" s="1137">
        <f t="shared" si="20"/>
        <v>0</v>
      </c>
      <c r="Q131" s="1131"/>
    </row>
    <row r="132" spans="2:17">
      <c r="B132" s="1132" t="s">
        <v>942</v>
      </c>
      <c r="C132" s="1133">
        <v>0.4</v>
      </c>
      <c r="D132" s="1134">
        <v>0</v>
      </c>
      <c r="E132" s="1134">
        <v>0</v>
      </c>
      <c r="F132" s="1133">
        <v>0.25999972999999998</v>
      </c>
      <c r="G132" s="1133">
        <v>0.19029099999999999</v>
      </c>
      <c r="H132" s="1135">
        <f t="shared" si="18"/>
        <v>0.14000027000000004</v>
      </c>
      <c r="J132" s="1136">
        <v>2.0799978399999999E-2</v>
      </c>
      <c r="K132" s="1135">
        <f t="shared" si="19"/>
        <v>0.11920029160000004</v>
      </c>
      <c r="M132" s="106">
        <f t="shared" si="21"/>
        <v>0.42450290379290173</v>
      </c>
      <c r="N132" s="1133">
        <v>0.13570778598303795</v>
      </c>
      <c r="O132" s="109">
        <f t="shared" si="13"/>
        <v>0</v>
      </c>
      <c r="P132" s="1137">
        <f t="shared" si="20"/>
        <v>0</v>
      </c>
      <c r="Q132" s="1131"/>
    </row>
    <row r="133" spans="2:17">
      <c r="B133" s="1132" t="s">
        <v>943</v>
      </c>
      <c r="C133" s="1133">
        <v>0.4</v>
      </c>
      <c r="D133" s="1134">
        <v>0</v>
      </c>
      <c r="E133" s="1134">
        <v>0</v>
      </c>
      <c r="F133" s="1133">
        <v>0.36842451100000001</v>
      </c>
      <c r="G133" s="1133">
        <v>0.27514899999999998</v>
      </c>
      <c r="H133" s="1135">
        <f t="shared" si="18"/>
        <v>3.1575489000000012E-2</v>
      </c>
      <c r="J133" s="1136">
        <v>2.947396088E-2</v>
      </c>
      <c r="K133" s="1135">
        <f t="shared" si="19"/>
        <v>2.1015281200000117E-3</v>
      </c>
      <c r="M133" s="106">
        <f t="shared" si="21"/>
        <v>5.2815687129198121E-3</v>
      </c>
      <c r="N133" s="1133">
        <v>0.91364651741628777</v>
      </c>
      <c r="O133" s="109">
        <f t="shared" si="13"/>
        <v>0</v>
      </c>
      <c r="P133" s="1137">
        <f t="shared" si="20"/>
        <v>0</v>
      </c>
      <c r="Q133" s="1131"/>
    </row>
    <row r="134" spans="2:17">
      <c r="B134" s="1132" t="s">
        <v>944</v>
      </c>
      <c r="C134" s="1133">
        <v>0.20857592636363645</v>
      </c>
      <c r="D134" s="1134">
        <v>0</v>
      </c>
      <c r="E134" s="1134">
        <v>0</v>
      </c>
      <c r="F134" s="1133">
        <v>0.23309009</v>
      </c>
      <c r="G134" s="1133">
        <v>0.172903</v>
      </c>
      <c r="H134" s="1135">
        <f t="shared" si="18"/>
        <v>-2.4514163636363551E-2</v>
      </c>
      <c r="J134" s="1136">
        <v>1.8647207200000002E-2</v>
      </c>
      <c r="K134" s="1135">
        <f t="shared" si="19"/>
        <v>-4.3161370836363552E-2</v>
      </c>
      <c r="M134" s="106">
        <f t="shared" si="21"/>
        <v>-0.17145401701072827</v>
      </c>
      <c r="N134" s="1133">
        <v>0.34351033326956487</v>
      </c>
      <c r="O134" s="109">
        <f t="shared" si="13"/>
        <v>6.4201507340010109E-5</v>
      </c>
      <c r="P134" s="1137">
        <f t="shared" si="20"/>
        <v>1.8872983232235731E-4</v>
      </c>
      <c r="Q134" s="1131"/>
    </row>
    <row r="135" spans="2:17">
      <c r="B135" s="1132" t="s">
        <v>945</v>
      </c>
      <c r="C135" s="1133">
        <v>0.10427479768309858</v>
      </c>
      <c r="D135" s="1134">
        <v>0</v>
      </c>
      <c r="E135" s="1134">
        <v>0</v>
      </c>
      <c r="F135" s="1133">
        <v>0.10054690049999999</v>
      </c>
      <c r="G135" s="1133">
        <v>6.7322999999999994E-2</v>
      </c>
      <c r="H135" s="1135">
        <f t="shared" si="18"/>
        <v>3.7278971830985858E-3</v>
      </c>
      <c r="J135" s="1136">
        <v>8.0437520399999993E-3</v>
      </c>
      <c r="K135" s="1135">
        <f t="shared" si="19"/>
        <v>-4.3158548569014136E-3</v>
      </c>
      <c r="M135" s="106">
        <f t="shared" si="21"/>
        <v>-3.9744257502381648E-2</v>
      </c>
      <c r="N135" s="1133">
        <v>0.23112732300236152</v>
      </c>
      <c r="O135" s="109">
        <f t="shared" si="13"/>
        <v>4.3197310494204329E-5</v>
      </c>
      <c r="P135" s="1137">
        <f t="shared" si="20"/>
        <v>6.823473103125102E-6</v>
      </c>
      <c r="Q135" s="1131"/>
    </row>
    <row r="136" spans="2:17">
      <c r="B136" s="1132" t="s">
        <v>946</v>
      </c>
      <c r="C136" s="1133">
        <v>0.1</v>
      </c>
      <c r="D136" s="1134">
        <v>0</v>
      </c>
      <c r="E136" s="1134">
        <v>0</v>
      </c>
      <c r="F136" s="1133">
        <v>7.0281596799999999E-2</v>
      </c>
      <c r="G136" s="1133">
        <v>4.6736E-2</v>
      </c>
      <c r="H136" s="1135">
        <f t="shared" si="18"/>
        <v>2.9718403200000007E-2</v>
      </c>
      <c r="J136" s="1136">
        <v>5.6225277440000001E-3</v>
      </c>
      <c r="K136" s="1135">
        <f t="shared" si="19"/>
        <v>2.4095875456000008E-2</v>
      </c>
      <c r="M136" s="106">
        <f t="shared" si="21"/>
        <v>0.31745146394557444</v>
      </c>
      <c r="N136" s="1133">
        <v>5.9372156367579108E-2</v>
      </c>
      <c r="O136" s="109">
        <f t="shared" si="13"/>
        <v>0</v>
      </c>
      <c r="P136" s="1137">
        <f t="shared" si="20"/>
        <v>0</v>
      </c>
      <c r="Q136" s="1131"/>
    </row>
    <row r="137" spans="2:17">
      <c r="B137" s="1132" t="s">
        <v>947</v>
      </c>
      <c r="C137" s="1133">
        <v>0.1</v>
      </c>
      <c r="D137" s="1134">
        <v>0</v>
      </c>
      <c r="E137" s="1134">
        <v>0</v>
      </c>
      <c r="F137" s="1133">
        <v>7.6377898999999999E-2</v>
      </c>
      <c r="G137" s="1133">
        <v>5.7041000000000001E-2</v>
      </c>
      <c r="H137" s="1135">
        <f t="shared" si="18"/>
        <v>2.3622101000000006E-2</v>
      </c>
      <c r="J137" s="1136">
        <v>6.1102319200000005E-3</v>
      </c>
      <c r="K137" s="1135">
        <f t="shared" si="19"/>
        <v>1.7511869080000006E-2</v>
      </c>
      <c r="M137" s="106">
        <f t="shared" si="21"/>
        <v>0.21229562222695597</v>
      </c>
      <c r="N137" s="1133">
        <v>0.21204341559849682</v>
      </c>
      <c r="O137" s="109">
        <f t="shared" si="13"/>
        <v>0</v>
      </c>
      <c r="P137" s="1137">
        <f t="shared" si="20"/>
        <v>0</v>
      </c>
      <c r="Q137" s="1131"/>
    </row>
    <row r="138" spans="2:17">
      <c r="B138" s="1132" t="s">
        <v>948</v>
      </c>
      <c r="C138" s="1133">
        <v>0.1</v>
      </c>
      <c r="D138" s="1134">
        <v>0</v>
      </c>
      <c r="E138" s="1134">
        <v>0</v>
      </c>
      <c r="F138" s="1133">
        <v>0.113199884</v>
      </c>
      <c r="G138" s="1133">
        <v>7.8502000000000002E-2</v>
      </c>
      <c r="H138" s="1135">
        <f>+C138+D138-E138-F138</f>
        <v>-1.3199883999999995E-2</v>
      </c>
      <c r="J138" s="1136">
        <v>9.0559907200000005E-3</v>
      </c>
      <c r="K138" s="1135">
        <f>+H138-J138</f>
        <v>-2.2255874719999996E-2</v>
      </c>
      <c r="M138" s="106">
        <f>+IF(ISERROR(K138/(F138+J138)),0,K138/(F138+J138))</f>
        <v>-0.18204339685902329</v>
      </c>
      <c r="N138" s="1133">
        <v>0.12086474689114318</v>
      </c>
      <c r="O138" s="109">
        <f t="shared" si="13"/>
        <v>2.2589419249262816E-5</v>
      </c>
      <c r="P138" s="1137">
        <f>(M138^2*O138)*100</f>
        <v>7.4860879853764809E-5</v>
      </c>
      <c r="Q138" s="1131"/>
    </row>
    <row r="139" spans="2:17">
      <c r="B139" s="1132" t="s">
        <v>949</v>
      </c>
      <c r="C139" s="1133">
        <v>0.2</v>
      </c>
      <c r="D139" s="1134">
        <v>0</v>
      </c>
      <c r="E139" s="1134">
        <v>0</v>
      </c>
      <c r="F139" s="1133">
        <v>0.16198274400000001</v>
      </c>
      <c r="G139" s="1133">
        <v>9.3609999999999999E-2</v>
      </c>
      <c r="H139" s="1135">
        <f t="shared" ref="H139:H162" si="22">+C139+D139-E139-F139</f>
        <v>3.8017255999999999E-2</v>
      </c>
      <c r="J139" s="1136">
        <v>1.2958619520000001E-2</v>
      </c>
      <c r="K139" s="1135">
        <f t="shared" ref="K139:K162" si="23">+H139-J139</f>
        <v>2.505863648E-2</v>
      </c>
      <c r="M139" s="106">
        <f>+IF(ISERROR(K139/(F139+J139)),0,K139/(F139+J139))</f>
        <v>0.143240203321813</v>
      </c>
      <c r="N139" s="1133">
        <v>0.13782822013902293</v>
      </c>
      <c r="O139" s="109">
        <f t="shared" si="13"/>
        <v>0</v>
      </c>
      <c r="P139" s="1137">
        <f t="shared" ref="P139:P162" si="24">(M139^2*O139)*100</f>
        <v>0</v>
      </c>
      <c r="Q139" s="1131"/>
    </row>
    <row r="140" spans="2:17">
      <c r="B140" s="1132" t="s">
        <v>950</v>
      </c>
      <c r="C140" s="1133">
        <v>8.1677001308673471</v>
      </c>
      <c r="D140" s="1134">
        <v>0</v>
      </c>
      <c r="E140" s="1134">
        <v>0</v>
      </c>
      <c r="F140" s="1133">
        <v>6.2462547500000003</v>
      </c>
      <c r="G140" s="1133">
        <v>6.0643250000000002</v>
      </c>
      <c r="H140" s="1135">
        <f t="shared" si="22"/>
        <v>1.9214453808673468</v>
      </c>
      <c r="J140" s="1136">
        <v>0.49970038000000006</v>
      </c>
      <c r="K140" s="1135">
        <f t="shared" si="23"/>
        <v>1.4217450008673467</v>
      </c>
      <c r="M140" s="106">
        <f t="shared" ref="M140:M162" si="25">+IF(ISERROR(K140/(F140+J140)),0,K140/(F140+J140))</f>
        <v>0.21075518195261797</v>
      </c>
      <c r="N140" s="1133">
        <v>5.3154499762378054</v>
      </c>
      <c r="O140" s="109">
        <f t="shared" si="13"/>
        <v>0</v>
      </c>
      <c r="P140" s="1137">
        <f t="shared" si="24"/>
        <v>0</v>
      </c>
      <c r="Q140" s="1131"/>
    </row>
    <row r="141" spans="2:17">
      <c r="B141" s="1132" t="s">
        <v>951</v>
      </c>
      <c r="C141" s="1133">
        <v>0.12474647899999999</v>
      </c>
      <c r="D141" s="1134">
        <v>0</v>
      </c>
      <c r="E141" s="1134">
        <v>0</v>
      </c>
      <c r="F141" s="1133">
        <v>0.16663270000000002</v>
      </c>
      <c r="G141" s="1133">
        <v>0.11809</v>
      </c>
      <c r="H141" s="1135">
        <f t="shared" si="22"/>
        <v>-4.1886221000000029E-2</v>
      </c>
      <c r="J141" s="1136">
        <v>1.3330616000000002E-2</v>
      </c>
      <c r="K141" s="1135">
        <f t="shared" si="23"/>
        <v>-5.5216837000000032E-2</v>
      </c>
      <c r="M141" s="106">
        <f t="shared" si="25"/>
        <v>-0.30682273602915844</v>
      </c>
      <c r="N141" s="1133">
        <v>0.2216668656186003</v>
      </c>
      <c r="O141" s="109">
        <f t="shared" si="13"/>
        <v>4.1429166816014689E-5</v>
      </c>
      <c r="P141" s="1137">
        <f t="shared" si="24"/>
        <v>3.9001496912994616E-4</v>
      </c>
      <c r="Q141" s="1131"/>
    </row>
    <row r="142" spans="2:17">
      <c r="B142" s="1132" t="s">
        <v>952</v>
      </c>
      <c r="C142" s="1133">
        <v>2.9219345746869569</v>
      </c>
      <c r="D142" s="1134">
        <v>0</v>
      </c>
      <c r="E142" s="1134">
        <v>0</v>
      </c>
      <c r="F142" s="1133">
        <v>2.8004848911</v>
      </c>
      <c r="G142" s="1133">
        <v>2.323861</v>
      </c>
      <c r="H142" s="1135">
        <f t="shared" si="22"/>
        <v>0.12144968358695696</v>
      </c>
      <c r="J142" s="1136">
        <v>0.2281795541286582</v>
      </c>
      <c r="K142" s="1135">
        <f t="shared" si="23"/>
        <v>-0.10672987054170124</v>
      </c>
      <c r="M142" s="106">
        <f t="shared" si="25"/>
        <v>-3.5239912665083417E-2</v>
      </c>
      <c r="N142" s="1133">
        <v>5.7821952181283809</v>
      </c>
      <c r="O142" s="109">
        <f t="shared" ref="O142:O205" si="26">IF(K142&lt;0,N142/$N$263,0)</f>
        <v>1.0806826251911511E-3</v>
      </c>
      <c r="P142" s="1137">
        <f t="shared" si="24"/>
        <v>1.3420472792939037E-4</v>
      </c>
      <c r="Q142" s="1131"/>
    </row>
    <row r="143" spans="2:17">
      <c r="B143" s="1132" t="s">
        <v>953</v>
      </c>
      <c r="C143" s="1133">
        <v>6.2685000000000005E-2</v>
      </c>
      <c r="D143" s="1134">
        <v>0</v>
      </c>
      <c r="E143" s="1134">
        <v>0</v>
      </c>
      <c r="F143" s="1133">
        <v>2.6172299999999999E-2</v>
      </c>
      <c r="G143" s="1133">
        <v>2.5409999999999999E-2</v>
      </c>
      <c r="H143" s="1135">
        <f t="shared" si="22"/>
        <v>3.6512700000000009E-2</v>
      </c>
      <c r="J143" s="1136">
        <v>2.093784E-3</v>
      </c>
      <c r="K143" s="1135">
        <f t="shared" si="23"/>
        <v>3.4418916000000008E-2</v>
      </c>
      <c r="M143" s="106">
        <f t="shared" si="25"/>
        <v>1.2176754303850512</v>
      </c>
      <c r="N143" s="1133">
        <v>0.10476036799783163</v>
      </c>
      <c r="O143" s="109">
        <f t="shared" si="26"/>
        <v>0</v>
      </c>
      <c r="P143" s="1137">
        <f t="shared" si="24"/>
        <v>0</v>
      </c>
      <c r="Q143" s="1131"/>
    </row>
    <row r="144" spans="2:17">
      <c r="B144" s="1132" t="s">
        <v>954</v>
      </c>
      <c r="C144" s="1133">
        <v>0.13853851978953491</v>
      </c>
      <c r="D144" s="1134">
        <v>0</v>
      </c>
      <c r="E144" s="1134">
        <v>0</v>
      </c>
      <c r="F144" s="1133">
        <v>0.12127117</v>
      </c>
      <c r="G144" s="1133">
        <v>0.117739</v>
      </c>
      <c r="H144" s="1135">
        <f t="shared" si="22"/>
        <v>1.7267349789534911E-2</v>
      </c>
      <c r="J144" s="1136">
        <v>9.7016936000000002E-3</v>
      </c>
      <c r="K144" s="1135">
        <f t="shared" si="23"/>
        <v>7.5656561895349108E-3</v>
      </c>
      <c r="M144" s="106">
        <f t="shared" si="25"/>
        <v>5.7765066606781525E-2</v>
      </c>
      <c r="N144" s="1133">
        <v>0.21103900219853042</v>
      </c>
      <c r="O144" s="109">
        <f t="shared" si="26"/>
        <v>0</v>
      </c>
      <c r="P144" s="1137">
        <f t="shared" si="24"/>
        <v>0</v>
      </c>
      <c r="Q144" s="1131"/>
    </row>
    <row r="145" spans="2:17">
      <c r="B145" s="1132" t="s">
        <v>955</v>
      </c>
      <c r="C145" s="1133">
        <v>0.54725000000000001</v>
      </c>
      <c r="D145" s="1134">
        <v>0</v>
      </c>
      <c r="E145" s="1134">
        <v>0</v>
      </c>
      <c r="F145" s="1133">
        <v>0.44750616000000004</v>
      </c>
      <c r="G145" s="1133">
        <v>0.43447200000000002</v>
      </c>
      <c r="H145" s="1135">
        <f t="shared" si="22"/>
        <v>9.9743839999999973E-2</v>
      </c>
      <c r="J145" s="1136">
        <v>3.5800492800000007E-2</v>
      </c>
      <c r="K145" s="1135">
        <f t="shared" si="23"/>
        <v>6.3943347199999973E-2</v>
      </c>
      <c r="M145" s="106">
        <f t="shared" si="25"/>
        <v>0.13230388373416566</v>
      </c>
      <c r="N145" s="1133">
        <v>0.57694115708950766</v>
      </c>
      <c r="O145" s="109">
        <f t="shared" si="26"/>
        <v>0</v>
      </c>
      <c r="P145" s="1137">
        <f t="shared" si="24"/>
        <v>0</v>
      </c>
      <c r="Q145" s="1131"/>
    </row>
    <row r="146" spans="2:17">
      <c r="B146" s="1132" t="s">
        <v>956</v>
      </c>
      <c r="C146" s="1133">
        <v>2.8317789502249999</v>
      </c>
      <c r="D146" s="1134">
        <v>0</v>
      </c>
      <c r="E146" s="1134">
        <v>0</v>
      </c>
      <c r="F146" s="1133">
        <v>2.9886541800000002</v>
      </c>
      <c r="G146" s="1133">
        <v>2.9016060000000001</v>
      </c>
      <c r="H146" s="1135">
        <f t="shared" si="22"/>
        <v>-0.15687522977500024</v>
      </c>
      <c r="J146" s="1136">
        <v>0.24473079653543725</v>
      </c>
      <c r="K146" s="1135">
        <f t="shared" si="23"/>
        <v>-0.40160602631043751</v>
      </c>
      <c r="M146" s="106">
        <f t="shared" si="25"/>
        <v>-0.1242060655396368</v>
      </c>
      <c r="N146" s="1133">
        <v>5.8437453879346348</v>
      </c>
      <c r="O146" s="109">
        <f t="shared" si="26"/>
        <v>1.0921862490879443E-3</v>
      </c>
      <c r="P146" s="1137">
        <f t="shared" si="24"/>
        <v>1.6849317506791106E-3</v>
      </c>
      <c r="Q146" s="1131"/>
    </row>
    <row r="147" spans="2:17">
      <c r="B147" s="1132" t="s">
        <v>957</v>
      </c>
      <c r="C147" s="1133">
        <v>0.43</v>
      </c>
      <c r="D147" s="1134">
        <v>0</v>
      </c>
      <c r="E147" s="1134">
        <v>0</v>
      </c>
      <c r="F147" s="1133">
        <v>0.24913063200000002</v>
      </c>
      <c r="G147" s="1133">
        <v>0.15604799999999999</v>
      </c>
      <c r="H147" s="1135">
        <f t="shared" si="22"/>
        <v>0.18086936799999997</v>
      </c>
      <c r="J147" s="1136">
        <v>1.9930450560000004E-2</v>
      </c>
      <c r="K147" s="1135">
        <f t="shared" si="23"/>
        <v>0.16093891743999997</v>
      </c>
      <c r="M147" s="106">
        <f t="shared" si="25"/>
        <v>0.59815011486884573</v>
      </c>
      <c r="N147" s="1133">
        <v>0.47977212010601156</v>
      </c>
      <c r="O147" s="109">
        <f t="shared" si="26"/>
        <v>0</v>
      </c>
      <c r="P147" s="1137">
        <f t="shared" si="24"/>
        <v>0</v>
      </c>
      <c r="Q147" s="1131"/>
    </row>
    <row r="148" spans="2:17">
      <c r="B148" s="1132" t="s">
        <v>958</v>
      </c>
      <c r="C148" s="1133">
        <v>8.2000000000000003E-2</v>
      </c>
      <c r="D148" s="1134">
        <v>0</v>
      </c>
      <c r="E148" s="1134">
        <v>0</v>
      </c>
      <c r="F148" s="1133">
        <v>1.7558368800000002E-2</v>
      </c>
      <c r="G148" s="1133">
        <v>1.1676000000000001E-2</v>
      </c>
      <c r="H148" s="1135">
        <f t="shared" si="22"/>
        <v>6.4441631200000002E-2</v>
      </c>
      <c r="J148" s="1136">
        <v>1.4046695040000003E-3</v>
      </c>
      <c r="K148" s="1135">
        <f t="shared" si="23"/>
        <v>6.3036961695999996E-2</v>
      </c>
      <c r="M148" s="106">
        <f t="shared" si="25"/>
        <v>3.3242015696769007</v>
      </c>
      <c r="N148" s="1133">
        <v>8.9577705969160384E-2</v>
      </c>
      <c r="O148" s="109">
        <f t="shared" si="26"/>
        <v>0</v>
      </c>
      <c r="P148" s="1137">
        <f t="shared" si="24"/>
        <v>0</v>
      </c>
      <c r="Q148" s="1131"/>
    </row>
    <row r="149" spans="2:17">
      <c r="B149" s="1132" t="s">
        <v>959</v>
      </c>
      <c r="C149" s="1133">
        <v>3.5528341999999987E-3</v>
      </c>
      <c r="D149" s="1134">
        <v>0</v>
      </c>
      <c r="E149" s="1134">
        <v>0</v>
      </c>
      <c r="F149" s="1133">
        <v>9.6272658000000014E-3</v>
      </c>
      <c r="G149" s="1133">
        <v>5.4660000000000004E-3</v>
      </c>
      <c r="H149" s="1135">
        <f t="shared" si="22"/>
        <v>-6.0744316000000027E-3</v>
      </c>
      <c r="J149" s="1136">
        <v>7.7018126400000013E-4</v>
      </c>
      <c r="K149" s="1135">
        <f t="shared" si="23"/>
        <v>-6.8446128640000025E-3</v>
      </c>
      <c r="M149" s="106">
        <f t="shared" si="25"/>
        <v>-0.65829744762045572</v>
      </c>
      <c r="N149" s="1133">
        <v>1.9737460637272629E-2</v>
      </c>
      <c r="O149" s="109">
        <f t="shared" si="26"/>
        <v>3.6888984151245954E-6</v>
      </c>
      <c r="P149" s="1137">
        <f t="shared" si="24"/>
        <v>1.5986045261188903E-4</v>
      </c>
      <c r="Q149" s="1131"/>
    </row>
    <row r="150" spans="2:17">
      <c r="B150" s="1132" t="s">
        <v>960</v>
      </c>
      <c r="C150" s="1133">
        <v>0.20596499999999998</v>
      </c>
      <c r="D150" s="1134">
        <v>0</v>
      </c>
      <c r="E150" s="1134">
        <v>0</v>
      </c>
      <c r="F150" s="1133">
        <v>0.11569063</v>
      </c>
      <c r="G150" s="1133">
        <v>0.112321</v>
      </c>
      <c r="H150" s="1135">
        <f t="shared" si="22"/>
        <v>9.0274369999999979E-2</v>
      </c>
      <c r="J150" s="1136">
        <v>9.2552503999999997E-3</v>
      </c>
      <c r="K150" s="1135">
        <f t="shared" si="23"/>
        <v>8.1019119599999981E-2</v>
      </c>
      <c r="M150" s="106">
        <f t="shared" si="25"/>
        <v>0.64843370058001515</v>
      </c>
      <c r="N150" s="1133">
        <v>0.1563814188953139</v>
      </c>
      <c r="O150" s="109">
        <f t="shared" si="26"/>
        <v>0</v>
      </c>
      <c r="P150" s="1137">
        <f t="shared" si="24"/>
        <v>0</v>
      </c>
      <c r="Q150" s="1131"/>
    </row>
    <row r="151" spans="2:17">
      <c r="B151" s="1132" t="s">
        <v>961</v>
      </c>
      <c r="C151" s="1133">
        <v>0.08</v>
      </c>
      <c r="D151" s="1134">
        <v>0</v>
      </c>
      <c r="E151" s="1134">
        <v>0</v>
      </c>
      <c r="F151" s="1133">
        <v>6.3649735799999996E-2</v>
      </c>
      <c r="G151" s="1133">
        <v>4.2037999999999999E-2</v>
      </c>
      <c r="H151" s="1135">
        <f t="shared" si="22"/>
        <v>1.6350264200000006E-2</v>
      </c>
      <c r="J151" s="1136">
        <v>7.9147558267494977E-3</v>
      </c>
      <c r="K151" s="1135">
        <f t="shared" si="23"/>
        <v>8.4355083732505082E-3</v>
      </c>
      <c r="M151" s="106">
        <f t="shared" si="25"/>
        <v>0.11787281906852071</v>
      </c>
      <c r="N151" s="1133">
        <v>0.15334488648957964</v>
      </c>
      <c r="O151" s="109">
        <f t="shared" si="26"/>
        <v>0</v>
      </c>
      <c r="P151" s="1137">
        <f t="shared" si="24"/>
        <v>0</v>
      </c>
      <c r="Q151" s="1131"/>
    </row>
    <row r="152" spans="2:17">
      <c r="B152" s="1132" t="s">
        <v>962</v>
      </c>
      <c r="C152" s="1133">
        <v>0.47</v>
      </c>
      <c r="D152" s="1134">
        <v>0</v>
      </c>
      <c r="E152" s="1134">
        <v>0</v>
      </c>
      <c r="F152" s="1133">
        <v>0.34982920000000001</v>
      </c>
      <c r="G152" s="1133">
        <v>0.27171200000000001</v>
      </c>
      <c r="H152" s="1135">
        <f t="shared" si="22"/>
        <v>0.12017079999999997</v>
      </c>
      <c r="J152" s="1136">
        <v>2.7986336000000001E-2</v>
      </c>
      <c r="K152" s="1135">
        <f t="shared" si="23"/>
        <v>9.2184463999999966E-2</v>
      </c>
      <c r="M152" s="106">
        <f t="shared" si="25"/>
        <v>0.24399331212255909</v>
      </c>
      <c r="N152" s="1133">
        <v>0.39323094654258545</v>
      </c>
      <c r="O152" s="109">
        <f t="shared" si="26"/>
        <v>0</v>
      </c>
      <c r="P152" s="1137">
        <f t="shared" si="24"/>
        <v>0</v>
      </c>
      <c r="Q152" s="1131"/>
    </row>
    <row r="153" spans="2:17">
      <c r="B153" s="1132" t="s">
        <v>963</v>
      </c>
      <c r="C153" s="1133">
        <v>0.15</v>
      </c>
      <c r="D153" s="1134">
        <v>0</v>
      </c>
      <c r="E153" s="1134">
        <v>0</v>
      </c>
      <c r="F153" s="1133">
        <v>8.4176235000000002E-2</v>
      </c>
      <c r="G153" s="1133">
        <v>6.2865000000000004E-2</v>
      </c>
      <c r="H153" s="1135">
        <f t="shared" si="22"/>
        <v>6.5823764999999992E-2</v>
      </c>
      <c r="J153" s="1136">
        <v>6.7340988000000003E-3</v>
      </c>
      <c r="K153" s="1135">
        <f t="shared" si="23"/>
        <v>5.9089666199999995E-2</v>
      </c>
      <c r="M153" s="106">
        <f t="shared" si="25"/>
        <v>0.64997744183841055</v>
      </c>
      <c r="N153" s="1133">
        <v>0.17611887953258654</v>
      </c>
      <c r="O153" s="109">
        <f t="shared" si="26"/>
        <v>0</v>
      </c>
      <c r="P153" s="1137">
        <f t="shared" si="24"/>
        <v>0</v>
      </c>
      <c r="Q153" s="1131"/>
    </row>
    <row r="154" spans="2:17">
      <c r="B154" s="1132" t="s">
        <v>964</v>
      </c>
      <c r="C154" s="1133">
        <v>0.13930000000000001</v>
      </c>
      <c r="D154" s="1134">
        <v>0</v>
      </c>
      <c r="E154" s="1134">
        <v>0</v>
      </c>
      <c r="F154" s="1133">
        <v>0.12711744999999999</v>
      </c>
      <c r="G154" s="1133">
        <v>0.123415</v>
      </c>
      <c r="H154" s="1135">
        <f t="shared" si="22"/>
        <v>1.2182550000000014E-2</v>
      </c>
      <c r="J154" s="1136">
        <v>1.0169395999999999E-2</v>
      </c>
      <c r="K154" s="1135">
        <f t="shared" si="23"/>
        <v>2.0131540000000153E-3</v>
      </c>
      <c r="M154" s="106">
        <f t="shared" si="25"/>
        <v>1.4663852063438149E-2</v>
      </c>
      <c r="N154" s="1133">
        <v>0.13816222446090839</v>
      </c>
      <c r="O154" s="109">
        <f t="shared" si="26"/>
        <v>0</v>
      </c>
      <c r="P154" s="1137">
        <f t="shared" si="24"/>
        <v>0</v>
      </c>
      <c r="Q154" s="1131"/>
    </row>
    <row r="155" spans="2:17">
      <c r="B155" s="1132" t="s">
        <v>965</v>
      </c>
      <c r="C155" s="1133">
        <v>0.96497225850434765</v>
      </c>
      <c r="D155" s="1134">
        <v>0</v>
      </c>
      <c r="E155" s="1134">
        <v>0</v>
      </c>
      <c r="F155" s="1133">
        <v>0.92585282720000006</v>
      </c>
      <c r="G155" s="1133">
        <v>0.736792</v>
      </c>
      <c r="H155" s="1135">
        <f t="shared" si="22"/>
        <v>3.9119431304347585E-2</v>
      </c>
      <c r="J155" s="1136">
        <v>8.9856133558465556E-2</v>
      </c>
      <c r="K155" s="1135">
        <f t="shared" si="23"/>
        <v>-5.0736702254117971E-2</v>
      </c>
      <c r="M155" s="106">
        <f t="shared" si="25"/>
        <v>-4.9952008118773594E-2</v>
      </c>
      <c r="N155" s="1133">
        <v>0.99598262908083413</v>
      </c>
      <c r="O155" s="109">
        <f t="shared" si="26"/>
        <v>1.8614748925551802E-4</v>
      </c>
      <c r="P155" s="1137">
        <f t="shared" si="24"/>
        <v>4.6447579505804438E-5</v>
      </c>
      <c r="Q155" s="1131"/>
    </row>
    <row r="156" spans="2:17">
      <c r="B156" s="1132" t="s">
        <v>966</v>
      </c>
      <c r="C156" s="1133">
        <v>2.071010845070418E-3</v>
      </c>
      <c r="D156" s="1134">
        <v>0</v>
      </c>
      <c r="E156" s="1134">
        <v>0</v>
      </c>
      <c r="F156" s="1133">
        <v>2.5973120000000002E-2</v>
      </c>
      <c r="G156" s="1133">
        <v>2.2304000000000001E-2</v>
      </c>
      <c r="H156" s="1135">
        <f t="shared" si="22"/>
        <v>-2.3902109154929584E-2</v>
      </c>
      <c r="J156" s="1136">
        <v>2.0778496000000003E-3</v>
      </c>
      <c r="K156" s="1135">
        <f t="shared" si="23"/>
        <v>-2.5979958754929585E-2</v>
      </c>
      <c r="M156" s="106">
        <f t="shared" si="25"/>
        <v>-0.92616972337845971</v>
      </c>
      <c r="N156" s="1133">
        <v>1.6700928231538376E-2</v>
      </c>
      <c r="O156" s="109">
        <f t="shared" si="26"/>
        <v>3.1213755820285031E-6</v>
      </c>
      <c r="P156" s="1137">
        <f t="shared" si="24"/>
        <v>2.6774858732877784E-4</v>
      </c>
      <c r="Q156" s="1131"/>
    </row>
    <row r="157" spans="2:17">
      <c r="B157" s="1132" t="s">
        <v>967</v>
      </c>
      <c r="C157" s="1133">
        <v>0.4620242781846155</v>
      </c>
      <c r="D157" s="1134">
        <v>0</v>
      </c>
      <c r="E157" s="1134">
        <v>0</v>
      </c>
      <c r="F157" s="1133">
        <v>0.7590978048</v>
      </c>
      <c r="G157" s="1133">
        <v>0.57577199999999995</v>
      </c>
      <c r="H157" s="1135">
        <f t="shared" si="22"/>
        <v>-0.2970735266153845</v>
      </c>
      <c r="J157" s="1136">
        <v>8.5600849335385851E-2</v>
      </c>
      <c r="K157" s="1135">
        <f t="shared" si="23"/>
        <v>-0.38267437595077036</v>
      </c>
      <c r="M157" s="106">
        <f t="shared" si="25"/>
        <v>-0.4530306448072503</v>
      </c>
      <c r="N157" s="1133">
        <v>1.0142018235152397</v>
      </c>
      <c r="O157" s="109">
        <f t="shared" si="26"/>
        <v>1.8955262625409459E-4</v>
      </c>
      <c r="P157" s="1137">
        <f t="shared" si="24"/>
        <v>3.8903167835134147E-3</v>
      </c>
      <c r="Q157" s="1131"/>
    </row>
    <row r="158" spans="2:17">
      <c r="B158" s="1132" t="s">
        <v>968</v>
      </c>
      <c r="C158" s="1133">
        <v>9.0545E-2</v>
      </c>
      <c r="D158" s="1134">
        <v>0</v>
      </c>
      <c r="E158" s="1134">
        <v>0</v>
      </c>
      <c r="F158" s="1133">
        <v>6.0791629999999999E-2</v>
      </c>
      <c r="G158" s="1133">
        <v>5.9020999999999997E-2</v>
      </c>
      <c r="H158" s="1135">
        <f t="shared" si="22"/>
        <v>2.9753370000000001E-2</v>
      </c>
      <c r="J158" s="1136">
        <v>4.8633304E-3</v>
      </c>
      <c r="K158" s="1135">
        <f t="shared" si="23"/>
        <v>2.48900396E-2</v>
      </c>
      <c r="M158" s="106">
        <f t="shared" si="25"/>
        <v>0.37910371810992666</v>
      </c>
      <c r="N158" s="1133">
        <v>0.13208915964943993</v>
      </c>
      <c r="O158" s="109">
        <f t="shared" si="26"/>
        <v>0</v>
      </c>
      <c r="P158" s="1137">
        <f t="shared" si="24"/>
        <v>0</v>
      </c>
      <c r="Q158" s="1131"/>
    </row>
    <row r="159" spans="2:17">
      <c r="B159" s="1132" t="s">
        <v>969</v>
      </c>
      <c r="C159" s="1133">
        <v>0.16337443391428574</v>
      </c>
      <c r="D159" s="1134">
        <v>0</v>
      </c>
      <c r="E159" s="1134">
        <v>0</v>
      </c>
      <c r="F159" s="1133">
        <v>0.2145151542</v>
      </c>
      <c r="G159" s="1133">
        <v>0.14666699999999999</v>
      </c>
      <c r="H159" s="1135">
        <f t="shared" si="22"/>
        <v>-5.1140720285714258E-2</v>
      </c>
      <c r="J159" s="1136">
        <v>1.7161212336000001E-2</v>
      </c>
      <c r="K159" s="1135">
        <f t="shared" si="23"/>
        <v>-6.8301932621714259E-2</v>
      </c>
      <c r="M159" s="106">
        <f t="shared" si="25"/>
        <v>-0.2948161422028383</v>
      </c>
      <c r="N159" s="1133">
        <v>0.28998884474762093</v>
      </c>
      <c r="O159" s="109">
        <f t="shared" si="26"/>
        <v>5.4198430560676744E-5</v>
      </c>
      <c r="P159" s="1137">
        <f t="shared" si="24"/>
        <v>4.7107410172588367E-4</v>
      </c>
      <c r="Q159" s="1131"/>
    </row>
    <row r="160" spans="2:17">
      <c r="B160" s="1132" t="s">
        <v>970</v>
      </c>
      <c r="C160" s="1133">
        <v>0.6169</v>
      </c>
      <c r="D160" s="1134">
        <v>0</v>
      </c>
      <c r="E160" s="1134">
        <v>0</v>
      </c>
      <c r="F160" s="1133">
        <v>0.38376461000000001</v>
      </c>
      <c r="G160" s="1133">
        <v>0.372587</v>
      </c>
      <c r="H160" s="1135">
        <f t="shared" si="22"/>
        <v>0.23313539</v>
      </c>
      <c r="J160" s="1136">
        <v>3.8221382504659229E-2</v>
      </c>
      <c r="K160" s="1135">
        <f t="shared" si="23"/>
        <v>0.19491400749534077</v>
      </c>
      <c r="M160" s="106">
        <f t="shared" si="25"/>
        <v>0.46189686614583225</v>
      </c>
      <c r="N160" s="1133">
        <v>0.82138201575111491</v>
      </c>
      <c r="O160" s="109">
        <f t="shared" si="26"/>
        <v>0</v>
      </c>
      <c r="P160" s="1137">
        <f t="shared" si="24"/>
        <v>0</v>
      </c>
      <c r="Q160" s="1131"/>
    </row>
    <row r="161" spans="2:17">
      <c r="B161" s="1132" t="s">
        <v>971</v>
      </c>
      <c r="C161" s="1133">
        <v>4.1000000000000002E-2</v>
      </c>
      <c r="D161" s="1134">
        <v>0</v>
      </c>
      <c r="E161" s="1134">
        <v>0</v>
      </c>
      <c r="F161" s="1133">
        <v>1.17362938E-2</v>
      </c>
      <c r="G161" s="1133">
        <v>7.5459999999999998E-3</v>
      </c>
      <c r="H161" s="1135">
        <f t="shared" si="22"/>
        <v>2.9263706200000003E-2</v>
      </c>
      <c r="J161" s="1136">
        <v>9.3890350400000009E-4</v>
      </c>
      <c r="K161" s="1135">
        <f t="shared" si="23"/>
        <v>2.8324802696000004E-2</v>
      </c>
      <c r="M161" s="106">
        <f t="shared" si="25"/>
        <v>2.2346636519071263</v>
      </c>
      <c r="N161" s="1133">
        <v>3.0365324057342505E-2</v>
      </c>
      <c r="O161" s="109">
        <f t="shared" si="26"/>
        <v>0</v>
      </c>
      <c r="P161" s="1137">
        <f t="shared" si="24"/>
        <v>0</v>
      </c>
      <c r="Q161" s="1131"/>
    </row>
    <row r="162" spans="2:17">
      <c r="B162" s="1132" t="s">
        <v>972</v>
      </c>
      <c r="C162" s="1133">
        <v>1.1639999999999999</v>
      </c>
      <c r="D162" s="1134">
        <v>0</v>
      </c>
      <c r="E162" s="1134">
        <v>0</v>
      </c>
      <c r="F162" s="1133">
        <v>0.69848007999999995</v>
      </c>
      <c r="G162" s="1133">
        <v>0.67813599999999996</v>
      </c>
      <c r="H162" s="1135">
        <f t="shared" si="22"/>
        <v>0.46551991999999998</v>
      </c>
      <c r="J162" s="1136">
        <v>5.5878406399999997E-2</v>
      </c>
      <c r="K162" s="1135">
        <f t="shared" si="23"/>
        <v>0.40964151360000001</v>
      </c>
      <c r="M162" s="106">
        <f t="shared" si="25"/>
        <v>0.54303294916839695</v>
      </c>
      <c r="N162" s="1133">
        <v>1.4560172885495732</v>
      </c>
      <c r="O162" s="109">
        <f t="shared" si="26"/>
        <v>0</v>
      </c>
      <c r="P162" s="1137">
        <f t="shared" si="24"/>
        <v>0</v>
      </c>
      <c r="Q162" s="1131"/>
    </row>
    <row r="163" spans="2:17">
      <c r="B163" s="1132" t="s">
        <v>973</v>
      </c>
      <c r="C163" s="1133">
        <v>0.54433995689361703</v>
      </c>
      <c r="D163" s="1134">
        <v>0</v>
      </c>
      <c r="E163" s="1134">
        <v>0</v>
      </c>
      <c r="F163" s="1133">
        <v>0.65042584200000009</v>
      </c>
      <c r="G163" s="1133">
        <v>0.46776400000000001</v>
      </c>
      <c r="H163" s="1135">
        <f>+C163+D163-E163-F163</f>
        <v>-0.10608588510638306</v>
      </c>
      <c r="J163" s="1136">
        <v>5.3598991810974238E-2</v>
      </c>
      <c r="K163" s="1135">
        <f>+H163-J163</f>
        <v>-0.1596848769173573</v>
      </c>
      <c r="M163" s="106">
        <f>+IF(ISERROR(K163/(F163+J163)),0,K163/(F163+J163))</f>
        <v>-0.22681710821614504</v>
      </c>
      <c r="N163" s="1133">
        <v>0.85782040461992581</v>
      </c>
      <c r="O163" s="109">
        <f t="shared" si="26"/>
        <v>1.6032520034964587E-4</v>
      </c>
      <c r="P163" s="1137">
        <f>(M163^2*O163)*100</f>
        <v>8.2480903501018575E-4</v>
      </c>
      <c r="Q163" s="1131"/>
    </row>
    <row r="164" spans="2:17">
      <c r="B164" s="1132" t="s">
        <v>974</v>
      </c>
      <c r="C164" s="1133">
        <v>0.95449580157710834</v>
      </c>
      <c r="D164" s="1134">
        <v>0</v>
      </c>
      <c r="E164" s="1134">
        <v>0</v>
      </c>
      <c r="F164" s="1133">
        <v>0.92217753999999996</v>
      </c>
      <c r="G164" s="1133">
        <v>0.89531799999999995</v>
      </c>
      <c r="H164" s="1135">
        <f t="shared" ref="H164:H187" si="27">+C164+D164-E164-F164</f>
        <v>3.2318261577108376E-2</v>
      </c>
      <c r="J164" s="1136">
        <v>7.3774203199999999E-2</v>
      </c>
      <c r="K164" s="1135">
        <f t="shared" ref="K164:K187" si="28">+H164-J164</f>
        <v>-4.1455941622891623E-2</v>
      </c>
      <c r="M164" s="106">
        <f>+IF(ISERROR(K164/(F164+J164)),0,K164/(F164+J164))</f>
        <v>-4.1624448077869101E-2</v>
      </c>
      <c r="N164" s="1133">
        <v>1.4803095477954471</v>
      </c>
      <c r="O164" s="109">
        <f t="shared" si="26"/>
        <v>2.7666738113434465E-4</v>
      </c>
      <c r="P164" s="1137">
        <f t="shared" ref="P164:P187" si="29">(M164^2*O164)*100</f>
        <v>4.7935243207069407E-5</v>
      </c>
      <c r="Q164" s="1131"/>
    </row>
    <row r="165" spans="2:17">
      <c r="B165" s="1132" t="s">
        <v>975</v>
      </c>
      <c r="C165" s="1133">
        <v>0.87</v>
      </c>
      <c r="D165" s="1134">
        <v>0</v>
      </c>
      <c r="E165" s="1134">
        <v>0</v>
      </c>
      <c r="F165" s="1133">
        <v>0.95913760680000004</v>
      </c>
      <c r="G165" s="1133">
        <v>0.750969</v>
      </c>
      <c r="H165" s="1135">
        <f t="shared" si="27"/>
        <v>-8.9137606800000047E-2</v>
      </c>
      <c r="J165" s="1136">
        <v>7.6731008544000001E-2</v>
      </c>
      <c r="K165" s="1135">
        <f t="shared" si="28"/>
        <v>-0.16586861534400005</v>
      </c>
      <c r="M165" s="106">
        <f t="shared" ref="M165:M187" si="30">+IF(ISERROR(K165/(F165+J165)),0,K165/(F165+J165))</f>
        <v>-0.16012514800336625</v>
      </c>
      <c r="N165" s="1133">
        <v>1.6531707750499731</v>
      </c>
      <c r="O165" s="109">
        <f t="shared" si="26"/>
        <v>3.0897485568613827E-4</v>
      </c>
      <c r="P165" s="1137">
        <f t="shared" si="29"/>
        <v>7.922134772345796E-4</v>
      </c>
      <c r="Q165" s="1131"/>
    </row>
    <row r="166" spans="2:17">
      <c r="B166" s="1132" t="s">
        <v>976</v>
      </c>
      <c r="C166" s="1133">
        <v>10.461710104505263</v>
      </c>
      <c r="D166" s="1134">
        <v>0</v>
      </c>
      <c r="E166" s="1134">
        <v>0</v>
      </c>
      <c r="F166" s="1133">
        <v>7.8433310144000012</v>
      </c>
      <c r="G166" s="1133">
        <v>6.799004</v>
      </c>
      <c r="H166" s="1135">
        <f t="shared" si="27"/>
        <v>2.6183790901052619</v>
      </c>
      <c r="J166" s="1136">
        <v>0.6274664811520001</v>
      </c>
      <c r="K166" s="1135">
        <f t="shared" si="28"/>
        <v>1.9909126089532618</v>
      </c>
      <c r="M166" s="106">
        <f t="shared" si="30"/>
        <v>0.23503248779098848</v>
      </c>
      <c r="N166" s="1133">
        <v>10.768146383407066</v>
      </c>
      <c r="O166" s="109">
        <f t="shared" si="26"/>
        <v>0</v>
      </c>
      <c r="P166" s="1137">
        <f t="shared" si="29"/>
        <v>0</v>
      </c>
      <c r="Q166" s="1131"/>
    </row>
    <row r="167" spans="2:17">
      <c r="B167" s="1132" t="s">
        <v>977</v>
      </c>
      <c r="C167" s="1133">
        <v>3.474548831672251</v>
      </c>
      <c r="D167" s="1134">
        <v>0</v>
      </c>
      <c r="E167" s="1134">
        <v>0</v>
      </c>
      <c r="F167" s="1133">
        <v>3.75319022</v>
      </c>
      <c r="G167" s="1133">
        <v>3.6438739999999998</v>
      </c>
      <c r="H167" s="1135">
        <f t="shared" si="27"/>
        <v>-0.27864138832774898</v>
      </c>
      <c r="J167" s="1136">
        <v>0.30025521760000001</v>
      </c>
      <c r="K167" s="1135">
        <f t="shared" si="28"/>
        <v>-0.57889660592774894</v>
      </c>
      <c r="M167" s="106">
        <f t="shared" si="30"/>
        <v>-0.14281593642728474</v>
      </c>
      <c r="N167" s="1133">
        <v>5.2218733776364701</v>
      </c>
      <c r="O167" s="109">
        <f t="shared" si="26"/>
        <v>9.7595940940689802E-4</v>
      </c>
      <c r="P167" s="1137">
        <f t="shared" si="29"/>
        <v>1.9906050395223636E-3</v>
      </c>
      <c r="Q167" s="1131"/>
    </row>
    <row r="168" spans="2:17">
      <c r="B168" s="1132" t="s">
        <v>978</v>
      </c>
      <c r="C168" s="1133">
        <v>0.19</v>
      </c>
      <c r="D168" s="1134">
        <v>0</v>
      </c>
      <c r="E168" s="1134">
        <v>0</v>
      </c>
      <c r="F168" s="1133">
        <v>0.18240828000000001</v>
      </c>
      <c r="G168" s="1133">
        <v>0.11107599999999999</v>
      </c>
      <c r="H168" s="1135">
        <f t="shared" si="27"/>
        <v>7.5917199999999962E-3</v>
      </c>
      <c r="J168" s="1136">
        <v>1.4592662400000001E-2</v>
      </c>
      <c r="K168" s="1135">
        <f t="shared" si="28"/>
        <v>-7.0009424000000049E-3</v>
      </c>
      <c r="M168" s="106">
        <f t="shared" si="30"/>
        <v>-3.553760867694207E-2</v>
      </c>
      <c r="N168" s="1133">
        <v>0.31234579893214726</v>
      </c>
      <c r="O168" s="109">
        <f t="shared" si="26"/>
        <v>5.8376907943049301E-5</v>
      </c>
      <c r="P168" s="1137">
        <f t="shared" si="29"/>
        <v>7.3725459761552129E-6</v>
      </c>
      <c r="Q168" s="1131"/>
    </row>
    <row r="169" spans="2:17">
      <c r="B169" s="1132" t="s">
        <v>979</v>
      </c>
      <c r="C169" s="1133">
        <v>2.8100593611164641</v>
      </c>
      <c r="D169" s="1134">
        <v>0</v>
      </c>
      <c r="E169" s="1134">
        <v>0</v>
      </c>
      <c r="F169" s="1133">
        <v>2.8715771700000001</v>
      </c>
      <c r="G169" s="1133">
        <v>2.7879390000000002</v>
      </c>
      <c r="H169" s="1135">
        <f t="shared" si="27"/>
        <v>-6.1517808883535974E-2</v>
      </c>
      <c r="J169" s="1136">
        <v>0.63657199665083908</v>
      </c>
      <c r="K169" s="1135">
        <f t="shared" si="28"/>
        <v>-0.69808980553437505</v>
      </c>
      <c r="M169" s="106">
        <f t="shared" si="30"/>
        <v>-0.19899091297786164</v>
      </c>
      <c r="N169" s="1133">
        <v>6.9099504086184655</v>
      </c>
      <c r="O169" s="109">
        <f t="shared" si="26"/>
        <v>1.2914581860042403E-3</v>
      </c>
      <c r="P169" s="1137">
        <f t="shared" si="29"/>
        <v>5.113836499796221E-3</v>
      </c>
      <c r="Q169" s="1131"/>
    </row>
    <row r="170" spans="2:17">
      <c r="B170" s="1132" t="s">
        <v>980</v>
      </c>
      <c r="C170" s="1133">
        <v>9.873794889034782</v>
      </c>
      <c r="D170" s="1134">
        <v>0</v>
      </c>
      <c r="E170" s="1134">
        <v>0</v>
      </c>
      <c r="F170" s="1133">
        <v>8.2651536300000004</v>
      </c>
      <c r="G170" s="1133">
        <v>8.0244210000000002</v>
      </c>
      <c r="H170" s="1135">
        <f t="shared" si="27"/>
        <v>1.6086412590347816</v>
      </c>
      <c r="J170" s="1136">
        <v>0.66121229040000007</v>
      </c>
      <c r="K170" s="1135">
        <f t="shared" si="28"/>
        <v>0.94742896863478154</v>
      </c>
      <c r="M170" s="106">
        <f t="shared" si="30"/>
        <v>0.10613826243326649</v>
      </c>
      <c r="N170" s="1133">
        <v>12.771245387568648</v>
      </c>
      <c r="O170" s="109">
        <f t="shared" si="26"/>
        <v>0</v>
      </c>
      <c r="P170" s="1137">
        <f t="shared" si="29"/>
        <v>0</v>
      </c>
      <c r="Q170" s="1131"/>
    </row>
    <row r="171" spans="2:17">
      <c r="B171" s="1132" t="s">
        <v>981</v>
      </c>
      <c r="C171" s="1133">
        <v>0.60097999999999996</v>
      </c>
      <c r="D171" s="1134">
        <v>0</v>
      </c>
      <c r="E171" s="1134">
        <v>0</v>
      </c>
      <c r="F171" s="1133">
        <v>0.53061685999999997</v>
      </c>
      <c r="G171" s="1133">
        <v>0.51516200000000001</v>
      </c>
      <c r="H171" s="1135">
        <f t="shared" si="27"/>
        <v>7.0363139999999991E-2</v>
      </c>
      <c r="J171" s="1136">
        <v>4.2449348800000002E-2</v>
      </c>
      <c r="K171" s="1135">
        <f t="shared" si="28"/>
        <v>2.7913791199999989E-2</v>
      </c>
      <c r="M171" s="106">
        <f t="shared" si="30"/>
        <v>4.8709539615765234E-2</v>
      </c>
      <c r="N171" s="1133">
        <v>1.0533348070350139</v>
      </c>
      <c r="O171" s="109">
        <f t="shared" si="26"/>
        <v>0</v>
      </c>
      <c r="P171" s="1137">
        <f t="shared" si="29"/>
        <v>0</v>
      </c>
      <c r="Q171" s="1131"/>
    </row>
    <row r="172" spans="2:17">
      <c r="B172" s="1132" t="s">
        <v>982</v>
      </c>
      <c r="C172" s="1133">
        <v>0.26282862600563378</v>
      </c>
      <c r="D172" s="1134">
        <v>0</v>
      </c>
      <c r="E172" s="1134">
        <v>0</v>
      </c>
      <c r="F172" s="1133">
        <v>0.35353439840000001</v>
      </c>
      <c r="G172" s="1133">
        <v>0.22581399999999999</v>
      </c>
      <c r="H172" s="1135">
        <f t="shared" si="27"/>
        <v>-9.0705772394366224E-2</v>
      </c>
      <c r="J172" s="1136">
        <v>2.8282751872000002E-2</v>
      </c>
      <c r="K172" s="1135">
        <f t="shared" si="28"/>
        <v>-0.11898852426636622</v>
      </c>
      <c r="M172" s="106">
        <f t="shared" si="30"/>
        <v>-0.31163745311492902</v>
      </c>
      <c r="N172" s="1133">
        <v>0.42218168427092434</v>
      </c>
      <c r="O172" s="109">
        <f t="shared" si="26"/>
        <v>7.890505139555016E-5</v>
      </c>
      <c r="P172" s="1137">
        <f t="shared" si="29"/>
        <v>7.6630930632533441E-4</v>
      </c>
      <c r="Q172" s="1131"/>
    </row>
    <row r="173" spans="2:17">
      <c r="B173" s="1132" t="s">
        <v>983</v>
      </c>
      <c r="C173" s="1133">
        <v>1.0261916074105264</v>
      </c>
      <c r="D173" s="1134">
        <v>0</v>
      </c>
      <c r="E173" s="1134">
        <v>0</v>
      </c>
      <c r="F173" s="1133">
        <v>0.6737854592000001</v>
      </c>
      <c r="G173" s="1133">
        <v>0.51106300000000005</v>
      </c>
      <c r="H173" s="1135">
        <f t="shared" si="27"/>
        <v>0.35240614821052629</v>
      </c>
      <c r="J173" s="1136">
        <v>6.4095132634725313E-2</v>
      </c>
      <c r="K173" s="1135">
        <f t="shared" si="28"/>
        <v>0.28831101557580097</v>
      </c>
      <c r="M173" s="106">
        <f t="shared" si="30"/>
        <v>0.39072855251406108</v>
      </c>
      <c r="N173" s="1133">
        <v>0.96724887125184911</v>
      </c>
      <c r="O173" s="109">
        <f t="shared" si="26"/>
        <v>0</v>
      </c>
      <c r="P173" s="1137">
        <f t="shared" si="29"/>
        <v>0</v>
      </c>
      <c r="Q173" s="1131"/>
    </row>
    <row r="174" spans="2:17">
      <c r="B174" s="1132" t="s">
        <v>984</v>
      </c>
      <c r="C174" s="1133">
        <v>0.2</v>
      </c>
      <c r="D174" s="1134">
        <v>0</v>
      </c>
      <c r="E174" s="1134">
        <v>0</v>
      </c>
      <c r="F174" s="1133">
        <v>0.24448911210000002</v>
      </c>
      <c r="G174" s="1133">
        <v>0.181197</v>
      </c>
      <c r="H174" s="1135">
        <f t="shared" si="27"/>
        <v>-4.4489112100000006E-2</v>
      </c>
      <c r="J174" s="1136">
        <v>1.9559128968000002E-2</v>
      </c>
      <c r="K174" s="1135">
        <f t="shared" si="28"/>
        <v>-6.4048241068E-2</v>
      </c>
      <c r="M174" s="106">
        <f t="shared" si="30"/>
        <v>-0.24256264994965726</v>
      </c>
      <c r="N174" s="1133">
        <v>0.37340199414719044</v>
      </c>
      <c r="O174" s="109">
        <f t="shared" si="26"/>
        <v>6.9788208814093556E-5</v>
      </c>
      <c r="P174" s="1137">
        <f t="shared" si="29"/>
        <v>4.1061036589615425E-4</v>
      </c>
      <c r="Q174" s="1131"/>
    </row>
    <row r="175" spans="2:17">
      <c r="B175" s="1132" t="s">
        <v>985</v>
      </c>
      <c r="C175" s="1133">
        <v>1.7643634999999998E-2</v>
      </c>
      <c r="D175" s="1134">
        <v>0</v>
      </c>
      <c r="E175" s="1134">
        <v>0</v>
      </c>
      <c r="F175" s="1133">
        <v>2.668626E-2</v>
      </c>
      <c r="G175" s="1133">
        <v>1.8141999999999998E-2</v>
      </c>
      <c r="H175" s="1135">
        <f t="shared" si="27"/>
        <v>-9.0426250000000021E-3</v>
      </c>
      <c r="J175" s="1136">
        <v>2.1349008000000002E-3</v>
      </c>
      <c r="K175" s="1135">
        <f t="shared" si="28"/>
        <v>-1.1177525800000003E-2</v>
      </c>
      <c r="M175" s="106">
        <f t="shared" si="30"/>
        <v>-0.38782358134582851</v>
      </c>
      <c r="N175" s="1133">
        <v>3.7307209751798E-2</v>
      </c>
      <c r="O175" s="109">
        <f t="shared" si="26"/>
        <v>6.9726551685295982E-6</v>
      </c>
      <c r="P175" s="1137">
        <f t="shared" si="29"/>
        <v>1.0487370541067553E-4</v>
      </c>
      <c r="Q175" s="1131"/>
    </row>
    <row r="176" spans="2:17">
      <c r="B176" s="1132" t="s">
        <v>986</v>
      </c>
      <c r="C176" s="1133">
        <v>7.0522625673684205</v>
      </c>
      <c r="D176" s="1134">
        <v>0</v>
      </c>
      <c r="E176" s="1134">
        <v>0</v>
      </c>
      <c r="F176" s="1133">
        <v>8.04217622</v>
      </c>
      <c r="G176" s="1133">
        <v>6.570074</v>
      </c>
      <c r="H176" s="1135">
        <f t="shared" si="27"/>
        <v>-0.98991365263157949</v>
      </c>
      <c r="J176" s="1136">
        <v>0.64337409759999997</v>
      </c>
      <c r="K176" s="1135">
        <f t="shared" si="28"/>
        <v>-1.6332877502315795</v>
      </c>
      <c r="M176" s="106">
        <f t="shared" si="30"/>
        <v>-0.18804654748496016</v>
      </c>
      <c r="N176" s="1133">
        <v>13.428302707712934</v>
      </c>
      <c r="O176" s="109">
        <f t="shared" si="26"/>
        <v>2.5097273396331144E-3</v>
      </c>
      <c r="P176" s="1137">
        <f t="shared" si="29"/>
        <v>8.8747733412083592E-3</v>
      </c>
      <c r="Q176" s="1131"/>
    </row>
    <row r="177" spans="2:17">
      <c r="B177" s="1132" t="s">
        <v>987</v>
      </c>
      <c r="C177" s="1133">
        <v>3.5730112941176444E-3</v>
      </c>
      <c r="D177" s="1134">
        <v>0</v>
      </c>
      <c r="E177" s="1134">
        <v>0</v>
      </c>
      <c r="F177" s="1133">
        <v>5.6229760000000009E-3</v>
      </c>
      <c r="G177" s="1133">
        <v>3.4120000000000001E-3</v>
      </c>
      <c r="H177" s="1135">
        <f t="shared" si="27"/>
        <v>-2.0499647058823565E-3</v>
      </c>
      <c r="J177" s="1136">
        <v>4.498380800000001E-4</v>
      </c>
      <c r="K177" s="1135">
        <f t="shared" si="28"/>
        <v>-2.4998027858823568E-3</v>
      </c>
      <c r="M177" s="106">
        <f t="shared" si="30"/>
        <v>-0.4116382871188371</v>
      </c>
      <c r="N177" s="1133">
        <v>1.1335565580158621E-2</v>
      </c>
      <c r="O177" s="109">
        <f t="shared" si="26"/>
        <v>2.1185982671054616E-6</v>
      </c>
      <c r="P177" s="1137">
        <f t="shared" si="29"/>
        <v>3.5898817023153939E-5</v>
      </c>
      <c r="Q177" s="1131"/>
    </row>
    <row r="178" spans="2:17">
      <c r="B178" s="1132" t="s">
        <v>988</v>
      </c>
      <c r="C178" s="1133">
        <v>0.12652573731111111</v>
      </c>
      <c r="D178" s="1134">
        <v>0</v>
      </c>
      <c r="E178" s="1134">
        <v>0</v>
      </c>
      <c r="F178" s="1133">
        <v>0.2403649612</v>
      </c>
      <c r="G178" s="1133">
        <v>0.19128200000000001</v>
      </c>
      <c r="H178" s="1135">
        <f t="shared" si="27"/>
        <v>-0.1138392238888889</v>
      </c>
      <c r="J178" s="1136">
        <v>2.0348556737692217E-2</v>
      </c>
      <c r="K178" s="1135">
        <f t="shared" si="28"/>
        <v>-0.1341877806265811</v>
      </c>
      <c r="M178" s="106">
        <f t="shared" si="30"/>
        <v>-0.51469437291951459</v>
      </c>
      <c r="N178" s="1133">
        <v>0.37484863131568463</v>
      </c>
      <c r="O178" s="109">
        <f t="shared" si="26"/>
        <v>7.005858288379738E-5</v>
      </c>
      <c r="P178" s="1137">
        <f t="shared" si="29"/>
        <v>1.8559240035226914E-3</v>
      </c>
      <c r="Q178" s="1131"/>
    </row>
    <row r="179" spans="2:17">
      <c r="B179" s="1132" t="s">
        <v>989</v>
      </c>
      <c r="C179" s="1133">
        <v>13.871</v>
      </c>
      <c r="D179" s="1134">
        <v>0</v>
      </c>
      <c r="E179" s="1134">
        <v>0</v>
      </c>
      <c r="F179" s="1133">
        <v>9.4855038100000009</v>
      </c>
      <c r="G179" s="1133">
        <v>9.2092270000000003</v>
      </c>
      <c r="H179" s="1135">
        <f t="shared" si="27"/>
        <v>4.3854961899999996</v>
      </c>
      <c r="J179" s="1136">
        <v>2.6686847407587622</v>
      </c>
      <c r="K179" s="1135">
        <f t="shared" si="28"/>
        <v>1.7168114492412374</v>
      </c>
      <c r="M179" s="106">
        <f t="shared" si="30"/>
        <v>0.14125265887322935</v>
      </c>
      <c r="N179" s="1133">
        <v>19.492369952116569</v>
      </c>
      <c r="O179" s="109">
        <f t="shared" si="26"/>
        <v>0</v>
      </c>
      <c r="P179" s="1137">
        <f t="shared" si="29"/>
        <v>0</v>
      </c>
      <c r="Q179" s="1131"/>
    </row>
    <row r="180" spans="2:17">
      <c r="B180" s="1132" t="s">
        <v>990</v>
      </c>
      <c r="C180" s="1133">
        <v>225.80074507378833</v>
      </c>
      <c r="D180" s="1134">
        <v>0</v>
      </c>
      <c r="E180" s="1134">
        <v>0</v>
      </c>
      <c r="F180" s="1133">
        <v>192.55564278</v>
      </c>
      <c r="G180" s="1133">
        <v>186.947226</v>
      </c>
      <c r="H180" s="1135">
        <f t="shared" si="27"/>
        <v>33.245102293788335</v>
      </c>
      <c r="J180" s="1136">
        <v>15.926355660097768</v>
      </c>
      <c r="K180" s="1135">
        <f t="shared" si="28"/>
        <v>17.318746633690566</v>
      </c>
      <c r="M180" s="106">
        <f t="shared" si="30"/>
        <v>8.3070705208472415E-2</v>
      </c>
      <c r="N180" s="1133">
        <v>729.47394211002882</v>
      </c>
      <c r="O180" s="109">
        <f t="shared" si="26"/>
        <v>0</v>
      </c>
      <c r="P180" s="1137">
        <f t="shared" si="29"/>
        <v>0</v>
      </c>
      <c r="Q180" s="1131"/>
    </row>
    <row r="181" spans="2:17">
      <c r="B181" s="1132" t="s">
        <v>991</v>
      </c>
      <c r="C181" s="1133">
        <v>624.21310599999993</v>
      </c>
      <c r="D181" s="1134">
        <v>0</v>
      </c>
      <c r="E181" s="1134">
        <v>0</v>
      </c>
      <c r="F181" s="1133">
        <v>411.51198497000001</v>
      </c>
      <c r="G181" s="1133">
        <v>399.52619900000002</v>
      </c>
      <c r="H181" s="1135">
        <f t="shared" si="27"/>
        <v>212.70112102999991</v>
      </c>
      <c r="J181" s="1136">
        <v>32.920958797600001</v>
      </c>
      <c r="K181" s="1135">
        <f t="shared" si="28"/>
        <v>179.7801622323999</v>
      </c>
      <c r="M181" s="106">
        <f t="shared" si="30"/>
        <v>0.40451583248610251</v>
      </c>
      <c r="N181" s="1133">
        <v>1303.0578526212225</v>
      </c>
      <c r="O181" s="109">
        <f t="shared" si="26"/>
        <v>0</v>
      </c>
      <c r="P181" s="1137">
        <f t="shared" si="29"/>
        <v>0</v>
      </c>
      <c r="Q181" s="1131"/>
    </row>
    <row r="182" spans="2:17">
      <c r="B182" s="1132" t="s">
        <v>992</v>
      </c>
      <c r="C182" s="1133">
        <v>9.3604845043408176</v>
      </c>
      <c r="D182" s="1134">
        <v>0</v>
      </c>
      <c r="E182" s="1134">
        <v>0</v>
      </c>
      <c r="F182" s="1133">
        <v>8.8115912899999991</v>
      </c>
      <c r="G182" s="1133">
        <v>8.5549429999999997</v>
      </c>
      <c r="H182" s="1135">
        <f t="shared" si="27"/>
        <v>0.5488932143408185</v>
      </c>
      <c r="J182" s="1136">
        <v>0.80911540393951076</v>
      </c>
      <c r="K182" s="1135">
        <f t="shared" si="28"/>
        <v>-0.26022218959869226</v>
      </c>
      <c r="M182" s="106">
        <f t="shared" si="30"/>
        <v>-2.7048136678214835E-2</v>
      </c>
      <c r="N182" s="1133">
        <v>34.887784663302128</v>
      </c>
      <c r="O182" s="109">
        <f t="shared" si="26"/>
        <v>6.5204686619426801E-3</v>
      </c>
      <c r="P182" s="1137">
        <f t="shared" si="29"/>
        <v>4.770385943290249E-4</v>
      </c>
      <c r="Q182" s="1131"/>
    </row>
    <row r="183" spans="2:17">
      <c r="B183" s="1132" t="s">
        <v>993</v>
      </c>
      <c r="C183" s="1133">
        <v>22.310518909220406</v>
      </c>
      <c r="D183" s="1134">
        <v>0</v>
      </c>
      <c r="E183" s="1134">
        <v>0</v>
      </c>
      <c r="F183" s="1133">
        <v>11.72418306</v>
      </c>
      <c r="G183" s="1133">
        <v>11.382702</v>
      </c>
      <c r="H183" s="1135">
        <f t="shared" si="27"/>
        <v>10.586335849220406</v>
      </c>
      <c r="J183" s="1136">
        <v>1.0034855607384914</v>
      </c>
      <c r="K183" s="1135">
        <f t="shared" si="28"/>
        <v>9.5828502884819144</v>
      </c>
      <c r="M183" s="106">
        <f t="shared" si="30"/>
        <v>0.75291481684772943</v>
      </c>
      <c r="N183" s="1133">
        <v>49.591012738273157</v>
      </c>
      <c r="O183" s="109">
        <f t="shared" si="26"/>
        <v>0</v>
      </c>
      <c r="P183" s="1137">
        <f t="shared" si="29"/>
        <v>0</v>
      </c>
      <c r="Q183" s="1131"/>
    </row>
    <row r="184" spans="2:17">
      <c r="B184" s="1132" t="s">
        <v>994</v>
      </c>
      <c r="C184" s="1133">
        <v>22.795000000000002</v>
      </c>
      <c r="D184" s="1134">
        <v>0</v>
      </c>
      <c r="E184" s="1134">
        <v>0</v>
      </c>
      <c r="F184" s="1133">
        <v>15.661245790000001</v>
      </c>
      <c r="G184" s="1133">
        <v>15.205093</v>
      </c>
      <c r="H184" s="1135">
        <f t="shared" si="27"/>
        <v>7.1337542100000011</v>
      </c>
      <c r="J184" s="1136">
        <v>1.5498528709703898</v>
      </c>
      <c r="K184" s="1135">
        <f t="shared" si="28"/>
        <v>5.5839013390296115</v>
      </c>
      <c r="M184" s="106">
        <f t="shared" si="30"/>
        <v>0.32443607749993469</v>
      </c>
      <c r="N184" s="1133">
        <v>50.412683836291016</v>
      </c>
      <c r="O184" s="109">
        <f t="shared" si="26"/>
        <v>0</v>
      </c>
      <c r="P184" s="1137">
        <f t="shared" si="29"/>
        <v>0</v>
      </c>
      <c r="Q184" s="1131"/>
    </row>
    <row r="185" spans="2:17">
      <c r="B185" s="1132" t="s">
        <v>995</v>
      </c>
      <c r="C185" s="1133">
        <v>1.8812055102040816E-3</v>
      </c>
      <c r="D185" s="1134">
        <v>0</v>
      </c>
      <c r="E185" s="1134">
        <v>0</v>
      </c>
      <c r="F185" s="1133">
        <v>9.3318000000000003E-4</v>
      </c>
      <c r="G185" s="1133">
        <v>9.0600000000000001E-4</v>
      </c>
      <c r="H185" s="1135">
        <f t="shared" si="27"/>
        <v>9.4802551020408158E-4</v>
      </c>
      <c r="J185" s="1136">
        <v>7.4654400000000008E-5</v>
      </c>
      <c r="K185" s="1135">
        <f t="shared" si="28"/>
        <v>8.733711102040816E-4</v>
      </c>
      <c r="M185" s="106">
        <f t="shared" si="30"/>
        <v>0.86658196049279668</v>
      </c>
      <c r="N185" s="1133">
        <v>1.5182662028671251E-3</v>
      </c>
      <c r="O185" s="109">
        <f t="shared" si="26"/>
        <v>0</v>
      </c>
      <c r="P185" s="1137">
        <f t="shared" si="29"/>
        <v>0</v>
      </c>
      <c r="Q185" s="1131"/>
    </row>
    <row r="186" spans="2:17">
      <c r="B186" s="1132" t="s">
        <v>996</v>
      </c>
      <c r="C186" s="1133">
        <v>1.4999999999999999E-2</v>
      </c>
      <c r="D186" s="1134">
        <v>0</v>
      </c>
      <c r="E186" s="1134">
        <v>0</v>
      </c>
      <c r="F186" s="1133">
        <v>1.3820789999999999E-2</v>
      </c>
      <c r="G186" s="1133">
        <v>7.5929999999999999E-3</v>
      </c>
      <c r="H186" s="1135">
        <f t="shared" si="27"/>
        <v>1.17921E-3</v>
      </c>
      <c r="J186" s="1136">
        <v>1.1056632000000001E-3</v>
      </c>
      <c r="K186" s="1135">
        <f t="shared" si="28"/>
        <v>7.3546799999999911E-5</v>
      </c>
      <c r="M186" s="106">
        <f t="shared" si="30"/>
        <v>4.9272790404086024E-3</v>
      </c>
      <c r="N186" s="1133">
        <v>3.3401856463076751E-2</v>
      </c>
      <c r="O186" s="109">
        <f t="shared" si="26"/>
        <v>0</v>
      </c>
      <c r="P186" s="1137">
        <f t="shared" si="29"/>
        <v>0</v>
      </c>
      <c r="Q186" s="1131"/>
    </row>
    <row r="187" spans="2:17">
      <c r="B187" s="1132" t="s">
        <v>997</v>
      </c>
      <c r="C187" s="1133">
        <v>3.8768432242424237E-3</v>
      </c>
      <c r="D187" s="1134">
        <v>0</v>
      </c>
      <c r="E187" s="1134">
        <v>0</v>
      </c>
      <c r="F187" s="1133">
        <v>9.2370400000000002E-3</v>
      </c>
      <c r="G187" s="1133">
        <v>8.9680000000000003E-3</v>
      </c>
      <c r="H187" s="1135">
        <f t="shared" si="27"/>
        <v>-5.3601967757575765E-3</v>
      </c>
      <c r="J187" s="1136">
        <v>7.3896319999999999E-4</v>
      </c>
      <c r="K187" s="1135">
        <f t="shared" si="28"/>
        <v>-6.0991599757575761E-3</v>
      </c>
      <c r="M187" s="106">
        <f t="shared" si="30"/>
        <v>-0.61138312142457774</v>
      </c>
      <c r="N187" s="1133">
        <v>2.2671131160317243E-2</v>
      </c>
      <c r="O187" s="109">
        <f t="shared" si="26"/>
        <v>4.2371965342109233E-6</v>
      </c>
      <c r="P187" s="1137">
        <f t="shared" si="29"/>
        <v>1.5838188161563241E-4</v>
      </c>
      <c r="Q187" s="1131"/>
    </row>
    <row r="188" spans="2:17">
      <c r="B188" s="1132" t="s">
        <v>998</v>
      </c>
      <c r="C188" s="1133">
        <v>18.268005904680852</v>
      </c>
      <c r="D188" s="1134">
        <v>0</v>
      </c>
      <c r="E188" s="1134">
        <v>0</v>
      </c>
      <c r="F188" s="1133">
        <v>16.414608390000001</v>
      </c>
      <c r="G188" s="1133">
        <v>15.936513</v>
      </c>
      <c r="H188" s="1135">
        <f>+C188+D188-E188-F188</f>
        <v>1.8533975146808501</v>
      </c>
      <c r="J188" s="1136">
        <v>1.4820302400930345</v>
      </c>
      <c r="K188" s="1135">
        <f>+H188-J188</f>
        <v>0.3713672745878156</v>
      </c>
      <c r="M188" s="106">
        <f>+IF(ISERROR(K188/(F188+J188)),0,K188/(F188+J188))</f>
        <v>2.0750671802880618E-2</v>
      </c>
      <c r="N188" s="1133">
        <v>37.840311136462503</v>
      </c>
      <c r="O188" s="109">
        <f t="shared" si="26"/>
        <v>0</v>
      </c>
      <c r="P188" s="1137">
        <f>(M188^2*O188)*100</f>
        <v>0</v>
      </c>
      <c r="Q188" s="1131"/>
    </row>
    <row r="189" spans="2:17">
      <c r="B189" s="1132" t="s">
        <v>999</v>
      </c>
      <c r="C189" s="1133">
        <v>88.105710408571426</v>
      </c>
      <c r="D189" s="1134">
        <v>0</v>
      </c>
      <c r="E189" s="1134">
        <v>0</v>
      </c>
      <c r="F189" s="1133">
        <v>81.120889349999999</v>
      </c>
      <c r="G189" s="1133">
        <v>78.758144999999999</v>
      </c>
      <c r="H189" s="1135">
        <f t="shared" ref="H189:H212" si="31">+C189+D189-E189-F189</f>
        <v>6.984821058571427</v>
      </c>
      <c r="J189" s="1136">
        <v>7.3241839380818137</v>
      </c>
      <c r="K189" s="1135">
        <f t="shared" ref="K189:K212" si="32">+H189-J189</f>
        <v>-0.33936287951038668</v>
      </c>
      <c r="M189" s="106">
        <f>+IF(ISERROR(K189/(F189+J189)),0,K189/(F189+J189))</f>
        <v>-3.8369902007432295E-3</v>
      </c>
      <c r="N189" s="1133">
        <v>206.30542773566557</v>
      </c>
      <c r="O189" s="109">
        <f t="shared" si="26"/>
        <v>3.8558139742076808E-2</v>
      </c>
      <c r="P189" s="1137">
        <f t="shared" ref="P189:P212" si="33">(M189^2*O189)*100</f>
        <v>5.6767197331537762E-5</v>
      </c>
      <c r="Q189" s="1131"/>
    </row>
    <row r="190" spans="2:17">
      <c r="B190" s="1132" t="s">
        <v>1000</v>
      </c>
      <c r="C190" s="1133">
        <v>4.9684113081632653</v>
      </c>
      <c r="D190" s="1134">
        <v>0</v>
      </c>
      <c r="E190" s="1134">
        <v>0</v>
      </c>
      <c r="F190" s="1133">
        <v>4.7069248999999997</v>
      </c>
      <c r="G190" s="1133">
        <v>4.5698299999999996</v>
      </c>
      <c r="H190" s="1135">
        <f t="shared" si="31"/>
        <v>0.26148640816326552</v>
      </c>
      <c r="J190" s="1136">
        <v>0.42497541664756594</v>
      </c>
      <c r="K190" s="1135">
        <f t="shared" si="32"/>
        <v>-0.16348900848430042</v>
      </c>
      <c r="M190" s="106">
        <f t="shared" ref="M190:M212" si="34">+IF(ISERROR(K190/(F190+J190)),0,K190/(F190+J190))</f>
        <v>-3.1857401429632649E-2</v>
      </c>
      <c r="N190" s="1133">
        <v>8.4294647328487589</v>
      </c>
      <c r="O190" s="109">
        <f t="shared" si="26"/>
        <v>1.575452874349661E-3</v>
      </c>
      <c r="P190" s="1137">
        <f t="shared" si="33"/>
        <v>1.5989177101837285E-4</v>
      </c>
      <c r="Q190" s="1131"/>
    </row>
    <row r="191" spans="2:17">
      <c r="B191" s="1132" t="s">
        <v>1001</v>
      </c>
      <c r="C191" s="1133">
        <v>51.696665591898871</v>
      </c>
      <c r="D191" s="1134">
        <v>0</v>
      </c>
      <c r="E191" s="1134">
        <v>0</v>
      </c>
      <c r="F191" s="1133">
        <v>48.429378419999999</v>
      </c>
      <c r="G191" s="1133">
        <v>47.018813999999999</v>
      </c>
      <c r="H191" s="1135">
        <f t="shared" si="31"/>
        <v>3.2672871718988716</v>
      </c>
      <c r="J191" s="1136">
        <v>4.3725565436623262</v>
      </c>
      <c r="K191" s="1135">
        <f t="shared" si="32"/>
        <v>-1.1052693717634545</v>
      </c>
      <c r="M191" s="106">
        <f t="shared" si="34"/>
        <v>-2.093236493177926E-2</v>
      </c>
      <c r="N191" s="1133">
        <v>119.58020785065303</v>
      </c>
      <c r="O191" s="109">
        <f t="shared" si="26"/>
        <v>2.2349341048844194E-2</v>
      </c>
      <c r="P191" s="1137">
        <f t="shared" si="33"/>
        <v>9.7926744729816034E-4</v>
      </c>
      <c r="Q191" s="1131"/>
    </row>
    <row r="192" spans="2:17">
      <c r="B192" s="1132" t="s">
        <v>1002</v>
      </c>
      <c r="C192" s="1133">
        <v>51.897873023013517</v>
      </c>
      <c r="D192" s="1134">
        <v>0</v>
      </c>
      <c r="E192" s="1134">
        <v>0</v>
      </c>
      <c r="F192" s="1133">
        <v>60.464996790000001</v>
      </c>
      <c r="G192" s="1133">
        <v>50.706792999999998</v>
      </c>
      <c r="H192" s="1135">
        <f t="shared" si="31"/>
        <v>-8.5671237669864837</v>
      </c>
      <c r="J192" s="1136">
        <v>4.8371997432000002</v>
      </c>
      <c r="K192" s="1135">
        <f t="shared" si="32"/>
        <v>-13.404323510186483</v>
      </c>
      <c r="M192" s="106">
        <f t="shared" si="34"/>
        <v>-0.20526604343808941</v>
      </c>
      <c r="N192" s="1133">
        <v>141.34059984897613</v>
      </c>
      <c r="O192" s="109">
        <f t="shared" si="26"/>
        <v>2.6416321955370584E-2</v>
      </c>
      <c r="P192" s="1137">
        <f t="shared" si="33"/>
        <v>0.11130292344352516</v>
      </c>
      <c r="Q192" s="1131"/>
    </row>
    <row r="193" spans="2:17">
      <c r="B193" s="1132" t="s">
        <v>1003</v>
      </c>
      <c r="C193" s="1133">
        <v>16.782399999999999</v>
      </c>
      <c r="D193" s="1134">
        <v>0</v>
      </c>
      <c r="E193" s="1134">
        <v>0</v>
      </c>
      <c r="F193" s="1133">
        <v>15.43110259</v>
      </c>
      <c r="G193" s="1133">
        <v>14.981653</v>
      </c>
      <c r="H193" s="1135">
        <f t="shared" si="31"/>
        <v>1.351297409999999</v>
      </c>
      <c r="J193" s="1136">
        <v>1.2344882072000001</v>
      </c>
      <c r="K193" s="1135">
        <f t="shared" si="32"/>
        <v>0.11680920279999896</v>
      </c>
      <c r="M193" s="106">
        <f t="shared" si="34"/>
        <v>7.0090046144433218E-3</v>
      </c>
      <c r="N193" s="1133">
        <v>32.089021329767704</v>
      </c>
      <c r="O193" s="109">
        <f t="shared" si="26"/>
        <v>0</v>
      </c>
      <c r="P193" s="1137">
        <f t="shared" si="33"/>
        <v>0</v>
      </c>
      <c r="Q193" s="1131"/>
    </row>
    <row r="194" spans="2:17">
      <c r="B194" s="1132" t="s">
        <v>1004</v>
      </c>
      <c r="C194" s="1133">
        <v>9.8862353138061234</v>
      </c>
      <c r="D194" s="1134">
        <v>0</v>
      </c>
      <c r="E194" s="1134">
        <v>0</v>
      </c>
      <c r="F194" s="1133">
        <v>14.69302622</v>
      </c>
      <c r="G194" s="1133">
        <v>14.265074</v>
      </c>
      <c r="H194" s="1135">
        <f t="shared" si="31"/>
        <v>-4.8067909061938767</v>
      </c>
      <c r="J194" s="1136">
        <v>1.1754420976</v>
      </c>
      <c r="K194" s="1135">
        <f t="shared" si="32"/>
        <v>-5.9822330037938762</v>
      </c>
      <c r="M194" s="106">
        <f t="shared" si="34"/>
        <v>-0.37698868498599047</v>
      </c>
      <c r="N194" s="1133">
        <v>30.960304454754311</v>
      </c>
      <c r="O194" s="109">
        <f t="shared" si="26"/>
        <v>5.7864291731248695E-3</v>
      </c>
      <c r="P194" s="1137">
        <f t="shared" si="33"/>
        <v>8.2237002564842052E-2</v>
      </c>
      <c r="Q194" s="1131"/>
    </row>
    <row r="195" spans="2:17">
      <c r="B195" s="1132" t="s">
        <v>1005</v>
      </c>
      <c r="C195" s="1133">
        <v>9.0913109999999993</v>
      </c>
      <c r="D195" s="1134">
        <v>0</v>
      </c>
      <c r="E195" s="1134">
        <v>0</v>
      </c>
      <c r="F195" s="1133">
        <v>5.3076610700000009</v>
      </c>
      <c r="G195" s="1133">
        <v>5.1530690000000003</v>
      </c>
      <c r="H195" s="1135">
        <f t="shared" si="31"/>
        <v>3.7836499299999984</v>
      </c>
      <c r="J195" s="1136">
        <v>0.4246128856000001</v>
      </c>
      <c r="K195" s="1135">
        <f t="shared" si="32"/>
        <v>3.3590370443999982</v>
      </c>
      <c r="M195" s="106">
        <f t="shared" si="34"/>
        <v>0.58598683008136265</v>
      </c>
      <c r="N195" s="1133">
        <v>12.818806878062656</v>
      </c>
      <c r="O195" s="109">
        <f t="shared" si="26"/>
        <v>0</v>
      </c>
      <c r="P195" s="1137">
        <f t="shared" si="33"/>
        <v>0</v>
      </c>
      <c r="Q195" s="1131"/>
    </row>
    <row r="196" spans="2:17">
      <c r="B196" s="1132" t="s">
        <v>1006</v>
      </c>
      <c r="C196" s="1133">
        <v>4.2162318196999991</v>
      </c>
      <c r="D196" s="1134">
        <v>0</v>
      </c>
      <c r="E196" s="1134">
        <v>0</v>
      </c>
      <c r="F196" s="1133">
        <v>3.7946096100000002</v>
      </c>
      <c r="G196" s="1133">
        <v>3.6840869999999999</v>
      </c>
      <c r="H196" s="1135">
        <f t="shared" si="31"/>
        <v>0.42162220969999886</v>
      </c>
      <c r="J196" s="1136">
        <v>0.3035687688</v>
      </c>
      <c r="K196" s="1135">
        <f t="shared" si="32"/>
        <v>0.11805344089999886</v>
      </c>
      <c r="M196" s="106">
        <f t="shared" si="34"/>
        <v>2.8806320757215658E-2</v>
      </c>
      <c r="N196" s="1133">
        <v>4.853231370812936</v>
      </c>
      <c r="O196" s="109">
        <f t="shared" si="26"/>
        <v>0</v>
      </c>
      <c r="P196" s="1137">
        <f t="shared" si="33"/>
        <v>0</v>
      </c>
      <c r="Q196" s="1131"/>
    </row>
    <row r="197" spans="2:17">
      <c r="B197" s="1132" t="s">
        <v>1007</v>
      </c>
      <c r="C197" s="1133">
        <v>5.4320409999999999</v>
      </c>
      <c r="D197" s="1134">
        <v>0</v>
      </c>
      <c r="E197" s="1134">
        <v>0</v>
      </c>
      <c r="F197" s="1133">
        <v>5.3469926499999998</v>
      </c>
      <c r="G197" s="1133">
        <v>5.191255</v>
      </c>
      <c r="H197" s="1135">
        <f t="shared" si="31"/>
        <v>8.5048350000000106E-2</v>
      </c>
      <c r="J197" s="1136">
        <v>0.42775941200000001</v>
      </c>
      <c r="K197" s="1135">
        <f t="shared" si="32"/>
        <v>-0.3427110619999999</v>
      </c>
      <c r="M197" s="106">
        <f t="shared" si="34"/>
        <v>-5.9346454760398314E-2</v>
      </c>
      <c r="N197" s="1133">
        <v>12.458452009542109</v>
      </c>
      <c r="O197" s="109">
        <f t="shared" si="26"/>
        <v>2.3284638646026098E-3</v>
      </c>
      <c r="P197" s="1137">
        <f t="shared" si="33"/>
        <v>8.2008536723535347E-4</v>
      </c>
      <c r="Q197" s="1131"/>
    </row>
    <row r="198" spans="2:17">
      <c r="B198" s="1132" t="s">
        <v>1008</v>
      </c>
      <c r="C198" s="1133">
        <v>115.64860758064756</v>
      </c>
      <c r="D198" s="1134">
        <v>0</v>
      </c>
      <c r="E198" s="1134">
        <v>0</v>
      </c>
      <c r="F198" s="1133">
        <v>102.04025115</v>
      </c>
      <c r="G198" s="1133">
        <v>99.068205000000006</v>
      </c>
      <c r="H198" s="1135">
        <f t="shared" si="31"/>
        <v>13.608356430647561</v>
      </c>
      <c r="J198" s="1136">
        <v>8.1632200919999995</v>
      </c>
      <c r="K198" s="1135">
        <f t="shared" si="32"/>
        <v>5.4451363386475613</v>
      </c>
      <c r="M198" s="106">
        <f t="shared" si="34"/>
        <v>4.9409844148106542E-2</v>
      </c>
      <c r="N198" s="1133">
        <v>160.95081743237122</v>
      </c>
      <c r="O198" s="109">
        <f t="shared" si="26"/>
        <v>0</v>
      </c>
      <c r="P198" s="1137">
        <f t="shared" si="33"/>
        <v>0</v>
      </c>
      <c r="Q198" s="1131"/>
    </row>
    <row r="199" spans="2:17">
      <c r="B199" s="1132" t="s">
        <v>1009</v>
      </c>
      <c r="C199" s="1133">
        <v>62.704307400307478</v>
      </c>
      <c r="D199" s="1134">
        <v>0</v>
      </c>
      <c r="E199" s="1134">
        <v>0</v>
      </c>
      <c r="F199" s="1133">
        <v>68.64802195</v>
      </c>
      <c r="G199" s="1133">
        <v>66.648565000000005</v>
      </c>
      <c r="H199" s="1135">
        <f t="shared" si="31"/>
        <v>-5.9437145496925226</v>
      </c>
      <c r="J199" s="1136">
        <v>5.4918417560000004</v>
      </c>
      <c r="K199" s="1135">
        <f t="shared" si="32"/>
        <v>-11.435556305692522</v>
      </c>
      <c r="M199" s="106">
        <f t="shared" si="34"/>
        <v>-0.15424301764351725</v>
      </c>
      <c r="N199" s="1133">
        <v>175.56084826144158</v>
      </c>
      <c r="O199" s="109">
        <f t="shared" si="26"/>
        <v>3.2812029207372848E-2</v>
      </c>
      <c r="P199" s="1137">
        <f t="shared" si="33"/>
        <v>7.8062798430216671E-2</v>
      </c>
      <c r="Q199" s="1131"/>
    </row>
    <row r="200" spans="2:17">
      <c r="B200" s="1132" t="s">
        <v>1010</v>
      </c>
      <c r="C200" s="1133">
        <v>148.04572924685601</v>
      </c>
      <c r="D200" s="1134">
        <v>0</v>
      </c>
      <c r="E200" s="1134">
        <v>0</v>
      </c>
      <c r="F200" s="1133">
        <v>131.90580360999999</v>
      </c>
      <c r="G200" s="1133">
        <v>128.06388699999999</v>
      </c>
      <c r="H200" s="1135">
        <f t="shared" si="31"/>
        <v>16.13992563685602</v>
      </c>
      <c r="J200" s="1136">
        <v>10.852722205358493</v>
      </c>
      <c r="K200" s="1135">
        <f t="shared" si="32"/>
        <v>5.2872034314975274</v>
      </c>
      <c r="M200" s="106">
        <f t="shared" si="34"/>
        <v>3.7035990679365159E-2</v>
      </c>
      <c r="N200" s="1133">
        <v>383.54787997240538</v>
      </c>
      <c r="O200" s="109">
        <f t="shared" si="26"/>
        <v>0</v>
      </c>
      <c r="P200" s="1137">
        <f t="shared" si="33"/>
        <v>0</v>
      </c>
      <c r="Q200" s="1131"/>
    </row>
    <row r="201" spans="2:17">
      <c r="B201" s="1132" t="s">
        <v>1011</v>
      </c>
      <c r="C201" s="1133">
        <v>13.993</v>
      </c>
      <c r="D201" s="1134">
        <v>0</v>
      </c>
      <c r="E201" s="1134">
        <v>0</v>
      </c>
      <c r="F201" s="1133">
        <v>10.83975193</v>
      </c>
      <c r="G201" s="1133">
        <v>10.524031000000001</v>
      </c>
      <c r="H201" s="1135">
        <f t="shared" si="31"/>
        <v>3.1532480700000001</v>
      </c>
      <c r="J201" s="1136">
        <v>0.89185474218489991</v>
      </c>
      <c r="K201" s="1135">
        <f t="shared" si="32"/>
        <v>2.2613933278151004</v>
      </c>
      <c r="M201" s="106">
        <f t="shared" si="34"/>
        <v>0.19276075229974765</v>
      </c>
      <c r="N201" s="1133">
        <v>17.985919201128109</v>
      </c>
      <c r="O201" s="109">
        <f t="shared" si="26"/>
        <v>0</v>
      </c>
      <c r="P201" s="1137">
        <f t="shared" si="33"/>
        <v>0</v>
      </c>
      <c r="Q201" s="1131"/>
    </row>
    <row r="202" spans="2:17">
      <c r="B202" s="1132"/>
      <c r="C202" s="1133"/>
      <c r="D202" s="1134"/>
      <c r="E202" s="1134"/>
      <c r="F202" s="1133"/>
      <c r="G202" s="1133"/>
      <c r="H202" s="1135">
        <f t="shared" si="31"/>
        <v>0</v>
      </c>
      <c r="J202" s="1136"/>
      <c r="K202" s="1135">
        <f t="shared" si="32"/>
        <v>0</v>
      </c>
      <c r="M202" s="106">
        <f t="shared" si="34"/>
        <v>0</v>
      </c>
      <c r="N202" s="1133"/>
      <c r="O202" s="109">
        <f t="shared" si="26"/>
        <v>0</v>
      </c>
      <c r="P202" s="1137">
        <f t="shared" si="33"/>
        <v>0</v>
      </c>
      <c r="Q202" s="1131"/>
    </row>
    <row r="203" spans="2:17">
      <c r="B203" s="1132"/>
      <c r="C203" s="1133"/>
      <c r="D203" s="1134"/>
      <c r="E203" s="1134"/>
      <c r="F203" s="1133"/>
      <c r="G203" s="1133"/>
      <c r="H203" s="1135">
        <f t="shared" si="31"/>
        <v>0</v>
      </c>
      <c r="J203" s="1136"/>
      <c r="K203" s="1135">
        <f t="shared" si="32"/>
        <v>0</v>
      </c>
      <c r="M203" s="106">
        <f t="shared" si="34"/>
        <v>0</v>
      </c>
      <c r="N203" s="1133"/>
      <c r="O203" s="109">
        <f t="shared" si="26"/>
        <v>0</v>
      </c>
      <c r="P203" s="1137">
        <f t="shared" si="33"/>
        <v>0</v>
      </c>
      <c r="Q203" s="1131"/>
    </row>
    <row r="204" spans="2:17">
      <c r="B204" s="1132"/>
      <c r="C204" s="1134"/>
      <c r="D204" s="1134"/>
      <c r="E204" s="1134"/>
      <c r="F204" s="1134"/>
      <c r="G204" s="1134"/>
      <c r="H204" s="1135">
        <f t="shared" si="31"/>
        <v>0</v>
      </c>
      <c r="J204" s="1144"/>
      <c r="K204" s="1135">
        <f t="shared" si="32"/>
        <v>0</v>
      </c>
      <c r="M204" s="106">
        <f t="shared" si="34"/>
        <v>0</v>
      </c>
      <c r="N204" s="1133"/>
      <c r="O204" s="109">
        <f t="shared" si="26"/>
        <v>0</v>
      </c>
      <c r="P204" s="1137">
        <f t="shared" si="33"/>
        <v>0</v>
      </c>
      <c r="Q204" s="1131"/>
    </row>
    <row r="205" spans="2:17">
      <c r="B205" s="1132"/>
      <c r="C205" s="1134"/>
      <c r="D205" s="1134"/>
      <c r="E205" s="1134"/>
      <c r="F205" s="1134"/>
      <c r="G205" s="1134"/>
      <c r="H205" s="1135">
        <f t="shared" si="31"/>
        <v>0</v>
      </c>
      <c r="J205" s="1144"/>
      <c r="K205" s="1135">
        <f t="shared" si="32"/>
        <v>0</v>
      </c>
      <c r="M205" s="106">
        <f t="shared" si="34"/>
        <v>0</v>
      </c>
      <c r="N205" s="1133"/>
      <c r="O205" s="109">
        <f t="shared" si="26"/>
        <v>0</v>
      </c>
      <c r="P205" s="1137">
        <f t="shared" si="33"/>
        <v>0</v>
      </c>
      <c r="Q205" s="1131"/>
    </row>
    <row r="206" spans="2:17">
      <c r="B206" s="1132"/>
      <c r="C206" s="1134"/>
      <c r="D206" s="1134"/>
      <c r="E206" s="1134"/>
      <c r="F206" s="1134"/>
      <c r="G206" s="1134"/>
      <c r="H206" s="1135">
        <f t="shared" si="31"/>
        <v>0</v>
      </c>
      <c r="J206" s="1144"/>
      <c r="K206" s="1135">
        <f t="shared" si="32"/>
        <v>0</v>
      </c>
      <c r="M206" s="106">
        <f t="shared" si="34"/>
        <v>0</v>
      </c>
      <c r="N206" s="1133"/>
      <c r="O206" s="109">
        <f t="shared" ref="O206:O262" si="35">IF(K206&lt;0,N206/$N$263,0)</f>
        <v>0</v>
      </c>
      <c r="P206" s="1137">
        <f t="shared" si="33"/>
        <v>0</v>
      </c>
      <c r="Q206" s="1131"/>
    </row>
    <row r="207" spans="2:17">
      <c r="B207" s="1132"/>
      <c r="C207" s="1134"/>
      <c r="D207" s="1134"/>
      <c r="E207" s="1134"/>
      <c r="F207" s="1134"/>
      <c r="G207" s="1134"/>
      <c r="H207" s="1135">
        <f t="shared" si="31"/>
        <v>0</v>
      </c>
      <c r="J207" s="1144"/>
      <c r="K207" s="1135">
        <f t="shared" si="32"/>
        <v>0</v>
      </c>
      <c r="M207" s="106">
        <f t="shared" si="34"/>
        <v>0</v>
      </c>
      <c r="N207" s="1133"/>
      <c r="O207" s="109">
        <f t="shared" si="35"/>
        <v>0</v>
      </c>
      <c r="P207" s="1137">
        <f t="shared" si="33"/>
        <v>0</v>
      </c>
      <c r="Q207" s="1131"/>
    </row>
    <row r="208" spans="2:17">
      <c r="B208" s="1132"/>
      <c r="C208" s="1134"/>
      <c r="D208" s="1134"/>
      <c r="E208" s="1134"/>
      <c r="F208" s="1134"/>
      <c r="G208" s="1134"/>
      <c r="H208" s="1135">
        <f t="shared" si="31"/>
        <v>0</v>
      </c>
      <c r="J208" s="1144"/>
      <c r="K208" s="1135">
        <f t="shared" si="32"/>
        <v>0</v>
      </c>
      <c r="M208" s="106">
        <f t="shared" si="34"/>
        <v>0</v>
      </c>
      <c r="N208" s="1133"/>
      <c r="O208" s="109">
        <f t="shared" si="35"/>
        <v>0</v>
      </c>
      <c r="P208" s="1137">
        <f t="shared" si="33"/>
        <v>0</v>
      </c>
      <c r="Q208" s="1131"/>
    </row>
    <row r="209" spans="2:17">
      <c r="B209" s="1132"/>
      <c r="C209" s="1134"/>
      <c r="D209" s="1134"/>
      <c r="E209" s="1134"/>
      <c r="F209" s="1134"/>
      <c r="G209" s="1134"/>
      <c r="H209" s="1135">
        <f t="shared" si="31"/>
        <v>0</v>
      </c>
      <c r="J209" s="1144"/>
      <c r="K209" s="1135">
        <f t="shared" si="32"/>
        <v>0</v>
      </c>
      <c r="M209" s="106">
        <f t="shared" si="34"/>
        <v>0</v>
      </c>
      <c r="N209" s="1133"/>
      <c r="O209" s="109">
        <f t="shared" si="35"/>
        <v>0</v>
      </c>
      <c r="P209" s="1137">
        <f t="shared" si="33"/>
        <v>0</v>
      </c>
      <c r="Q209" s="1131"/>
    </row>
    <row r="210" spans="2:17">
      <c r="B210" s="1132"/>
      <c r="C210" s="1134"/>
      <c r="D210" s="1134"/>
      <c r="E210" s="1134"/>
      <c r="F210" s="1134"/>
      <c r="G210" s="1134"/>
      <c r="H210" s="1135">
        <f t="shared" si="31"/>
        <v>0</v>
      </c>
      <c r="J210" s="1144"/>
      <c r="K210" s="1135">
        <f t="shared" si="32"/>
        <v>0</v>
      </c>
      <c r="M210" s="106">
        <f t="shared" si="34"/>
        <v>0</v>
      </c>
      <c r="N210" s="1133"/>
      <c r="O210" s="109">
        <f t="shared" si="35"/>
        <v>0</v>
      </c>
      <c r="P210" s="1137">
        <f t="shared" si="33"/>
        <v>0</v>
      </c>
      <c r="Q210" s="1131"/>
    </row>
    <row r="211" spans="2:17">
      <c r="B211" s="1132"/>
      <c r="C211" s="1134"/>
      <c r="D211" s="1134"/>
      <c r="E211" s="1134"/>
      <c r="F211" s="1134"/>
      <c r="G211" s="1134"/>
      <c r="H211" s="1135">
        <f t="shared" si="31"/>
        <v>0</v>
      </c>
      <c r="J211" s="1144"/>
      <c r="K211" s="1135">
        <f t="shared" si="32"/>
        <v>0</v>
      </c>
      <c r="M211" s="106">
        <f t="shared" si="34"/>
        <v>0</v>
      </c>
      <c r="N211" s="1133"/>
      <c r="O211" s="109">
        <f t="shared" si="35"/>
        <v>0</v>
      </c>
      <c r="P211" s="1137">
        <f t="shared" si="33"/>
        <v>0</v>
      </c>
      <c r="Q211" s="1131"/>
    </row>
    <row r="212" spans="2:17">
      <c r="B212" s="1132"/>
      <c r="C212" s="1134"/>
      <c r="D212" s="1134"/>
      <c r="E212" s="1134"/>
      <c r="F212" s="1134"/>
      <c r="G212" s="1134"/>
      <c r="H212" s="1135">
        <f t="shared" si="31"/>
        <v>0</v>
      </c>
      <c r="J212" s="1144"/>
      <c r="K212" s="1135">
        <f t="shared" si="32"/>
        <v>0</v>
      </c>
      <c r="M212" s="106">
        <f t="shared" si="34"/>
        <v>0</v>
      </c>
      <c r="N212" s="1133"/>
      <c r="O212" s="109">
        <f t="shared" si="35"/>
        <v>0</v>
      </c>
      <c r="P212" s="1137">
        <f t="shared" si="33"/>
        <v>0</v>
      </c>
      <c r="Q212" s="1131"/>
    </row>
    <row r="213" spans="2:17">
      <c r="B213" s="1132"/>
      <c r="C213" s="1134"/>
      <c r="D213" s="1134"/>
      <c r="E213" s="1134"/>
      <c r="F213" s="1134"/>
      <c r="G213" s="1134"/>
      <c r="H213" s="1135">
        <f>+C213+D213-E213-F213</f>
        <v>0</v>
      </c>
      <c r="J213" s="1144"/>
      <c r="K213" s="1135">
        <f>+H213-J213</f>
        <v>0</v>
      </c>
      <c r="M213" s="106">
        <f>+IF(ISERROR(K213/(F213+J213)),0,K213/(F213+J213))</f>
        <v>0</v>
      </c>
      <c r="N213" s="1133"/>
      <c r="O213" s="109">
        <f t="shared" si="35"/>
        <v>0</v>
      </c>
      <c r="P213" s="1137">
        <f>(M213^2*O213)*100</f>
        <v>0</v>
      </c>
      <c r="Q213" s="1131"/>
    </row>
    <row r="214" spans="2:17">
      <c r="B214" s="1132"/>
      <c r="C214" s="1134"/>
      <c r="D214" s="1134"/>
      <c r="E214" s="1134"/>
      <c r="F214" s="1134"/>
      <c r="G214" s="1134"/>
      <c r="H214" s="1135">
        <f t="shared" ref="H214:H237" si="36">+C214+D214-E214-F214</f>
        <v>0</v>
      </c>
      <c r="J214" s="1144"/>
      <c r="K214" s="1135">
        <f t="shared" ref="K214:K237" si="37">+H214-J214</f>
        <v>0</v>
      </c>
      <c r="M214" s="106">
        <f>+IF(ISERROR(K214/(F214+J214)),0,K214/(F214+J214))</f>
        <v>0</v>
      </c>
      <c r="N214" s="1133"/>
      <c r="O214" s="109">
        <f t="shared" si="35"/>
        <v>0</v>
      </c>
      <c r="P214" s="1137">
        <f t="shared" ref="P214:P237" si="38">(M214^2*O214)*100</f>
        <v>0</v>
      </c>
      <c r="Q214" s="1131"/>
    </row>
    <row r="215" spans="2:17">
      <c r="B215" s="1132"/>
      <c r="C215" s="1134"/>
      <c r="D215" s="1134"/>
      <c r="E215" s="1134"/>
      <c r="F215" s="1134"/>
      <c r="G215" s="1134"/>
      <c r="H215" s="1135">
        <f t="shared" si="36"/>
        <v>0</v>
      </c>
      <c r="J215" s="1144"/>
      <c r="K215" s="1135">
        <f t="shared" si="37"/>
        <v>0</v>
      </c>
      <c r="M215" s="106">
        <f t="shared" ref="M215:M237" si="39">+IF(ISERROR(K215/(F215+J215)),0,K215/(F215+J215))</f>
        <v>0</v>
      </c>
      <c r="N215" s="1133"/>
      <c r="O215" s="109">
        <f t="shared" si="35"/>
        <v>0</v>
      </c>
      <c r="P215" s="1137">
        <f t="shared" si="38"/>
        <v>0</v>
      </c>
      <c r="Q215" s="1131"/>
    </row>
    <row r="216" spans="2:17">
      <c r="B216" s="1132"/>
      <c r="C216" s="1134"/>
      <c r="D216" s="1134"/>
      <c r="E216" s="1134"/>
      <c r="F216" s="1134"/>
      <c r="G216" s="1134"/>
      <c r="H216" s="1135">
        <f t="shared" si="36"/>
        <v>0</v>
      </c>
      <c r="J216" s="1144"/>
      <c r="K216" s="1135">
        <f t="shared" si="37"/>
        <v>0</v>
      </c>
      <c r="M216" s="106">
        <f t="shared" si="39"/>
        <v>0</v>
      </c>
      <c r="N216" s="1133"/>
      <c r="O216" s="109">
        <f t="shared" si="35"/>
        <v>0</v>
      </c>
      <c r="P216" s="1137">
        <f t="shared" si="38"/>
        <v>0</v>
      </c>
      <c r="Q216" s="1131"/>
    </row>
    <row r="217" spans="2:17">
      <c r="B217" s="1132"/>
      <c r="C217" s="1134"/>
      <c r="D217" s="1134"/>
      <c r="E217" s="1134"/>
      <c r="F217" s="1134"/>
      <c r="G217" s="1134"/>
      <c r="H217" s="1135">
        <f t="shared" si="36"/>
        <v>0</v>
      </c>
      <c r="J217" s="1144"/>
      <c r="K217" s="1135">
        <f t="shared" si="37"/>
        <v>0</v>
      </c>
      <c r="M217" s="106">
        <f t="shared" si="39"/>
        <v>0</v>
      </c>
      <c r="N217" s="1133"/>
      <c r="O217" s="109">
        <f t="shared" si="35"/>
        <v>0</v>
      </c>
      <c r="P217" s="1137">
        <f t="shared" si="38"/>
        <v>0</v>
      </c>
      <c r="Q217" s="1131"/>
    </row>
    <row r="218" spans="2:17">
      <c r="B218" s="1132"/>
      <c r="C218" s="1134"/>
      <c r="D218" s="1134"/>
      <c r="E218" s="1134"/>
      <c r="F218" s="1134"/>
      <c r="G218" s="1134"/>
      <c r="H218" s="1135">
        <f t="shared" si="36"/>
        <v>0</v>
      </c>
      <c r="J218" s="1144"/>
      <c r="K218" s="1135">
        <f t="shared" si="37"/>
        <v>0</v>
      </c>
      <c r="M218" s="106">
        <f t="shared" si="39"/>
        <v>0</v>
      </c>
      <c r="N218" s="1133"/>
      <c r="O218" s="109">
        <f t="shared" si="35"/>
        <v>0</v>
      </c>
      <c r="P218" s="1137">
        <f t="shared" si="38"/>
        <v>0</v>
      </c>
      <c r="Q218" s="1131"/>
    </row>
    <row r="219" spans="2:17">
      <c r="B219" s="1132"/>
      <c r="C219" s="1134"/>
      <c r="D219" s="1134"/>
      <c r="E219" s="1134"/>
      <c r="F219" s="1134"/>
      <c r="G219" s="1134"/>
      <c r="H219" s="1135">
        <f t="shared" si="36"/>
        <v>0</v>
      </c>
      <c r="J219" s="1144"/>
      <c r="K219" s="1135">
        <f t="shared" si="37"/>
        <v>0</v>
      </c>
      <c r="M219" s="106">
        <f t="shared" si="39"/>
        <v>0</v>
      </c>
      <c r="N219" s="1133"/>
      <c r="O219" s="109">
        <f t="shared" si="35"/>
        <v>0</v>
      </c>
      <c r="P219" s="1137">
        <f t="shared" si="38"/>
        <v>0</v>
      </c>
      <c r="Q219" s="1131"/>
    </row>
    <row r="220" spans="2:17">
      <c r="B220" s="1132"/>
      <c r="C220" s="1134"/>
      <c r="D220" s="1134"/>
      <c r="E220" s="1134"/>
      <c r="F220" s="1134"/>
      <c r="G220" s="1134"/>
      <c r="H220" s="1135">
        <f t="shared" si="36"/>
        <v>0</v>
      </c>
      <c r="J220" s="1144"/>
      <c r="K220" s="1135">
        <f t="shared" si="37"/>
        <v>0</v>
      </c>
      <c r="M220" s="106">
        <f t="shared" si="39"/>
        <v>0</v>
      </c>
      <c r="N220" s="1133"/>
      <c r="O220" s="109">
        <f t="shared" si="35"/>
        <v>0</v>
      </c>
      <c r="P220" s="1137">
        <f t="shared" si="38"/>
        <v>0</v>
      </c>
      <c r="Q220" s="1131"/>
    </row>
    <row r="221" spans="2:17">
      <c r="B221" s="1132"/>
      <c r="C221" s="1134"/>
      <c r="D221" s="1134"/>
      <c r="E221" s="1134"/>
      <c r="F221" s="1134"/>
      <c r="G221" s="1134"/>
      <c r="H221" s="1135">
        <f t="shared" si="36"/>
        <v>0</v>
      </c>
      <c r="J221" s="1144"/>
      <c r="K221" s="1135">
        <f t="shared" si="37"/>
        <v>0</v>
      </c>
      <c r="M221" s="106">
        <f t="shared" si="39"/>
        <v>0</v>
      </c>
      <c r="N221" s="1133"/>
      <c r="O221" s="109">
        <f t="shared" si="35"/>
        <v>0</v>
      </c>
      <c r="P221" s="1137">
        <f t="shared" si="38"/>
        <v>0</v>
      </c>
      <c r="Q221" s="1131"/>
    </row>
    <row r="222" spans="2:17">
      <c r="B222" s="1132"/>
      <c r="C222" s="1134"/>
      <c r="D222" s="1134"/>
      <c r="E222" s="1134"/>
      <c r="F222" s="1134"/>
      <c r="G222" s="1134"/>
      <c r="H222" s="1135">
        <f t="shared" si="36"/>
        <v>0</v>
      </c>
      <c r="J222" s="1144"/>
      <c r="K222" s="1135">
        <f t="shared" si="37"/>
        <v>0</v>
      </c>
      <c r="M222" s="106">
        <f t="shared" si="39"/>
        <v>0</v>
      </c>
      <c r="N222" s="1133"/>
      <c r="O222" s="109">
        <f t="shared" si="35"/>
        <v>0</v>
      </c>
      <c r="P222" s="1137">
        <f t="shared" si="38"/>
        <v>0</v>
      </c>
      <c r="Q222" s="1131"/>
    </row>
    <row r="223" spans="2:17">
      <c r="B223" s="1132"/>
      <c r="C223" s="1134"/>
      <c r="D223" s="1134"/>
      <c r="E223" s="1134"/>
      <c r="F223" s="1134"/>
      <c r="G223" s="1134"/>
      <c r="H223" s="1135">
        <f t="shared" si="36"/>
        <v>0</v>
      </c>
      <c r="J223" s="1144"/>
      <c r="K223" s="1135">
        <f t="shared" si="37"/>
        <v>0</v>
      </c>
      <c r="M223" s="106">
        <f t="shared" si="39"/>
        <v>0</v>
      </c>
      <c r="N223" s="1133"/>
      <c r="O223" s="109">
        <f t="shared" si="35"/>
        <v>0</v>
      </c>
      <c r="P223" s="1137">
        <f t="shared" si="38"/>
        <v>0</v>
      </c>
      <c r="Q223" s="1131"/>
    </row>
    <row r="224" spans="2:17">
      <c r="B224" s="1132"/>
      <c r="C224" s="1134"/>
      <c r="D224" s="1134"/>
      <c r="E224" s="1134"/>
      <c r="F224" s="1134"/>
      <c r="G224" s="1134"/>
      <c r="H224" s="1135">
        <f t="shared" si="36"/>
        <v>0</v>
      </c>
      <c r="J224" s="1144"/>
      <c r="K224" s="1135">
        <f t="shared" si="37"/>
        <v>0</v>
      </c>
      <c r="M224" s="106">
        <f t="shared" si="39"/>
        <v>0</v>
      </c>
      <c r="N224" s="1133"/>
      <c r="O224" s="109">
        <f t="shared" si="35"/>
        <v>0</v>
      </c>
      <c r="P224" s="1137">
        <f t="shared" si="38"/>
        <v>0</v>
      </c>
      <c r="Q224" s="1131"/>
    </row>
    <row r="225" spans="2:17">
      <c r="B225" s="1132"/>
      <c r="C225" s="1134"/>
      <c r="D225" s="1134"/>
      <c r="E225" s="1134"/>
      <c r="F225" s="1134"/>
      <c r="G225" s="1134"/>
      <c r="H225" s="1135">
        <f t="shared" si="36"/>
        <v>0</v>
      </c>
      <c r="J225" s="1144"/>
      <c r="K225" s="1135">
        <f t="shared" si="37"/>
        <v>0</v>
      </c>
      <c r="M225" s="106">
        <f t="shared" si="39"/>
        <v>0</v>
      </c>
      <c r="N225" s="1133"/>
      <c r="O225" s="109">
        <f t="shared" si="35"/>
        <v>0</v>
      </c>
      <c r="P225" s="1137">
        <f t="shared" si="38"/>
        <v>0</v>
      </c>
      <c r="Q225" s="1131"/>
    </row>
    <row r="226" spans="2:17">
      <c r="B226" s="1132"/>
      <c r="C226" s="1134"/>
      <c r="D226" s="1134"/>
      <c r="E226" s="1134"/>
      <c r="F226" s="1134"/>
      <c r="G226" s="1134"/>
      <c r="H226" s="1135">
        <f t="shared" si="36"/>
        <v>0</v>
      </c>
      <c r="J226" s="1144"/>
      <c r="K226" s="1135">
        <f t="shared" si="37"/>
        <v>0</v>
      </c>
      <c r="M226" s="106">
        <f t="shared" si="39"/>
        <v>0</v>
      </c>
      <c r="N226" s="1133"/>
      <c r="O226" s="109">
        <f t="shared" si="35"/>
        <v>0</v>
      </c>
      <c r="P226" s="1137">
        <f t="shared" si="38"/>
        <v>0</v>
      </c>
      <c r="Q226" s="1131"/>
    </row>
    <row r="227" spans="2:17">
      <c r="B227" s="1132"/>
      <c r="C227" s="1134"/>
      <c r="D227" s="1134"/>
      <c r="E227" s="1134"/>
      <c r="F227" s="1134"/>
      <c r="G227" s="1134"/>
      <c r="H227" s="1135">
        <f t="shared" si="36"/>
        <v>0</v>
      </c>
      <c r="J227" s="1144"/>
      <c r="K227" s="1135">
        <f t="shared" si="37"/>
        <v>0</v>
      </c>
      <c r="M227" s="106">
        <f t="shared" si="39"/>
        <v>0</v>
      </c>
      <c r="N227" s="1133"/>
      <c r="O227" s="109">
        <f t="shared" si="35"/>
        <v>0</v>
      </c>
      <c r="P227" s="1137">
        <f t="shared" si="38"/>
        <v>0</v>
      </c>
      <c r="Q227" s="1131"/>
    </row>
    <row r="228" spans="2:17">
      <c r="B228" s="1132"/>
      <c r="C228" s="1134"/>
      <c r="D228" s="1134"/>
      <c r="E228" s="1134"/>
      <c r="F228" s="1134"/>
      <c r="G228" s="1134"/>
      <c r="H228" s="1135">
        <f t="shared" si="36"/>
        <v>0</v>
      </c>
      <c r="J228" s="1144"/>
      <c r="K228" s="1135">
        <f t="shared" si="37"/>
        <v>0</v>
      </c>
      <c r="M228" s="106">
        <f t="shared" si="39"/>
        <v>0</v>
      </c>
      <c r="N228" s="1133"/>
      <c r="O228" s="109">
        <f t="shared" si="35"/>
        <v>0</v>
      </c>
      <c r="P228" s="1137">
        <f t="shared" si="38"/>
        <v>0</v>
      </c>
      <c r="Q228" s="1131"/>
    </row>
    <row r="229" spans="2:17">
      <c r="B229" s="1132"/>
      <c r="C229" s="1134"/>
      <c r="D229" s="1134"/>
      <c r="E229" s="1134"/>
      <c r="F229" s="1134"/>
      <c r="G229" s="1134"/>
      <c r="H229" s="1135">
        <f t="shared" si="36"/>
        <v>0</v>
      </c>
      <c r="J229" s="1144"/>
      <c r="K229" s="1135">
        <f t="shared" si="37"/>
        <v>0</v>
      </c>
      <c r="M229" s="106">
        <f t="shared" si="39"/>
        <v>0</v>
      </c>
      <c r="N229" s="1133"/>
      <c r="O229" s="109">
        <f t="shared" si="35"/>
        <v>0</v>
      </c>
      <c r="P229" s="1137">
        <f t="shared" si="38"/>
        <v>0</v>
      </c>
      <c r="Q229" s="1131"/>
    </row>
    <row r="230" spans="2:17">
      <c r="B230" s="1132"/>
      <c r="C230" s="1134"/>
      <c r="D230" s="1134"/>
      <c r="E230" s="1134"/>
      <c r="F230" s="1134"/>
      <c r="G230" s="1134"/>
      <c r="H230" s="1135">
        <f t="shared" si="36"/>
        <v>0</v>
      </c>
      <c r="J230" s="1144"/>
      <c r="K230" s="1135">
        <f t="shared" si="37"/>
        <v>0</v>
      </c>
      <c r="M230" s="106">
        <f t="shared" si="39"/>
        <v>0</v>
      </c>
      <c r="N230" s="1133"/>
      <c r="O230" s="109">
        <f t="shared" si="35"/>
        <v>0</v>
      </c>
      <c r="P230" s="1137">
        <f t="shared" si="38"/>
        <v>0</v>
      </c>
      <c r="Q230" s="1131"/>
    </row>
    <row r="231" spans="2:17">
      <c r="B231" s="1132"/>
      <c r="C231" s="1134"/>
      <c r="D231" s="1134"/>
      <c r="E231" s="1134"/>
      <c r="F231" s="1134"/>
      <c r="G231" s="1134"/>
      <c r="H231" s="1135">
        <f t="shared" si="36"/>
        <v>0</v>
      </c>
      <c r="J231" s="1144"/>
      <c r="K231" s="1135">
        <f t="shared" si="37"/>
        <v>0</v>
      </c>
      <c r="M231" s="106">
        <f t="shared" si="39"/>
        <v>0</v>
      </c>
      <c r="N231" s="1133"/>
      <c r="O231" s="109">
        <f t="shared" si="35"/>
        <v>0</v>
      </c>
      <c r="P231" s="1137">
        <f t="shared" si="38"/>
        <v>0</v>
      </c>
      <c r="Q231" s="1131"/>
    </row>
    <row r="232" spans="2:17">
      <c r="B232" s="1132"/>
      <c r="C232" s="1134"/>
      <c r="D232" s="1134"/>
      <c r="E232" s="1134"/>
      <c r="F232" s="1134"/>
      <c r="G232" s="1134"/>
      <c r="H232" s="1135">
        <f t="shared" si="36"/>
        <v>0</v>
      </c>
      <c r="J232" s="1144"/>
      <c r="K232" s="1135">
        <f t="shared" si="37"/>
        <v>0</v>
      </c>
      <c r="M232" s="106">
        <f t="shared" si="39"/>
        <v>0</v>
      </c>
      <c r="N232" s="1133"/>
      <c r="O232" s="109">
        <f t="shared" si="35"/>
        <v>0</v>
      </c>
      <c r="P232" s="1137">
        <f t="shared" si="38"/>
        <v>0</v>
      </c>
      <c r="Q232" s="1131"/>
    </row>
    <row r="233" spans="2:17">
      <c r="B233" s="1132"/>
      <c r="C233" s="1134"/>
      <c r="D233" s="1134"/>
      <c r="E233" s="1134"/>
      <c r="F233" s="1134"/>
      <c r="G233" s="1134"/>
      <c r="H233" s="1135">
        <f t="shared" si="36"/>
        <v>0</v>
      </c>
      <c r="J233" s="1144"/>
      <c r="K233" s="1135">
        <f t="shared" si="37"/>
        <v>0</v>
      </c>
      <c r="M233" s="106">
        <f t="shared" si="39"/>
        <v>0</v>
      </c>
      <c r="N233" s="1133"/>
      <c r="O233" s="109">
        <f t="shared" si="35"/>
        <v>0</v>
      </c>
      <c r="P233" s="1137">
        <f t="shared" si="38"/>
        <v>0</v>
      </c>
      <c r="Q233" s="1131"/>
    </row>
    <row r="234" spans="2:17">
      <c r="B234" s="1132"/>
      <c r="C234" s="1134"/>
      <c r="D234" s="1134"/>
      <c r="E234" s="1134"/>
      <c r="F234" s="1134"/>
      <c r="G234" s="1134"/>
      <c r="H234" s="1135">
        <f t="shared" si="36"/>
        <v>0</v>
      </c>
      <c r="J234" s="1144"/>
      <c r="K234" s="1135">
        <f t="shared" si="37"/>
        <v>0</v>
      </c>
      <c r="M234" s="106">
        <f t="shared" si="39"/>
        <v>0</v>
      </c>
      <c r="N234" s="1133"/>
      <c r="O234" s="109">
        <f t="shared" si="35"/>
        <v>0</v>
      </c>
      <c r="P234" s="1137">
        <f t="shared" si="38"/>
        <v>0</v>
      </c>
      <c r="Q234" s="1131"/>
    </row>
    <row r="235" spans="2:17">
      <c r="B235" s="1132"/>
      <c r="C235" s="1134"/>
      <c r="D235" s="1134"/>
      <c r="E235" s="1134"/>
      <c r="F235" s="1134"/>
      <c r="G235" s="1134"/>
      <c r="H235" s="1135">
        <f t="shared" si="36"/>
        <v>0</v>
      </c>
      <c r="J235" s="1144"/>
      <c r="K235" s="1135">
        <f t="shared" si="37"/>
        <v>0</v>
      </c>
      <c r="M235" s="106">
        <f t="shared" si="39"/>
        <v>0</v>
      </c>
      <c r="N235" s="1133"/>
      <c r="O235" s="109">
        <f t="shared" si="35"/>
        <v>0</v>
      </c>
      <c r="P235" s="1137">
        <f t="shared" si="38"/>
        <v>0</v>
      </c>
      <c r="Q235" s="1131"/>
    </row>
    <row r="236" spans="2:17">
      <c r="B236" s="1132"/>
      <c r="C236" s="1134"/>
      <c r="D236" s="1134"/>
      <c r="E236" s="1134"/>
      <c r="F236" s="1134"/>
      <c r="G236" s="1134"/>
      <c r="H236" s="1135">
        <f t="shared" si="36"/>
        <v>0</v>
      </c>
      <c r="J236" s="1144"/>
      <c r="K236" s="1135">
        <f t="shared" si="37"/>
        <v>0</v>
      </c>
      <c r="M236" s="106">
        <f t="shared" si="39"/>
        <v>0</v>
      </c>
      <c r="N236" s="1133"/>
      <c r="O236" s="109">
        <f t="shared" si="35"/>
        <v>0</v>
      </c>
      <c r="P236" s="1137">
        <f t="shared" si="38"/>
        <v>0</v>
      </c>
      <c r="Q236" s="1131"/>
    </row>
    <row r="237" spans="2:17">
      <c r="B237" s="1132"/>
      <c r="C237" s="1134"/>
      <c r="D237" s="1134"/>
      <c r="E237" s="1134"/>
      <c r="F237" s="1134"/>
      <c r="G237" s="1134"/>
      <c r="H237" s="1135">
        <f t="shared" si="36"/>
        <v>0</v>
      </c>
      <c r="J237" s="1144"/>
      <c r="K237" s="1135">
        <f t="shared" si="37"/>
        <v>0</v>
      </c>
      <c r="M237" s="106">
        <f t="shared" si="39"/>
        <v>0</v>
      </c>
      <c r="N237" s="1133"/>
      <c r="O237" s="109">
        <f t="shared" si="35"/>
        <v>0</v>
      </c>
      <c r="P237" s="1137">
        <f t="shared" si="38"/>
        <v>0</v>
      </c>
      <c r="Q237" s="1131"/>
    </row>
    <row r="238" spans="2:17">
      <c r="B238" s="1132"/>
      <c r="C238" s="1134"/>
      <c r="D238" s="1134"/>
      <c r="E238" s="1134"/>
      <c r="F238" s="1134"/>
      <c r="G238" s="1134"/>
      <c r="H238" s="1135">
        <f>+C238+D238-E238-F238</f>
        <v>0</v>
      </c>
      <c r="J238" s="1144"/>
      <c r="K238" s="1135">
        <f>+H238-J238</f>
        <v>0</v>
      </c>
      <c r="M238" s="106">
        <f>+IF(ISERROR(K238/(F238+J238)),0,K238/(F238+J238))</f>
        <v>0</v>
      </c>
      <c r="N238" s="1133"/>
      <c r="O238" s="109">
        <f t="shared" si="35"/>
        <v>0</v>
      </c>
      <c r="P238" s="1137">
        <f>(M238^2*O238)*100</f>
        <v>0</v>
      </c>
      <c r="Q238" s="1131"/>
    </row>
    <row r="239" spans="2:17">
      <c r="B239" s="1132"/>
      <c r="C239" s="1134"/>
      <c r="D239" s="1134"/>
      <c r="E239" s="1134"/>
      <c r="F239" s="1134"/>
      <c r="G239" s="1134"/>
      <c r="H239" s="1135">
        <f t="shared" ref="H239:H262" si="40">+C239+D239-E239-F239</f>
        <v>0</v>
      </c>
      <c r="J239" s="1144"/>
      <c r="K239" s="1135">
        <f t="shared" ref="K239:K262" si="41">+H239-J239</f>
        <v>0</v>
      </c>
      <c r="M239" s="106">
        <f>+IF(ISERROR(K239/(F239+J239)),0,K239/(F239+J239))</f>
        <v>0</v>
      </c>
      <c r="N239" s="1133"/>
      <c r="O239" s="109">
        <f t="shared" si="35"/>
        <v>0</v>
      </c>
      <c r="P239" s="1137">
        <f t="shared" ref="P239:P261" si="42">(M239^2*O239)*100</f>
        <v>0</v>
      </c>
      <c r="Q239" s="1131"/>
    </row>
    <row r="240" spans="2:17">
      <c r="B240" s="1132"/>
      <c r="C240" s="1134"/>
      <c r="D240" s="1134"/>
      <c r="E240" s="1134"/>
      <c r="F240" s="1134"/>
      <c r="G240" s="1134"/>
      <c r="H240" s="1135">
        <f t="shared" si="40"/>
        <v>0</v>
      </c>
      <c r="J240" s="1144"/>
      <c r="K240" s="1135">
        <f t="shared" si="41"/>
        <v>0</v>
      </c>
      <c r="M240" s="106">
        <f t="shared" ref="M240:M262" si="43">+IF(ISERROR(K240/(F240+J240)),0,K240/(F240+J240))</f>
        <v>0</v>
      </c>
      <c r="N240" s="1133"/>
      <c r="O240" s="109">
        <f t="shared" si="35"/>
        <v>0</v>
      </c>
      <c r="P240" s="1137">
        <f t="shared" si="42"/>
        <v>0</v>
      </c>
      <c r="Q240" s="1131"/>
    </row>
    <row r="241" spans="2:17">
      <c r="B241" s="1132"/>
      <c r="C241" s="1134"/>
      <c r="D241" s="1134"/>
      <c r="E241" s="1134"/>
      <c r="F241" s="1134"/>
      <c r="G241" s="1134"/>
      <c r="H241" s="1135">
        <f t="shared" si="40"/>
        <v>0</v>
      </c>
      <c r="J241" s="1144"/>
      <c r="K241" s="1135">
        <f t="shared" si="41"/>
        <v>0</v>
      </c>
      <c r="M241" s="106">
        <f t="shared" si="43"/>
        <v>0</v>
      </c>
      <c r="N241" s="1133"/>
      <c r="O241" s="109">
        <f t="shared" si="35"/>
        <v>0</v>
      </c>
      <c r="P241" s="1137">
        <f t="shared" si="42"/>
        <v>0</v>
      </c>
      <c r="Q241" s="1131"/>
    </row>
    <row r="242" spans="2:17">
      <c r="B242" s="1132"/>
      <c r="C242" s="1134"/>
      <c r="D242" s="1134"/>
      <c r="E242" s="1134"/>
      <c r="F242" s="1134"/>
      <c r="G242" s="1134"/>
      <c r="H242" s="1135">
        <f t="shared" si="40"/>
        <v>0</v>
      </c>
      <c r="J242" s="1144"/>
      <c r="K242" s="1135">
        <f t="shared" si="41"/>
        <v>0</v>
      </c>
      <c r="M242" s="106">
        <f t="shared" si="43"/>
        <v>0</v>
      </c>
      <c r="N242" s="1133"/>
      <c r="O242" s="109">
        <f t="shared" si="35"/>
        <v>0</v>
      </c>
      <c r="P242" s="1137">
        <f t="shared" si="42"/>
        <v>0</v>
      </c>
      <c r="Q242" s="1131"/>
    </row>
    <row r="243" spans="2:17">
      <c r="B243" s="1132"/>
      <c r="C243" s="1134"/>
      <c r="D243" s="1134"/>
      <c r="E243" s="1134"/>
      <c r="F243" s="1134"/>
      <c r="G243" s="1134"/>
      <c r="H243" s="1135">
        <f t="shared" si="40"/>
        <v>0</v>
      </c>
      <c r="J243" s="1144"/>
      <c r="K243" s="1135">
        <f t="shared" si="41"/>
        <v>0</v>
      </c>
      <c r="M243" s="106">
        <f t="shared" si="43"/>
        <v>0</v>
      </c>
      <c r="N243" s="1133"/>
      <c r="O243" s="109">
        <f t="shared" si="35"/>
        <v>0</v>
      </c>
      <c r="P243" s="1137">
        <f t="shared" si="42"/>
        <v>0</v>
      </c>
      <c r="Q243" s="1131"/>
    </row>
    <row r="244" spans="2:17">
      <c r="B244" s="1132"/>
      <c r="C244" s="1134"/>
      <c r="D244" s="1134"/>
      <c r="E244" s="1134"/>
      <c r="F244" s="1134"/>
      <c r="G244" s="1134"/>
      <c r="H244" s="1135">
        <f t="shared" si="40"/>
        <v>0</v>
      </c>
      <c r="J244" s="1144"/>
      <c r="K244" s="1135">
        <f t="shared" si="41"/>
        <v>0</v>
      </c>
      <c r="M244" s="106">
        <f t="shared" si="43"/>
        <v>0</v>
      </c>
      <c r="N244" s="1133"/>
      <c r="O244" s="109">
        <f t="shared" si="35"/>
        <v>0</v>
      </c>
      <c r="P244" s="1137">
        <f t="shared" si="42"/>
        <v>0</v>
      </c>
      <c r="Q244" s="1131"/>
    </row>
    <row r="245" spans="2:17">
      <c r="B245" s="1132"/>
      <c r="C245" s="1134"/>
      <c r="D245" s="1134"/>
      <c r="E245" s="1134"/>
      <c r="F245" s="1134"/>
      <c r="G245" s="1134"/>
      <c r="H245" s="1135">
        <f t="shared" si="40"/>
        <v>0</v>
      </c>
      <c r="J245" s="1144"/>
      <c r="K245" s="1135">
        <f t="shared" si="41"/>
        <v>0</v>
      </c>
      <c r="M245" s="106">
        <f t="shared" si="43"/>
        <v>0</v>
      </c>
      <c r="N245" s="1133"/>
      <c r="O245" s="109">
        <f t="shared" si="35"/>
        <v>0</v>
      </c>
      <c r="P245" s="1137">
        <f t="shared" si="42"/>
        <v>0</v>
      </c>
      <c r="Q245" s="1131"/>
    </row>
    <row r="246" spans="2:17">
      <c r="B246" s="1132"/>
      <c r="C246" s="1134"/>
      <c r="D246" s="1134"/>
      <c r="E246" s="1134"/>
      <c r="F246" s="1134"/>
      <c r="G246" s="1134"/>
      <c r="H246" s="1135">
        <f t="shared" si="40"/>
        <v>0</v>
      </c>
      <c r="J246" s="1144"/>
      <c r="K246" s="1135">
        <f t="shared" si="41"/>
        <v>0</v>
      </c>
      <c r="M246" s="106">
        <f t="shared" si="43"/>
        <v>0</v>
      </c>
      <c r="N246" s="1133"/>
      <c r="O246" s="109">
        <f t="shared" si="35"/>
        <v>0</v>
      </c>
      <c r="P246" s="1137">
        <f t="shared" si="42"/>
        <v>0</v>
      </c>
      <c r="Q246" s="1131"/>
    </row>
    <row r="247" spans="2:17">
      <c r="B247" s="1132"/>
      <c r="C247" s="1134"/>
      <c r="D247" s="1134"/>
      <c r="E247" s="1134"/>
      <c r="F247" s="1134"/>
      <c r="G247" s="1134"/>
      <c r="H247" s="1135">
        <f t="shared" si="40"/>
        <v>0</v>
      </c>
      <c r="J247" s="1144"/>
      <c r="K247" s="1135">
        <f t="shared" si="41"/>
        <v>0</v>
      </c>
      <c r="M247" s="106">
        <f t="shared" si="43"/>
        <v>0</v>
      </c>
      <c r="N247" s="1133"/>
      <c r="O247" s="109">
        <f t="shared" si="35"/>
        <v>0</v>
      </c>
      <c r="P247" s="1137">
        <f t="shared" si="42"/>
        <v>0</v>
      </c>
      <c r="Q247" s="1131"/>
    </row>
    <row r="248" spans="2:17">
      <c r="B248" s="1132"/>
      <c r="C248" s="1134"/>
      <c r="D248" s="1134"/>
      <c r="E248" s="1134"/>
      <c r="F248" s="1134"/>
      <c r="G248" s="1134"/>
      <c r="H248" s="1135">
        <f t="shared" si="40"/>
        <v>0</v>
      </c>
      <c r="J248" s="1144"/>
      <c r="K248" s="1135">
        <f t="shared" si="41"/>
        <v>0</v>
      </c>
      <c r="M248" s="106">
        <f t="shared" si="43"/>
        <v>0</v>
      </c>
      <c r="N248" s="1133"/>
      <c r="O248" s="109">
        <f t="shared" si="35"/>
        <v>0</v>
      </c>
      <c r="P248" s="1137">
        <f t="shared" si="42"/>
        <v>0</v>
      </c>
      <c r="Q248" s="1131"/>
    </row>
    <row r="249" spans="2:17">
      <c r="B249" s="1132"/>
      <c r="C249" s="1134"/>
      <c r="D249" s="1134"/>
      <c r="E249" s="1134"/>
      <c r="F249" s="1134"/>
      <c r="G249" s="1134"/>
      <c r="H249" s="1135">
        <f t="shared" si="40"/>
        <v>0</v>
      </c>
      <c r="J249" s="1144"/>
      <c r="K249" s="1135">
        <f t="shared" si="41"/>
        <v>0</v>
      </c>
      <c r="M249" s="106">
        <f t="shared" si="43"/>
        <v>0</v>
      </c>
      <c r="N249" s="1133"/>
      <c r="O249" s="109">
        <f t="shared" si="35"/>
        <v>0</v>
      </c>
      <c r="P249" s="1137">
        <f t="shared" si="42"/>
        <v>0</v>
      </c>
      <c r="Q249" s="1131"/>
    </row>
    <row r="250" spans="2:17">
      <c r="B250" s="1132"/>
      <c r="C250" s="1134"/>
      <c r="D250" s="1134"/>
      <c r="E250" s="1134"/>
      <c r="F250" s="1134"/>
      <c r="G250" s="1134"/>
      <c r="H250" s="1135">
        <f t="shared" si="40"/>
        <v>0</v>
      </c>
      <c r="J250" s="1144"/>
      <c r="K250" s="1135">
        <f t="shared" si="41"/>
        <v>0</v>
      </c>
      <c r="M250" s="106">
        <f t="shared" si="43"/>
        <v>0</v>
      </c>
      <c r="N250" s="1133"/>
      <c r="O250" s="109">
        <f t="shared" si="35"/>
        <v>0</v>
      </c>
      <c r="P250" s="1137">
        <f t="shared" si="42"/>
        <v>0</v>
      </c>
      <c r="Q250" s="1131"/>
    </row>
    <row r="251" spans="2:17">
      <c r="B251" s="1132"/>
      <c r="C251" s="1134"/>
      <c r="D251" s="1134"/>
      <c r="E251" s="1134"/>
      <c r="F251" s="1134"/>
      <c r="G251" s="1134"/>
      <c r="H251" s="1135">
        <f t="shared" si="40"/>
        <v>0</v>
      </c>
      <c r="J251" s="1144"/>
      <c r="K251" s="1135">
        <f t="shared" si="41"/>
        <v>0</v>
      </c>
      <c r="M251" s="106">
        <f t="shared" si="43"/>
        <v>0</v>
      </c>
      <c r="N251" s="1133"/>
      <c r="O251" s="109">
        <f t="shared" si="35"/>
        <v>0</v>
      </c>
      <c r="P251" s="1137">
        <f t="shared" si="42"/>
        <v>0</v>
      </c>
      <c r="Q251" s="1131"/>
    </row>
    <row r="252" spans="2:17">
      <c r="B252" s="1132"/>
      <c r="C252" s="1134"/>
      <c r="D252" s="1134"/>
      <c r="E252" s="1134"/>
      <c r="F252" s="1134"/>
      <c r="G252" s="1134"/>
      <c r="H252" s="1135">
        <f t="shared" si="40"/>
        <v>0</v>
      </c>
      <c r="J252" s="1144"/>
      <c r="K252" s="1135">
        <f t="shared" si="41"/>
        <v>0</v>
      </c>
      <c r="M252" s="106">
        <f t="shared" si="43"/>
        <v>0</v>
      </c>
      <c r="N252" s="1133"/>
      <c r="O252" s="109">
        <f t="shared" si="35"/>
        <v>0</v>
      </c>
      <c r="P252" s="1137">
        <f t="shared" si="42"/>
        <v>0</v>
      </c>
      <c r="Q252" s="1131"/>
    </row>
    <row r="253" spans="2:17">
      <c r="B253" s="1132"/>
      <c r="C253" s="1134"/>
      <c r="D253" s="1134"/>
      <c r="E253" s="1134"/>
      <c r="F253" s="1134"/>
      <c r="G253" s="1134"/>
      <c r="H253" s="1135">
        <f t="shared" si="40"/>
        <v>0</v>
      </c>
      <c r="J253" s="1144"/>
      <c r="K253" s="1135">
        <f t="shared" si="41"/>
        <v>0</v>
      </c>
      <c r="M253" s="106">
        <f t="shared" si="43"/>
        <v>0</v>
      </c>
      <c r="N253" s="1133"/>
      <c r="O253" s="109">
        <f t="shared" si="35"/>
        <v>0</v>
      </c>
      <c r="P253" s="1137">
        <f t="shared" si="42"/>
        <v>0</v>
      </c>
      <c r="Q253" s="1131"/>
    </row>
    <row r="254" spans="2:17">
      <c r="B254" s="1132"/>
      <c r="C254" s="1134"/>
      <c r="D254" s="1134"/>
      <c r="E254" s="1134"/>
      <c r="F254" s="1134"/>
      <c r="G254" s="1134"/>
      <c r="H254" s="1135">
        <f t="shared" si="40"/>
        <v>0</v>
      </c>
      <c r="J254" s="1144"/>
      <c r="K254" s="1135">
        <f t="shared" si="41"/>
        <v>0</v>
      </c>
      <c r="M254" s="106">
        <f t="shared" si="43"/>
        <v>0</v>
      </c>
      <c r="N254" s="1133"/>
      <c r="O254" s="109">
        <f t="shared" si="35"/>
        <v>0</v>
      </c>
      <c r="P254" s="1137">
        <f t="shared" si="42"/>
        <v>0</v>
      </c>
      <c r="Q254" s="1131"/>
    </row>
    <row r="255" spans="2:17">
      <c r="B255" s="1132"/>
      <c r="C255" s="1134"/>
      <c r="D255" s="1134"/>
      <c r="E255" s="1134"/>
      <c r="F255" s="1134"/>
      <c r="G255" s="1134"/>
      <c r="H255" s="1135">
        <f t="shared" si="40"/>
        <v>0</v>
      </c>
      <c r="J255" s="1144"/>
      <c r="K255" s="1135">
        <f t="shared" si="41"/>
        <v>0</v>
      </c>
      <c r="M255" s="106">
        <f t="shared" si="43"/>
        <v>0</v>
      </c>
      <c r="N255" s="1133"/>
      <c r="O255" s="109">
        <f t="shared" si="35"/>
        <v>0</v>
      </c>
      <c r="P255" s="1137">
        <f t="shared" si="42"/>
        <v>0</v>
      </c>
      <c r="Q255" s="1131"/>
    </row>
    <row r="256" spans="2:17">
      <c r="B256" s="1132"/>
      <c r="C256" s="1134"/>
      <c r="D256" s="1134"/>
      <c r="E256" s="1134"/>
      <c r="F256" s="1134"/>
      <c r="G256" s="1134"/>
      <c r="H256" s="1135">
        <f t="shared" si="40"/>
        <v>0</v>
      </c>
      <c r="J256" s="1144"/>
      <c r="K256" s="1135">
        <f t="shared" si="41"/>
        <v>0</v>
      </c>
      <c r="M256" s="106">
        <f t="shared" si="43"/>
        <v>0</v>
      </c>
      <c r="N256" s="1133"/>
      <c r="O256" s="109">
        <f t="shared" si="35"/>
        <v>0</v>
      </c>
      <c r="P256" s="1137">
        <f t="shared" si="42"/>
        <v>0</v>
      </c>
      <c r="Q256" s="1131"/>
    </row>
    <row r="257" spans="1:18">
      <c r="B257" s="1132"/>
      <c r="C257" s="1134"/>
      <c r="D257" s="1134"/>
      <c r="E257" s="1134"/>
      <c r="F257" s="1134"/>
      <c r="G257" s="1134"/>
      <c r="H257" s="1135">
        <f t="shared" si="40"/>
        <v>0</v>
      </c>
      <c r="J257" s="1144"/>
      <c r="K257" s="1135">
        <f t="shared" si="41"/>
        <v>0</v>
      </c>
      <c r="M257" s="106">
        <f t="shared" si="43"/>
        <v>0</v>
      </c>
      <c r="N257" s="1133"/>
      <c r="O257" s="109">
        <f t="shared" si="35"/>
        <v>0</v>
      </c>
      <c r="P257" s="1137">
        <f t="shared" si="42"/>
        <v>0</v>
      </c>
      <c r="Q257" s="1131"/>
    </row>
    <row r="258" spans="1:18">
      <c r="B258" s="1132"/>
      <c r="C258" s="1134"/>
      <c r="D258" s="1134"/>
      <c r="E258" s="1134"/>
      <c r="F258" s="1134"/>
      <c r="G258" s="1134"/>
      <c r="H258" s="1135">
        <f t="shared" si="40"/>
        <v>0</v>
      </c>
      <c r="J258" s="1144"/>
      <c r="K258" s="1135">
        <f t="shared" si="41"/>
        <v>0</v>
      </c>
      <c r="M258" s="106">
        <f t="shared" si="43"/>
        <v>0</v>
      </c>
      <c r="N258" s="1133"/>
      <c r="O258" s="109">
        <f t="shared" si="35"/>
        <v>0</v>
      </c>
      <c r="P258" s="1137">
        <f t="shared" si="42"/>
        <v>0</v>
      </c>
      <c r="Q258" s="1131"/>
    </row>
    <row r="259" spans="1:18">
      <c r="B259" s="1132"/>
      <c r="C259" s="1134"/>
      <c r="D259" s="1134"/>
      <c r="E259" s="1134"/>
      <c r="F259" s="1134"/>
      <c r="G259" s="1134"/>
      <c r="H259" s="1135">
        <f t="shared" si="40"/>
        <v>0</v>
      </c>
      <c r="J259" s="1144"/>
      <c r="K259" s="1135">
        <f t="shared" si="41"/>
        <v>0</v>
      </c>
      <c r="M259" s="106">
        <f t="shared" si="43"/>
        <v>0</v>
      </c>
      <c r="N259" s="1133"/>
      <c r="O259" s="109">
        <f t="shared" si="35"/>
        <v>0</v>
      </c>
      <c r="P259" s="1137">
        <f t="shared" si="42"/>
        <v>0</v>
      </c>
      <c r="Q259" s="1131"/>
    </row>
    <row r="260" spans="1:18">
      <c r="B260" s="1132"/>
      <c r="C260" s="1134"/>
      <c r="D260" s="1134"/>
      <c r="E260" s="1134"/>
      <c r="F260" s="1134"/>
      <c r="G260" s="1134"/>
      <c r="H260" s="1135">
        <f t="shared" si="40"/>
        <v>0</v>
      </c>
      <c r="J260" s="1144"/>
      <c r="K260" s="1135">
        <f t="shared" si="41"/>
        <v>0</v>
      </c>
      <c r="M260" s="106">
        <f t="shared" si="43"/>
        <v>0</v>
      </c>
      <c r="N260" s="1133"/>
      <c r="O260" s="109">
        <f t="shared" si="35"/>
        <v>0</v>
      </c>
      <c r="P260" s="1137">
        <f t="shared" si="42"/>
        <v>0</v>
      </c>
      <c r="Q260" s="1131"/>
    </row>
    <row r="261" spans="1:18">
      <c r="B261" s="1132"/>
      <c r="C261" s="1134"/>
      <c r="D261" s="1134"/>
      <c r="E261" s="1134"/>
      <c r="F261" s="1134"/>
      <c r="G261" s="1134"/>
      <c r="H261" s="1135">
        <f t="shared" si="40"/>
        <v>0</v>
      </c>
      <c r="J261" s="1144"/>
      <c r="K261" s="1135">
        <f t="shared" si="41"/>
        <v>0</v>
      </c>
      <c r="M261" s="106">
        <f t="shared" si="43"/>
        <v>0</v>
      </c>
      <c r="N261" s="1133"/>
      <c r="O261" s="109">
        <f t="shared" si="35"/>
        <v>0</v>
      </c>
      <c r="P261" s="1137">
        <f t="shared" si="42"/>
        <v>0</v>
      </c>
      <c r="Q261" s="1131"/>
    </row>
    <row r="262" spans="1:18" ht="12.95" thickBot="1">
      <c r="B262" s="1145"/>
      <c r="C262" s="1146"/>
      <c r="D262" s="1146"/>
      <c r="E262" s="1146"/>
      <c r="F262" s="1146"/>
      <c r="G262" s="1146"/>
      <c r="H262" s="1147">
        <f t="shared" si="40"/>
        <v>0</v>
      </c>
      <c r="J262" s="1148"/>
      <c r="K262" s="1147">
        <f t="shared" si="41"/>
        <v>0</v>
      </c>
      <c r="M262" s="107">
        <f t="shared" si="43"/>
        <v>0</v>
      </c>
      <c r="N262" s="1149"/>
      <c r="O262" s="110">
        <f t="shared" si="35"/>
        <v>0</v>
      </c>
      <c r="P262" s="1150">
        <f>(M262^2*O262)*100</f>
        <v>0</v>
      </c>
      <c r="Q262" s="1131"/>
    </row>
    <row r="263" spans="1:18" ht="13.5" thickBot="1">
      <c r="B263" s="1151" t="s">
        <v>1012</v>
      </c>
      <c r="C263" s="1152">
        <f>SUM(C13:C262)</f>
        <v>2273.071728832731</v>
      </c>
      <c r="D263" s="1152">
        <f>SUM(D13:D262)</f>
        <v>0</v>
      </c>
      <c r="E263" s="1152">
        <f>SUM(E13:E262)</f>
        <v>0</v>
      </c>
      <c r="F263" s="1152">
        <f>SUM(F13:F262)</f>
        <v>1925.6484040624996</v>
      </c>
      <c r="G263" s="1153">
        <f>SUM(G13:G262)</f>
        <v>1837.7338140000006</v>
      </c>
      <c r="H263" s="1131"/>
      <c r="I263" s="1154"/>
      <c r="J263" s="1154"/>
      <c r="K263" s="1131"/>
      <c r="L263" s="1154"/>
      <c r="M263" s="97"/>
      <c r="N263" s="1155">
        <f>SUM(N13:N262)</f>
        <v>5350.5026206057728</v>
      </c>
      <c r="O263" s="98"/>
      <c r="P263" s="1155">
        <f>SUM(P13:P262)</f>
        <v>0.68730932517377763</v>
      </c>
      <c r="Q263" s="1156">
        <f>(1-P263)*100</f>
        <v>31.269067482622237</v>
      </c>
      <c r="R263" s="1157">
        <f>1-SUM(O13:O262)</f>
        <v>0.63242984326077534</v>
      </c>
    </row>
    <row r="267" spans="1:18" ht="12.95" thickBot="1"/>
    <row r="268" spans="1:18" customFormat="1">
      <c r="A268" s="13" t="s">
        <v>145</v>
      </c>
      <c r="B268" s="3"/>
      <c r="C268" s="197" t="s">
        <v>40</v>
      </c>
      <c r="D268" s="3"/>
      <c r="E268" s="3"/>
      <c r="F268" s="14"/>
    </row>
    <row r="269" spans="1:18" customFormat="1">
      <c r="A269" s="8"/>
      <c r="B269" s="1269"/>
      <c r="C269" s="1269"/>
      <c r="D269" s="1269"/>
      <c r="E269" s="1269"/>
      <c r="F269" s="15"/>
    </row>
    <row r="270" spans="1:18" customFormat="1">
      <c r="A270" s="6" t="s">
        <v>41</v>
      </c>
      <c r="B270" s="1269"/>
      <c r="C270" s="207" t="s">
        <v>40</v>
      </c>
      <c r="D270" s="1269"/>
      <c r="E270" s="1269"/>
      <c r="F270" s="15"/>
    </row>
    <row r="271" spans="1:18" customFormat="1">
      <c r="A271" s="8"/>
      <c r="B271" s="1269"/>
      <c r="C271" s="1269"/>
      <c r="D271" s="1269"/>
      <c r="E271" s="1269"/>
      <c r="F271" s="15"/>
    </row>
    <row r="272" spans="1:18" customFormat="1" ht="12.95" thickBot="1">
      <c r="A272" s="9" t="s">
        <v>523</v>
      </c>
      <c r="B272" s="10"/>
      <c r="C272" s="10" t="s">
        <v>146</v>
      </c>
      <c r="D272" s="10"/>
      <c r="E272" s="10"/>
      <c r="F272" s="16"/>
    </row>
    <row r="273" spans="2:3" customFormat="1"/>
    <row r="275" spans="2:3">
      <c r="B275" s="17"/>
      <c r="C275" s="43"/>
    </row>
  </sheetData>
  <mergeCells count="17">
    <mergeCell ref="P10:P12"/>
    <mergeCell ref="Q10:Q12"/>
    <mergeCell ref="R10:R12"/>
    <mergeCell ref="H10:H12"/>
    <mergeCell ref="J10:J12"/>
    <mergeCell ref="K10:K12"/>
    <mergeCell ref="M10:M12"/>
    <mergeCell ref="N10:N12"/>
    <mergeCell ref="O10:O12"/>
    <mergeCell ref="A6:G6"/>
    <mergeCell ref="A7:G7"/>
    <mergeCell ref="B10:B12"/>
    <mergeCell ref="C10:C12"/>
    <mergeCell ref="D10:D12"/>
    <mergeCell ref="E10:E12"/>
    <mergeCell ref="F10:F12"/>
    <mergeCell ref="G10:G12"/>
  </mergeCells>
  <pageMargins left="0.74803149606299213" right="0.74803149606299213" top="0.98425196850393704" bottom="0.98425196850393704" header="0.51181102362204722" footer="0.51181102362204722"/>
  <pageSetup paperSize="8" scale="30" orientation="portrait" r:id="rId1"/>
  <headerFooter alignWithMargins="0">
    <oddFooter>&amp;R&amp;"CG Omega,Regular" Date: Feb 2010
Revision 13.0&amp;L&amp;"Calibri"&amp;11&amp;K000000&amp;"CG Omega,Regular"Table 8 of 10_x000D_&amp;1#&amp;"Arial"&amp;11&amp;K000000SW Private Commercial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B3995-1892-47FD-8041-92A5408D4B88}">
  <sheetPr>
    <pageSetUpPr fitToPage="1"/>
  </sheetPr>
  <dimension ref="A1:R275"/>
  <sheetViews>
    <sheetView zoomScaleNormal="100" zoomScalePageLayoutView="55" workbookViewId="0">
      <selection sqref="A1:XFD1048576"/>
    </sheetView>
  </sheetViews>
  <sheetFormatPr defaultColWidth="9.42578125" defaultRowHeight="12.6"/>
  <cols>
    <col min="1" max="1" width="7.42578125" style="91" customWidth="1"/>
    <col min="2" max="2" width="54.5703125" style="91" customWidth="1"/>
    <col min="3" max="3" width="19.5703125" style="91" customWidth="1"/>
    <col min="4" max="4" width="16.42578125" style="91" customWidth="1"/>
    <col min="5" max="5" width="12.42578125" style="91" customWidth="1"/>
    <col min="6" max="6" width="19.42578125" style="91" customWidth="1"/>
    <col min="7" max="7" width="20.5703125" style="91" customWidth="1"/>
    <col min="8" max="8" width="18" style="91" customWidth="1"/>
    <col min="9" max="9" width="1.5703125" style="91" customWidth="1"/>
    <col min="10" max="10" width="14.5703125" style="91" customWidth="1"/>
    <col min="11" max="11" width="11.5703125" style="91" customWidth="1"/>
    <col min="12" max="12" width="2.42578125" style="91" customWidth="1"/>
    <col min="13" max="13" width="23.5703125" style="91" customWidth="1"/>
    <col min="14" max="14" width="12.42578125" style="91" customWidth="1"/>
    <col min="15" max="15" width="23.5703125" style="91" customWidth="1"/>
    <col min="16" max="16" width="25.5703125" style="91" customWidth="1"/>
    <col min="17" max="17" width="12.5703125" style="91" customWidth="1"/>
    <col min="18" max="18" width="15.5703125" style="91" customWidth="1"/>
    <col min="19" max="16384" width="9.42578125" style="91"/>
  </cols>
  <sheetData>
    <row r="1" spans="1:18" s="86" customFormat="1" ht="20.100000000000001">
      <c r="A1" s="84" t="s">
        <v>0</v>
      </c>
      <c r="B1" s="85"/>
      <c r="C1" s="85"/>
    </row>
    <row r="2" spans="1:18" s="86" customFormat="1" ht="20.100000000000001"/>
    <row r="3" spans="1:18" s="86" customFormat="1" ht="20.100000000000001">
      <c r="A3" s="238" t="str">
        <f>"ANNUAL RETURN INFORMATION REQUIREMENTS "&amp;_reportyear</f>
        <v>ANNUAL RETURN INFORMATION REQUIREMENTS 2023-24</v>
      </c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 ht="15.6">
      <c r="A4" s="89"/>
      <c r="B4" s="90"/>
      <c r="C4" s="90"/>
    </row>
    <row r="5" spans="1:18" ht="15.95" thickBot="1">
      <c r="A5" s="89"/>
      <c r="B5" s="90"/>
      <c r="C5" s="90"/>
    </row>
    <row r="6" spans="1:18" ht="20.100000000000001">
      <c r="A6" s="1349" t="s">
        <v>1</v>
      </c>
      <c r="B6" s="1350"/>
      <c r="C6" s="1350"/>
      <c r="D6" s="1350"/>
      <c r="E6" s="1350"/>
      <c r="F6" s="1350"/>
      <c r="G6" s="1351"/>
    </row>
    <row r="7" spans="1:18" ht="20.100000000000001">
      <c r="A7" s="1352" t="s">
        <v>1014</v>
      </c>
      <c r="B7" s="1353"/>
      <c r="C7" s="1353"/>
      <c r="D7" s="1353"/>
      <c r="E7" s="1353"/>
      <c r="F7" s="1353"/>
      <c r="G7" s="1354"/>
    </row>
    <row r="8" spans="1:18" ht="16.350000000000001" customHeight="1">
      <c r="A8" s="89"/>
      <c r="R8" s="385"/>
    </row>
    <row r="9" spans="1:18" ht="16.350000000000001" customHeight="1">
      <c r="A9" s="89"/>
      <c r="B9" s="92">
        <v>1</v>
      </c>
      <c r="C9" s="93">
        <v>2</v>
      </c>
      <c r="D9" s="93">
        <v>3</v>
      </c>
      <c r="E9" s="93">
        <v>4</v>
      </c>
      <c r="F9" s="93">
        <v>5</v>
      </c>
      <c r="G9" s="93">
        <v>6</v>
      </c>
      <c r="H9" s="94">
        <v>7</v>
      </c>
      <c r="J9" s="95">
        <v>8</v>
      </c>
      <c r="K9" s="96">
        <v>9</v>
      </c>
      <c r="M9" s="92">
        <v>10</v>
      </c>
      <c r="N9" s="93">
        <v>11</v>
      </c>
      <c r="O9" s="93">
        <v>12</v>
      </c>
      <c r="P9" s="93">
        <v>13</v>
      </c>
      <c r="Q9" s="94">
        <v>14</v>
      </c>
      <c r="R9" s="94">
        <v>15</v>
      </c>
    </row>
    <row r="10" spans="1:18" ht="12.6" customHeight="1">
      <c r="B10" s="1355" t="s">
        <v>810</v>
      </c>
      <c r="C10" s="1358" t="s">
        <v>811</v>
      </c>
      <c r="D10" s="1358" t="s">
        <v>812</v>
      </c>
      <c r="E10" s="1358" t="s">
        <v>813</v>
      </c>
      <c r="F10" s="1358" t="s">
        <v>814</v>
      </c>
      <c r="G10" s="1358" t="s">
        <v>815</v>
      </c>
      <c r="H10" s="1362" t="s">
        <v>816</v>
      </c>
      <c r="J10" s="1365" t="s">
        <v>817</v>
      </c>
      <c r="K10" s="1368" t="s">
        <v>818</v>
      </c>
      <c r="M10" s="1355" t="s">
        <v>819</v>
      </c>
      <c r="N10" s="1358" t="s">
        <v>820</v>
      </c>
      <c r="O10" s="1358" t="s">
        <v>821</v>
      </c>
      <c r="P10" s="1358" t="s">
        <v>822</v>
      </c>
      <c r="Q10" s="1362" t="s">
        <v>764</v>
      </c>
      <c r="R10" s="1362" t="s">
        <v>777</v>
      </c>
    </row>
    <row r="11" spans="1:18" ht="12.6" customHeight="1">
      <c r="B11" s="1356"/>
      <c r="C11" s="1358"/>
      <c r="D11" s="1358"/>
      <c r="E11" s="1358"/>
      <c r="F11" s="1358"/>
      <c r="G11" s="1358"/>
      <c r="H11" s="1363" t="s">
        <v>750</v>
      </c>
      <c r="J11" s="1366" t="s">
        <v>750</v>
      </c>
      <c r="K11" s="1369" t="s">
        <v>750</v>
      </c>
      <c r="M11" s="1356"/>
      <c r="N11" s="1360"/>
      <c r="O11" s="1360"/>
      <c r="P11" s="1360"/>
      <c r="Q11" s="1363"/>
      <c r="R11" s="1363"/>
    </row>
    <row r="12" spans="1:18" ht="13.35" customHeight="1">
      <c r="B12" s="1357"/>
      <c r="C12" s="1359"/>
      <c r="D12" s="1359"/>
      <c r="E12" s="1359"/>
      <c r="F12" s="1359"/>
      <c r="G12" s="1359"/>
      <c r="H12" s="1364"/>
      <c r="J12" s="1367"/>
      <c r="K12" s="1370"/>
      <c r="M12" s="1357"/>
      <c r="N12" s="1361"/>
      <c r="O12" s="1361"/>
      <c r="P12" s="1361"/>
      <c r="Q12" s="1364"/>
      <c r="R12" s="1364"/>
    </row>
    <row r="13" spans="1:18">
      <c r="B13" s="1125" t="s">
        <v>823</v>
      </c>
      <c r="C13" s="1126">
        <v>43.900222590789241</v>
      </c>
      <c r="D13" s="1127">
        <v>0</v>
      </c>
      <c r="E13" s="1127">
        <v>0</v>
      </c>
      <c r="F13" s="1126">
        <v>35.72103654</v>
      </c>
      <c r="G13" s="1126">
        <v>34.680618000000003</v>
      </c>
      <c r="H13" s="1128">
        <f>+C13+D13-E13-F13</f>
        <v>8.1791860507892409</v>
      </c>
      <c r="J13" s="1129">
        <v>2.8576829232000001</v>
      </c>
      <c r="K13" s="1128">
        <f>+H13-J13</f>
        <v>5.3215031275892404</v>
      </c>
      <c r="M13" s="105">
        <f>+IF(ISERROR(K13/(F13+J13)),0,K13/(F13+J13))</f>
        <v>0.13793882227390644</v>
      </c>
      <c r="N13" s="1126">
        <v>96.461717997572492</v>
      </c>
      <c r="O13" s="108">
        <f>IF(K13&lt;0,N13/$N$263,0)</f>
        <v>0</v>
      </c>
      <c r="P13" s="1130">
        <f>(M13^2*O13)*100</f>
        <v>0</v>
      </c>
      <c r="Q13" s="1131"/>
    </row>
    <row r="14" spans="1:18">
      <c r="B14" s="1132" t="s">
        <v>824</v>
      </c>
      <c r="C14" s="1133">
        <v>12.246834145810695</v>
      </c>
      <c r="D14" s="1134">
        <v>0</v>
      </c>
      <c r="E14" s="1134">
        <v>0</v>
      </c>
      <c r="F14" s="1133">
        <v>10.329233460000001</v>
      </c>
      <c r="G14" s="1133">
        <v>10.028382000000001</v>
      </c>
      <c r="H14" s="1135">
        <f>+C14+D14-E14-F14</f>
        <v>1.9176006858106938</v>
      </c>
      <c r="J14" s="1136">
        <v>0.82633867680000006</v>
      </c>
      <c r="K14" s="1135">
        <f t="shared" ref="K14:K37" si="0">+H14-J14</f>
        <v>1.0912620090106937</v>
      </c>
      <c r="M14" s="106">
        <f>+IF(ISERROR(K14/(F14+J14)),0,K14/(F14+J14))</f>
        <v>9.7822146244820427E-2</v>
      </c>
      <c r="N14" s="1133">
        <v>35.958425916330448</v>
      </c>
      <c r="O14" s="109">
        <f t="shared" ref="O14:O77" si="1">IF(K14&lt;0,N14/$N$263,0)</f>
        <v>0</v>
      </c>
      <c r="P14" s="1137">
        <f t="shared" ref="P14:P37" si="2">(M14^2*O14)*100</f>
        <v>0</v>
      </c>
      <c r="Q14" s="1131"/>
    </row>
    <row r="15" spans="1:18">
      <c r="B15" s="1132" t="s">
        <v>825</v>
      </c>
      <c r="C15" s="1133">
        <v>96.364508325938061</v>
      </c>
      <c r="D15" s="1134">
        <v>0</v>
      </c>
      <c r="E15" s="1134">
        <v>0</v>
      </c>
      <c r="F15" s="1133">
        <v>95.898326130000001</v>
      </c>
      <c r="G15" s="1133">
        <v>93.105170999999999</v>
      </c>
      <c r="H15" s="1135">
        <f t="shared" ref="H15:H37" si="3">+C15+D15-E15-F15</f>
        <v>0.46618219593806032</v>
      </c>
      <c r="J15" s="1136">
        <v>7.6718660904</v>
      </c>
      <c r="K15" s="1135">
        <f t="shared" si="0"/>
        <v>-7.2056838944619397</v>
      </c>
      <c r="M15" s="106">
        <f>+IF(ISERROR(K15/(F15+J15)),0,K15/(F15+J15))</f>
        <v>-6.9572950865322919E-2</v>
      </c>
      <c r="N15" s="1133">
        <v>301.6719100557126</v>
      </c>
      <c r="O15" s="109">
        <f>IF(K15&lt;0,N15/$N$263,0)</f>
        <v>5.6381975946319211E-2</v>
      </c>
      <c r="P15" s="1137">
        <f>(M15^2*O15)*100</f>
        <v>2.729110622067411E-2</v>
      </c>
      <c r="Q15" s="1131"/>
    </row>
    <row r="16" spans="1:18">
      <c r="B16" s="1132" t="s">
        <v>826</v>
      </c>
      <c r="C16" s="1133">
        <v>24.261232180175281</v>
      </c>
      <c r="D16" s="1134">
        <v>0</v>
      </c>
      <c r="E16" s="1134">
        <v>0</v>
      </c>
      <c r="F16" s="1133">
        <v>17.851696320000002</v>
      </c>
      <c r="G16" s="1133">
        <v>17.331744</v>
      </c>
      <c r="H16" s="1135">
        <f t="shared" si="3"/>
        <v>6.4095358601752785</v>
      </c>
      <c r="J16" s="1136">
        <v>1.4281357056000001</v>
      </c>
      <c r="K16" s="1135">
        <f t="shared" si="0"/>
        <v>4.9814001545752786</v>
      </c>
      <c r="M16" s="106">
        <f t="shared" ref="M16:M37" si="4">+IF(ISERROR(K16/(F16+J16)),0,K16/(F16+J16))</f>
        <v>0.25837362835738992</v>
      </c>
      <c r="N16" s="1133">
        <v>56.942466876744888</v>
      </c>
      <c r="O16" s="109">
        <f>IF(K16&lt;0,N16/$N$263,0)</f>
        <v>0</v>
      </c>
      <c r="P16" s="1137">
        <f>(M16^2*O16)*100</f>
        <v>0</v>
      </c>
      <c r="Q16" s="1131"/>
    </row>
    <row r="17" spans="2:17">
      <c r="B17" s="1132" t="s">
        <v>827</v>
      </c>
      <c r="C17" s="1133">
        <v>2.9212076943591834</v>
      </c>
      <c r="D17" s="1134">
        <v>0</v>
      </c>
      <c r="E17" s="1134">
        <v>0</v>
      </c>
      <c r="F17" s="1133">
        <v>4.9073361200000001</v>
      </c>
      <c r="G17" s="1133">
        <v>4.7644039999999999</v>
      </c>
      <c r="H17" s="1135">
        <f t="shared" si="3"/>
        <v>-1.9861284256408167</v>
      </c>
      <c r="J17" s="1136">
        <v>0.47504368734702213</v>
      </c>
      <c r="K17" s="1135">
        <f t="shared" si="0"/>
        <v>-2.461172112987839</v>
      </c>
      <c r="M17" s="106">
        <f t="shared" si="4"/>
        <v>-0.45726466750419681</v>
      </c>
      <c r="N17" s="1133">
        <v>8.2390723337071474</v>
      </c>
      <c r="O17" s="109">
        <f t="shared" si="1"/>
        <v>1.5398688530638149E-3</v>
      </c>
      <c r="P17" s="1137">
        <f t="shared" si="2"/>
        <v>3.2197268162658867E-2</v>
      </c>
      <c r="Q17" s="1131"/>
    </row>
    <row r="18" spans="2:17">
      <c r="B18" s="1132" t="s">
        <v>828</v>
      </c>
      <c r="C18" s="1133">
        <v>0.29682845076530612</v>
      </c>
      <c r="D18" s="1134">
        <v>0</v>
      </c>
      <c r="E18" s="1134">
        <v>0</v>
      </c>
      <c r="F18" s="1133">
        <v>0.1236</v>
      </c>
      <c r="G18" s="1133">
        <v>0.12</v>
      </c>
      <c r="H18" s="1135">
        <f t="shared" si="3"/>
        <v>0.17322845076530613</v>
      </c>
      <c r="J18" s="1136">
        <v>9.888000000000001E-3</v>
      </c>
      <c r="K18" s="1135">
        <f t="shared" si="0"/>
        <v>0.16334045076530612</v>
      </c>
      <c r="M18" s="106">
        <f t="shared" si="4"/>
        <v>1.2236339653400015</v>
      </c>
      <c r="N18" s="1133">
        <v>0.34592844375176973</v>
      </c>
      <c r="O18" s="109">
        <f t="shared" si="1"/>
        <v>0</v>
      </c>
      <c r="P18" s="1137">
        <f t="shared" si="2"/>
        <v>0</v>
      </c>
      <c r="Q18" s="1131"/>
    </row>
    <row r="19" spans="2:17">
      <c r="B19" s="1132" t="s">
        <v>829</v>
      </c>
      <c r="C19" s="1133">
        <v>0.17909999999999998</v>
      </c>
      <c r="D19" s="1134">
        <v>0</v>
      </c>
      <c r="E19" s="1134">
        <v>0</v>
      </c>
      <c r="F19" s="1133">
        <v>0.18152205000000002</v>
      </c>
      <c r="G19" s="1133">
        <v>0.176235</v>
      </c>
      <c r="H19" s="1135">
        <f t="shared" si="3"/>
        <v>-2.4220500000000367E-3</v>
      </c>
      <c r="J19" s="1136">
        <v>1.6377079571353533E-2</v>
      </c>
      <c r="K19" s="1135">
        <f t="shared" si="0"/>
        <v>-1.879912957135357E-2</v>
      </c>
      <c r="M19" s="106">
        <f t="shared" si="4"/>
        <v>-9.4993492958115544E-2</v>
      </c>
      <c r="N19" s="1133">
        <v>0.39614386300605892</v>
      </c>
      <c r="O19" s="109">
        <f t="shared" si="1"/>
        <v>7.4038626105972892E-5</v>
      </c>
      <c r="P19" s="1137">
        <f t="shared" si="2"/>
        <v>6.6810706697750224E-5</v>
      </c>
      <c r="Q19" s="1131"/>
    </row>
    <row r="20" spans="2:17">
      <c r="B20" s="1132" t="s">
        <v>830</v>
      </c>
      <c r="C20" s="1133">
        <v>23.054160916368289</v>
      </c>
      <c r="D20" s="1134">
        <v>0</v>
      </c>
      <c r="E20" s="1134">
        <v>0</v>
      </c>
      <c r="F20" s="1133">
        <v>25.250075079999998</v>
      </c>
      <c r="G20" s="1133">
        <v>24.514635999999999</v>
      </c>
      <c r="H20" s="1135">
        <f t="shared" si="3"/>
        <v>-2.1959141636317092</v>
      </c>
      <c r="J20" s="1136">
        <v>2.0200060064000001</v>
      </c>
      <c r="K20" s="1135">
        <f t="shared" si="0"/>
        <v>-4.2159201700317093</v>
      </c>
      <c r="M20" s="106">
        <f t="shared" si="4"/>
        <v>-0.15459873979378275</v>
      </c>
      <c r="N20" s="1133">
        <v>68.004967021720987</v>
      </c>
      <c r="O20" s="109">
        <f t="shared" si="1"/>
        <v>1.2710014711481742E-2</v>
      </c>
      <c r="P20" s="1137">
        <f t="shared" si="2"/>
        <v>3.0377914271119178E-2</v>
      </c>
      <c r="Q20" s="1131"/>
    </row>
    <row r="21" spans="2:17">
      <c r="B21" s="1132" t="s">
        <v>831</v>
      </c>
      <c r="C21" s="1133">
        <v>108.19242300000002</v>
      </c>
      <c r="D21" s="1134">
        <v>0</v>
      </c>
      <c r="E21" s="1134">
        <v>0</v>
      </c>
      <c r="F21" s="1133">
        <v>98.798233449999998</v>
      </c>
      <c r="G21" s="1133">
        <v>95.920614999999998</v>
      </c>
      <c r="H21" s="1135">
        <f t="shared" si="3"/>
        <v>9.3941895500000214</v>
      </c>
      <c r="J21" s="1136">
        <v>7.9038586759999996</v>
      </c>
      <c r="K21" s="1135">
        <f t="shared" si="0"/>
        <v>1.4903308740000218</v>
      </c>
      <c r="M21" s="106">
        <f t="shared" si="4"/>
        <v>1.3967213241143885E-2</v>
      </c>
      <c r="N21" s="1133">
        <v>342.2293845436605</v>
      </c>
      <c r="O21" s="109">
        <f t="shared" si="1"/>
        <v>0</v>
      </c>
      <c r="P21" s="1137">
        <f t="shared" si="2"/>
        <v>0</v>
      </c>
      <c r="Q21" s="1131"/>
    </row>
    <row r="22" spans="2:17">
      <c r="B22" s="1132" t="s">
        <v>832</v>
      </c>
      <c r="C22" s="1133">
        <v>1.746</v>
      </c>
      <c r="D22" s="1134">
        <v>0</v>
      </c>
      <c r="E22" s="1134">
        <v>0</v>
      </c>
      <c r="F22" s="1133">
        <v>1.0185433100000001</v>
      </c>
      <c r="G22" s="1133">
        <v>0.98887700000000001</v>
      </c>
      <c r="H22" s="1135">
        <f t="shared" si="3"/>
        <v>0.72745668999999991</v>
      </c>
      <c r="J22" s="1136">
        <v>8.1483464800000002E-2</v>
      </c>
      <c r="K22" s="1135">
        <f t="shared" si="0"/>
        <v>0.64597322519999989</v>
      </c>
      <c r="M22" s="106">
        <f t="shared" si="4"/>
        <v>0.58723409284055528</v>
      </c>
      <c r="N22" s="1133">
        <v>3.6106713337824581</v>
      </c>
      <c r="O22" s="109">
        <f t="shared" si="1"/>
        <v>0</v>
      </c>
      <c r="P22" s="1137">
        <f t="shared" si="2"/>
        <v>0</v>
      </c>
      <c r="Q22" s="1131"/>
    </row>
    <row r="23" spans="2:17">
      <c r="B23" s="1132" t="s">
        <v>833</v>
      </c>
      <c r="C23" s="1133">
        <v>0.29311182861800011</v>
      </c>
      <c r="D23" s="1134">
        <v>0</v>
      </c>
      <c r="E23" s="1134">
        <v>0</v>
      </c>
      <c r="F23" s="1133">
        <v>1.69123219</v>
      </c>
      <c r="G23" s="1133">
        <v>1.6419729999999999</v>
      </c>
      <c r="H23" s="1135">
        <f t="shared" si="3"/>
        <v>-1.3981203613819999</v>
      </c>
      <c r="J23" s="1136">
        <v>0.16240275333866869</v>
      </c>
      <c r="K23" s="1135">
        <f t="shared" si="0"/>
        <v>-1.5605231147206686</v>
      </c>
      <c r="M23" s="106">
        <f t="shared" si="4"/>
        <v>-0.84187186928508007</v>
      </c>
      <c r="N23" s="1133">
        <v>5.6343877850728976</v>
      </c>
      <c r="O23" s="109">
        <f t="shared" si="1"/>
        <v>1.0530576629144766E-3</v>
      </c>
      <c r="P23" s="1137">
        <f t="shared" si="2"/>
        <v>7.4635276973050946E-2</v>
      </c>
      <c r="Q23" s="1131"/>
    </row>
    <row r="24" spans="2:17">
      <c r="B24" s="1132" t="s">
        <v>834</v>
      </c>
      <c r="C24" s="1133">
        <v>0.43651086246829274</v>
      </c>
      <c r="D24" s="1134">
        <v>0</v>
      </c>
      <c r="E24" s="1134">
        <v>0</v>
      </c>
      <c r="F24" s="1133">
        <v>0.34949136000000003</v>
      </c>
      <c r="G24" s="1133">
        <v>0.339312</v>
      </c>
      <c r="H24" s="1135">
        <f t="shared" si="3"/>
        <v>8.7019502468292709E-2</v>
      </c>
      <c r="J24" s="1136">
        <v>2.7959308800000002E-2</v>
      </c>
      <c r="K24" s="1135">
        <f t="shared" si="0"/>
        <v>5.906019366829271E-2</v>
      </c>
      <c r="M24" s="106">
        <f t="shared" si="4"/>
        <v>0.15647129161555934</v>
      </c>
      <c r="N24" s="1133">
        <v>0.70578080898727436</v>
      </c>
      <c r="O24" s="109">
        <f t="shared" si="1"/>
        <v>0</v>
      </c>
      <c r="P24" s="1137">
        <f t="shared" si="2"/>
        <v>0</v>
      </c>
      <c r="Q24" s="1131"/>
    </row>
    <row r="25" spans="2:17">
      <c r="B25" s="1132" t="s">
        <v>835</v>
      </c>
      <c r="C25" s="1133">
        <v>2</v>
      </c>
      <c r="D25" s="1134">
        <v>0</v>
      </c>
      <c r="E25" s="1134">
        <v>0</v>
      </c>
      <c r="F25" s="1133">
        <v>1.3603869200000001</v>
      </c>
      <c r="G25" s="1133">
        <v>1.320764</v>
      </c>
      <c r="H25" s="1135">
        <f t="shared" si="3"/>
        <v>0.63961307999999995</v>
      </c>
      <c r="J25" s="1136">
        <v>0.1088309536</v>
      </c>
      <c r="K25" s="1135">
        <f t="shared" si="0"/>
        <v>0.53078212639999989</v>
      </c>
      <c r="M25" s="106">
        <f t="shared" si="4"/>
        <v>0.36126849253435317</v>
      </c>
      <c r="N25" s="1133">
        <v>5.4070630615047843</v>
      </c>
      <c r="O25" s="109">
        <f t="shared" si="1"/>
        <v>0</v>
      </c>
      <c r="P25" s="1137">
        <f t="shared" si="2"/>
        <v>0</v>
      </c>
      <c r="Q25" s="1131"/>
    </row>
    <row r="26" spans="2:17">
      <c r="B26" s="1132" t="s">
        <v>836</v>
      </c>
      <c r="C26" s="1133">
        <v>3.5820000000000005E-2</v>
      </c>
      <c r="D26" s="1134">
        <v>0</v>
      </c>
      <c r="E26" s="1134">
        <v>0</v>
      </c>
      <c r="F26" s="1133">
        <v>6.7526800000000005E-3</v>
      </c>
      <c r="G26" s="1133">
        <v>6.5560000000000002E-3</v>
      </c>
      <c r="H26" s="1135">
        <f t="shared" si="3"/>
        <v>2.9067320000000004E-2</v>
      </c>
      <c r="J26" s="1136">
        <v>5.4021440000000004E-4</v>
      </c>
      <c r="K26" s="1135">
        <f t="shared" si="0"/>
        <v>2.8527105600000005E-2</v>
      </c>
      <c r="M26" s="106">
        <f t="shared" si="4"/>
        <v>3.9116301478326636</v>
      </c>
      <c r="N26" s="1133">
        <v>4.5187185941258416E-2</v>
      </c>
      <c r="O26" s="109">
        <f t="shared" si="1"/>
        <v>0</v>
      </c>
      <c r="P26" s="1137">
        <f t="shared" si="2"/>
        <v>0</v>
      </c>
      <c r="Q26" s="1131"/>
    </row>
    <row r="27" spans="2:17">
      <c r="B27" s="1132" t="s">
        <v>837</v>
      </c>
      <c r="C27" s="1133">
        <v>0.24875</v>
      </c>
      <c r="D27" s="1134">
        <v>0</v>
      </c>
      <c r="E27" s="1134">
        <v>0</v>
      </c>
      <c r="F27" s="1133">
        <v>0.13394738</v>
      </c>
      <c r="G27" s="1133">
        <v>0.13004599999999999</v>
      </c>
      <c r="H27" s="1135">
        <f t="shared" si="3"/>
        <v>0.11480261999999999</v>
      </c>
      <c r="J27" s="1136">
        <v>1.0715790400000001E-2</v>
      </c>
      <c r="K27" s="1135">
        <f t="shared" si="0"/>
        <v>0.10408682959999999</v>
      </c>
      <c r="M27" s="106">
        <f t="shared" si="4"/>
        <v>0.71951160279562054</v>
      </c>
      <c r="N27" s="1133">
        <v>0.44756831789436913</v>
      </c>
      <c r="O27" s="109">
        <f t="shared" si="1"/>
        <v>0</v>
      </c>
      <c r="P27" s="1137">
        <f t="shared" si="2"/>
        <v>0</v>
      </c>
      <c r="Q27" s="1131"/>
    </row>
    <row r="28" spans="2:17">
      <c r="B28" s="1132" t="s">
        <v>838</v>
      </c>
      <c r="C28" s="1133">
        <v>9.4524999999999998E-2</v>
      </c>
      <c r="D28" s="1134">
        <v>0</v>
      </c>
      <c r="E28" s="1134">
        <v>0</v>
      </c>
      <c r="F28" s="1133">
        <v>9.5644770000000004E-2</v>
      </c>
      <c r="G28" s="1133">
        <v>9.2858999999999997E-2</v>
      </c>
      <c r="H28" s="1135">
        <f t="shared" si="3"/>
        <v>-1.119770000000006E-3</v>
      </c>
      <c r="J28" s="1136">
        <v>7.6515816000000004E-3</v>
      </c>
      <c r="K28" s="1135">
        <f t="shared" si="0"/>
        <v>-8.7713516000000064E-3</v>
      </c>
      <c r="M28" s="106">
        <f t="shared" si="4"/>
        <v>-8.4914437578258145E-2</v>
      </c>
      <c r="N28" s="1133">
        <v>0.15068903590886634</v>
      </c>
      <c r="O28" s="109">
        <f t="shared" si="1"/>
        <v>2.8163529035297555E-5</v>
      </c>
      <c r="P28" s="1137">
        <f t="shared" si="2"/>
        <v>2.0307204770585383E-5</v>
      </c>
      <c r="Q28" s="1131"/>
    </row>
    <row r="29" spans="2:17">
      <c r="B29" s="1132" t="s">
        <v>839</v>
      </c>
      <c r="C29" s="1133">
        <v>0.14924999999999999</v>
      </c>
      <c r="D29" s="1134">
        <v>0</v>
      </c>
      <c r="E29" s="1134">
        <v>0</v>
      </c>
      <c r="F29" s="1133">
        <v>0.10753715</v>
      </c>
      <c r="G29" s="1133">
        <v>0.104405</v>
      </c>
      <c r="H29" s="1135">
        <f t="shared" si="3"/>
        <v>4.1712849999999996E-2</v>
      </c>
      <c r="J29" s="1136">
        <v>1.2968059166299169E-2</v>
      </c>
      <c r="K29" s="1135">
        <f t="shared" si="0"/>
        <v>2.8744790833700826E-2</v>
      </c>
      <c r="M29" s="106">
        <f t="shared" si="4"/>
        <v>0.2385356702217955</v>
      </c>
      <c r="N29" s="1133">
        <v>0.42858310213041206</v>
      </c>
      <c r="O29" s="109">
        <f t="shared" si="1"/>
        <v>0</v>
      </c>
      <c r="P29" s="1137">
        <f t="shared" si="2"/>
        <v>0</v>
      </c>
      <c r="Q29" s="1131"/>
    </row>
    <row r="30" spans="2:17">
      <c r="B30" s="1132" t="s">
        <v>840</v>
      </c>
      <c r="C30" s="1133">
        <v>20.233965832327712</v>
      </c>
      <c r="D30" s="1134">
        <v>0</v>
      </c>
      <c r="E30" s="1134">
        <v>0</v>
      </c>
      <c r="F30" s="1133">
        <v>26.478241930000003</v>
      </c>
      <c r="G30" s="1133">
        <v>25.707031000000001</v>
      </c>
      <c r="H30" s="1135">
        <f t="shared" si="3"/>
        <v>-6.2442760976722909</v>
      </c>
      <c r="J30" s="1136">
        <v>2.206636344587924</v>
      </c>
      <c r="K30" s="1135">
        <f t="shared" si="0"/>
        <v>-8.4509124422602149</v>
      </c>
      <c r="M30" s="106">
        <f t="shared" si="4"/>
        <v>-0.29461210751404582</v>
      </c>
      <c r="N30" s="1133">
        <v>81.060021016692119</v>
      </c>
      <c r="O30" s="109">
        <f t="shared" si="1"/>
        <v>1.5149982490339322E-2</v>
      </c>
      <c r="P30" s="1137">
        <f t="shared" si="2"/>
        <v>0.13149623327184415</v>
      </c>
      <c r="Q30" s="1131"/>
    </row>
    <row r="31" spans="2:17">
      <c r="B31" s="1132" t="s">
        <v>841</v>
      </c>
      <c r="C31" s="1133">
        <v>3.88</v>
      </c>
      <c r="D31" s="1134">
        <v>0</v>
      </c>
      <c r="E31" s="1134">
        <v>0</v>
      </c>
      <c r="F31" s="1133">
        <v>3.0520578900000004</v>
      </c>
      <c r="G31" s="1133">
        <v>2.9631630000000002</v>
      </c>
      <c r="H31" s="1135">
        <f t="shared" si="3"/>
        <v>0.82794210999999951</v>
      </c>
      <c r="J31" s="1136">
        <v>0.24416463120000004</v>
      </c>
      <c r="K31" s="1135">
        <f t="shared" si="0"/>
        <v>0.58377747879999942</v>
      </c>
      <c r="M31" s="106">
        <f t="shared" si="4"/>
        <v>0.17710499671832633</v>
      </c>
      <c r="N31" s="1133">
        <v>5.936059211389713</v>
      </c>
      <c r="O31" s="109">
        <f t="shared" si="1"/>
        <v>0</v>
      </c>
      <c r="P31" s="1137">
        <f t="shared" si="2"/>
        <v>0</v>
      </c>
      <c r="Q31" s="1131"/>
    </row>
    <row r="32" spans="2:17">
      <c r="B32" s="1132" t="s">
        <v>842</v>
      </c>
      <c r="C32" s="1133">
        <v>0.5441746007382352</v>
      </c>
      <c r="D32" s="1134">
        <v>0</v>
      </c>
      <c r="E32" s="1134">
        <v>0</v>
      </c>
      <c r="F32" s="1133">
        <v>0.30049117000000003</v>
      </c>
      <c r="G32" s="1133">
        <v>0.29173900000000003</v>
      </c>
      <c r="H32" s="1135">
        <f t="shared" si="3"/>
        <v>0.24368343073823517</v>
      </c>
      <c r="J32" s="1136">
        <v>2.4039293600000004E-2</v>
      </c>
      <c r="K32" s="1135">
        <f t="shared" si="0"/>
        <v>0.21964413713823516</v>
      </c>
      <c r="M32" s="106">
        <f t="shared" si="4"/>
        <v>0.67680591430996595</v>
      </c>
      <c r="N32" s="1133">
        <v>0.42459157765141536</v>
      </c>
      <c r="O32" s="109">
        <f t="shared" si="1"/>
        <v>0</v>
      </c>
      <c r="P32" s="1137">
        <f t="shared" si="2"/>
        <v>0</v>
      </c>
      <c r="Q32" s="1131"/>
    </row>
    <row r="33" spans="2:17">
      <c r="B33" s="1132" t="s">
        <v>843</v>
      </c>
      <c r="C33" s="1133">
        <v>1.1432421796608698</v>
      </c>
      <c r="D33" s="1134">
        <v>0</v>
      </c>
      <c r="E33" s="1134">
        <v>0</v>
      </c>
      <c r="F33" s="1133">
        <v>1.3533983700000001</v>
      </c>
      <c r="G33" s="1133">
        <v>1.313979</v>
      </c>
      <c r="H33" s="1135">
        <f t="shared" si="3"/>
        <v>-0.21015619033913024</v>
      </c>
      <c r="J33" s="1136">
        <v>0.11909207996619746</v>
      </c>
      <c r="K33" s="1135">
        <f t="shared" si="0"/>
        <v>-0.32924827030532772</v>
      </c>
      <c r="M33" s="106">
        <f t="shared" si="4"/>
        <v>-0.22359959639323021</v>
      </c>
      <c r="N33" s="1133">
        <v>2.7056609739042075</v>
      </c>
      <c r="O33" s="109">
        <f t="shared" si="1"/>
        <v>5.0568351531764656E-4</v>
      </c>
      <c r="P33" s="1137">
        <f t="shared" si="2"/>
        <v>2.528254721576998E-3</v>
      </c>
      <c r="Q33" s="1131"/>
    </row>
    <row r="34" spans="2:17">
      <c r="B34" s="1132" t="s">
        <v>844</v>
      </c>
      <c r="C34" s="1133">
        <v>1.04575</v>
      </c>
      <c r="D34" s="1134">
        <v>0</v>
      </c>
      <c r="E34" s="1134">
        <v>0</v>
      </c>
      <c r="F34" s="1133">
        <v>0.85414192</v>
      </c>
      <c r="G34" s="1133">
        <v>0.829264</v>
      </c>
      <c r="H34" s="1135">
        <f t="shared" si="3"/>
        <v>0.19160807999999996</v>
      </c>
      <c r="J34" s="1136">
        <v>0.11776352722095296</v>
      </c>
      <c r="K34" s="1135">
        <f t="shared" si="0"/>
        <v>7.3844552779047001E-2</v>
      </c>
      <c r="M34" s="106">
        <f t="shared" si="4"/>
        <v>7.5979153106093433E-2</v>
      </c>
      <c r="N34" s="1133">
        <v>1.5743388413955453</v>
      </c>
      <c r="O34" s="109">
        <f t="shared" si="1"/>
        <v>0</v>
      </c>
      <c r="P34" s="1137">
        <f t="shared" si="2"/>
        <v>0</v>
      </c>
      <c r="Q34" s="1131"/>
    </row>
    <row r="35" spans="2:17">
      <c r="B35" s="1132" t="s">
        <v>845</v>
      </c>
      <c r="C35" s="1133">
        <v>0.97</v>
      </c>
      <c r="D35" s="1134">
        <v>0</v>
      </c>
      <c r="E35" s="1134">
        <v>0</v>
      </c>
      <c r="F35" s="1133">
        <v>0.63065561000000003</v>
      </c>
      <c r="G35" s="1133">
        <v>0.61228700000000003</v>
      </c>
      <c r="H35" s="1135">
        <f t="shared" si="3"/>
        <v>0.33934438999999994</v>
      </c>
      <c r="J35" s="1136">
        <v>5.0452448800000001E-2</v>
      </c>
      <c r="K35" s="1135">
        <f t="shared" si="0"/>
        <v>0.28889194119999995</v>
      </c>
      <c r="M35" s="106">
        <f t="shared" si="4"/>
        <v>0.42414993842383814</v>
      </c>
      <c r="N35" s="1133">
        <v>1.017953866084774</v>
      </c>
      <c r="O35" s="109">
        <f t="shared" si="1"/>
        <v>0</v>
      </c>
      <c r="P35" s="1137">
        <f t="shared" si="2"/>
        <v>0</v>
      </c>
      <c r="Q35" s="1131"/>
    </row>
    <row r="36" spans="2:17">
      <c r="B36" s="1132" t="s">
        <v>846</v>
      </c>
      <c r="C36" s="1133">
        <v>6.984</v>
      </c>
      <c r="D36" s="1134">
        <v>0</v>
      </c>
      <c r="E36" s="1134">
        <v>0</v>
      </c>
      <c r="F36" s="1133">
        <v>6.5609352000000003</v>
      </c>
      <c r="G36" s="1133">
        <v>6.3698399999999999</v>
      </c>
      <c r="H36" s="1135">
        <f t="shared" si="3"/>
        <v>0.42306479999999969</v>
      </c>
      <c r="J36" s="1136">
        <v>0.52487481600000008</v>
      </c>
      <c r="K36" s="1135">
        <f t="shared" si="0"/>
        <v>-0.10181001600000039</v>
      </c>
      <c r="M36" s="106">
        <f t="shared" si="4"/>
        <v>-1.4368154913850345E-2</v>
      </c>
      <c r="N36" s="1133">
        <v>12.623901208046995</v>
      </c>
      <c r="O36" s="109">
        <f t="shared" si="1"/>
        <v>2.3593860433653506E-3</v>
      </c>
      <c r="P36" s="1137">
        <f t="shared" si="2"/>
        <v>4.8708079889590354E-5</v>
      </c>
      <c r="Q36" s="1131"/>
    </row>
    <row r="37" spans="2:17">
      <c r="B37" s="1138" t="s">
        <v>847</v>
      </c>
      <c r="C37" s="1139">
        <v>0.15920000000000001</v>
      </c>
      <c r="D37" s="1140">
        <v>0</v>
      </c>
      <c r="E37" s="1140">
        <v>0</v>
      </c>
      <c r="F37" s="1139">
        <v>8.3780199999999999E-2</v>
      </c>
      <c r="G37" s="1139">
        <v>8.1339999999999996E-2</v>
      </c>
      <c r="H37" s="1141">
        <f t="shared" si="3"/>
        <v>7.5419800000000009E-2</v>
      </c>
      <c r="J37" s="1142">
        <v>6.7024160000000001E-3</v>
      </c>
      <c r="K37" s="1141">
        <f t="shared" si="0"/>
        <v>6.8717384000000006E-2</v>
      </c>
      <c r="M37" s="111">
        <f t="shared" si="4"/>
        <v>0.75945399279790948</v>
      </c>
      <c r="N37" s="1139">
        <v>7.2837885705891336E-2</v>
      </c>
      <c r="O37" s="112">
        <f t="shared" si="1"/>
        <v>0</v>
      </c>
      <c r="P37" s="1143">
        <f t="shared" si="2"/>
        <v>0</v>
      </c>
      <c r="Q37" s="1131"/>
    </row>
    <row r="38" spans="2:17">
      <c r="B38" s="1132" t="s">
        <v>848</v>
      </c>
      <c r="C38" s="1133">
        <v>1.9900000000000001E-2</v>
      </c>
      <c r="D38" s="1134">
        <v>0</v>
      </c>
      <c r="E38" s="1134">
        <v>0</v>
      </c>
      <c r="F38" s="1133">
        <v>1.0539990000000001E-2</v>
      </c>
      <c r="G38" s="1133">
        <v>1.0233000000000001E-2</v>
      </c>
      <c r="H38" s="1135">
        <f>+C38+D38-E38-F38</f>
        <v>9.3600100000000002E-3</v>
      </c>
      <c r="J38" s="1136">
        <v>8.4319920000000006E-4</v>
      </c>
      <c r="K38" s="1135">
        <f>+H38-J38</f>
        <v>8.5168107999999999E-3</v>
      </c>
      <c r="M38" s="106">
        <f>+IF(ISERROR(K38/(F38+J38)),0,K38/(F38+J38))</f>
        <v>0.74819197417890582</v>
      </c>
      <c r="N38" s="1133">
        <v>5.6849081526549335E-2</v>
      </c>
      <c r="O38" s="109">
        <f t="shared" si="1"/>
        <v>0</v>
      </c>
      <c r="P38" s="1137">
        <f>(M38^2*O38)*100</f>
        <v>0</v>
      </c>
      <c r="Q38" s="1131"/>
    </row>
    <row r="39" spans="2:17">
      <c r="B39" s="1132" t="s">
        <v>849</v>
      </c>
      <c r="C39" s="1133">
        <v>16.975000000000001</v>
      </c>
      <c r="D39" s="1134">
        <v>0</v>
      </c>
      <c r="E39" s="1134">
        <v>0</v>
      </c>
      <c r="F39" s="1133">
        <v>13.94905516</v>
      </c>
      <c r="G39" s="1133">
        <v>13.542771999999999</v>
      </c>
      <c r="H39" s="1135">
        <f t="shared" ref="H39:H62" si="5">+C39+D39-E39-F39</f>
        <v>3.0259448400000011</v>
      </c>
      <c r="J39" s="1136">
        <v>1.1159244128000001</v>
      </c>
      <c r="K39" s="1135">
        <f t="shared" ref="K39:K62" si="6">+H39-J39</f>
        <v>1.910020427200001</v>
      </c>
      <c r="M39" s="106">
        <f>+IF(ISERROR(K39/(F39+J39)),0,K39/(F39+J39))</f>
        <v>0.12678546412691893</v>
      </c>
      <c r="N39" s="1133">
        <v>26.697579041032569</v>
      </c>
      <c r="O39" s="109">
        <f t="shared" si="1"/>
        <v>0</v>
      </c>
      <c r="P39" s="1137">
        <f t="shared" ref="P39:P62" si="7">(M39^2*O39)*100</f>
        <v>0</v>
      </c>
      <c r="Q39" s="1131"/>
    </row>
    <row r="40" spans="2:17">
      <c r="B40" s="1132" t="s">
        <v>850</v>
      </c>
      <c r="C40" s="1133">
        <v>0.24875</v>
      </c>
      <c r="D40" s="1134">
        <v>0</v>
      </c>
      <c r="E40" s="1134">
        <v>0</v>
      </c>
      <c r="F40" s="1133">
        <v>0.16761190000000001</v>
      </c>
      <c r="G40" s="1133">
        <v>0.16273000000000001</v>
      </c>
      <c r="H40" s="1135">
        <f t="shared" si="5"/>
        <v>8.1138099999999991E-2</v>
      </c>
      <c r="J40" s="1136">
        <v>1.3408952000000002E-2</v>
      </c>
      <c r="K40" s="1135">
        <f t="shared" si="6"/>
        <v>6.7729147999999989E-2</v>
      </c>
      <c r="M40" s="106">
        <f t="shared" ref="M40:M62" si="8">+IF(ISERROR(K40/(F40+J40)),0,K40/(F40+J40))</f>
        <v>0.37415108398672209</v>
      </c>
      <c r="N40" s="1133">
        <v>0.31622301599143071</v>
      </c>
      <c r="O40" s="109">
        <f t="shared" si="1"/>
        <v>0</v>
      </c>
      <c r="P40" s="1137">
        <f t="shared" si="7"/>
        <v>0</v>
      </c>
      <c r="Q40" s="1131"/>
    </row>
    <row r="41" spans="2:17">
      <c r="B41" s="1132" t="s">
        <v>851</v>
      </c>
      <c r="C41" s="1133">
        <v>0.34825</v>
      </c>
      <c r="D41" s="1134">
        <v>0</v>
      </c>
      <c r="E41" s="1134">
        <v>0</v>
      </c>
      <c r="F41" s="1133">
        <v>0.31482052999999999</v>
      </c>
      <c r="G41" s="1133">
        <v>0.30565100000000001</v>
      </c>
      <c r="H41" s="1135">
        <f t="shared" si="5"/>
        <v>3.3429470000000017E-2</v>
      </c>
      <c r="J41" s="1136">
        <v>2.51856424E-2</v>
      </c>
      <c r="K41" s="1135">
        <f t="shared" si="6"/>
        <v>8.2438276000000171E-3</v>
      </c>
      <c r="M41" s="106">
        <f t="shared" si="8"/>
        <v>2.4246111597943501E-2</v>
      </c>
      <c r="N41" s="1133">
        <v>0.44768651702157602</v>
      </c>
      <c r="O41" s="109">
        <f t="shared" si="1"/>
        <v>0</v>
      </c>
      <c r="P41" s="1137">
        <f t="shared" si="7"/>
        <v>0</v>
      </c>
      <c r="Q41" s="1131"/>
    </row>
    <row r="42" spans="2:17">
      <c r="B42" s="1132" t="s">
        <v>852</v>
      </c>
      <c r="C42" s="1133">
        <v>0.12934999999999999</v>
      </c>
      <c r="D42" s="1134">
        <v>0</v>
      </c>
      <c r="E42" s="1134">
        <v>0</v>
      </c>
      <c r="F42" s="1133">
        <v>9.7818070000000007E-2</v>
      </c>
      <c r="G42" s="1133">
        <v>9.4968999999999998E-2</v>
      </c>
      <c r="H42" s="1135">
        <f t="shared" si="5"/>
        <v>3.1531929999999986E-2</v>
      </c>
      <c r="J42" s="1136">
        <v>7.8254456000000014E-3</v>
      </c>
      <c r="K42" s="1135">
        <f t="shared" si="6"/>
        <v>2.3706484399999984E-2</v>
      </c>
      <c r="M42" s="106">
        <f t="shared" si="8"/>
        <v>0.22440075252474825</v>
      </c>
      <c r="N42" s="1133">
        <v>0.17410031217505736</v>
      </c>
      <c r="O42" s="109">
        <f t="shared" si="1"/>
        <v>0</v>
      </c>
      <c r="P42" s="1137">
        <f t="shared" si="7"/>
        <v>0</v>
      </c>
      <c r="Q42" s="1131"/>
    </row>
    <row r="43" spans="2:17">
      <c r="B43" s="1132" t="s">
        <v>853</v>
      </c>
      <c r="C43" s="1133">
        <v>2.3880000000000002E-2</v>
      </c>
      <c r="D43" s="1134">
        <v>0</v>
      </c>
      <c r="E43" s="1134">
        <v>0</v>
      </c>
      <c r="F43" s="1133">
        <v>1.1125029999999999E-2</v>
      </c>
      <c r="G43" s="1133">
        <v>1.0801E-2</v>
      </c>
      <c r="H43" s="1135">
        <f t="shared" si="5"/>
        <v>1.2754970000000003E-2</v>
      </c>
      <c r="J43" s="1136">
        <v>8.9000240000000001E-4</v>
      </c>
      <c r="K43" s="1135">
        <f t="shared" si="6"/>
        <v>1.1864967600000003E-2</v>
      </c>
      <c r="M43" s="106">
        <f t="shared" si="8"/>
        <v>0.98751024591494274</v>
      </c>
      <c r="N43" s="1133">
        <v>2.4871473167865331E-2</v>
      </c>
      <c r="O43" s="109">
        <f t="shared" si="1"/>
        <v>0</v>
      </c>
      <c r="P43" s="1137">
        <f t="shared" si="7"/>
        <v>0</v>
      </c>
      <c r="Q43" s="1131"/>
    </row>
    <row r="44" spans="2:17">
      <c r="B44" s="1132" t="s">
        <v>854</v>
      </c>
      <c r="C44" s="1133">
        <v>0.39749999999999996</v>
      </c>
      <c r="D44" s="1134">
        <v>0</v>
      </c>
      <c r="E44" s="1134">
        <v>0</v>
      </c>
      <c r="F44" s="1133">
        <v>0.38299314000000001</v>
      </c>
      <c r="G44" s="1133">
        <v>0.371838</v>
      </c>
      <c r="H44" s="1135">
        <f t="shared" si="5"/>
        <v>1.4506859999999955E-2</v>
      </c>
      <c r="J44" s="1136">
        <v>3.0639451200000001E-2</v>
      </c>
      <c r="K44" s="1135">
        <f t="shared" si="6"/>
        <v>-1.6132591200000046E-2</v>
      </c>
      <c r="M44" s="106">
        <f t="shared" si="8"/>
        <v>-3.9002224542310303E-2</v>
      </c>
      <c r="N44" s="1133">
        <v>0.87760769606610545</v>
      </c>
      <c r="O44" s="109">
        <f t="shared" si="1"/>
        <v>1.6402341205969627E-4</v>
      </c>
      <c r="P44" s="1137">
        <f t="shared" si="7"/>
        <v>2.4950807096204299E-5</v>
      </c>
      <c r="Q44" s="1131"/>
    </row>
    <row r="45" spans="2:17">
      <c r="B45" s="1132" t="s">
        <v>855</v>
      </c>
      <c r="C45" s="1133">
        <v>2.3331355218977525</v>
      </c>
      <c r="D45" s="1134">
        <v>0</v>
      </c>
      <c r="E45" s="1134">
        <v>0</v>
      </c>
      <c r="F45" s="1133">
        <v>2.04033833</v>
      </c>
      <c r="G45" s="1133">
        <v>1.9809110000000001</v>
      </c>
      <c r="H45" s="1135">
        <f t="shared" si="5"/>
        <v>0.29279719189775255</v>
      </c>
      <c r="J45" s="1136">
        <v>0.33429004284920871</v>
      </c>
      <c r="K45" s="1135">
        <f t="shared" si="6"/>
        <v>-4.1492850951456162E-2</v>
      </c>
      <c r="M45" s="106">
        <f t="shared" si="8"/>
        <v>-1.7473408229208839E-2</v>
      </c>
      <c r="N45" s="1133">
        <v>4.6528947959057039</v>
      </c>
      <c r="O45" s="109">
        <f t="shared" si="1"/>
        <v>8.6961826314906337E-4</v>
      </c>
      <c r="P45" s="1137">
        <f t="shared" si="7"/>
        <v>2.6551184388231291E-5</v>
      </c>
      <c r="Q45" s="1131"/>
    </row>
    <row r="46" spans="2:17">
      <c r="B46" s="1132" t="s">
        <v>856</v>
      </c>
      <c r="C46" s="1133">
        <v>0.50665584752753612</v>
      </c>
      <c r="D46" s="1134">
        <v>0</v>
      </c>
      <c r="E46" s="1134">
        <v>0</v>
      </c>
      <c r="F46" s="1133">
        <v>0.47487223000000001</v>
      </c>
      <c r="G46" s="1133">
        <v>0.46104099999999998</v>
      </c>
      <c r="H46" s="1135">
        <f t="shared" si="5"/>
        <v>3.1783617527536112E-2</v>
      </c>
      <c r="J46" s="1136">
        <v>5.2046008315315813E-2</v>
      </c>
      <c r="K46" s="1135">
        <f t="shared" si="6"/>
        <v>-2.0262390787779701E-2</v>
      </c>
      <c r="M46" s="106">
        <f t="shared" si="8"/>
        <v>-3.8454525416625231E-2</v>
      </c>
      <c r="N46" s="1133">
        <v>0.56171457670388514</v>
      </c>
      <c r="O46" s="109">
        <f t="shared" si="1"/>
        <v>1.0498351585524296E-4</v>
      </c>
      <c r="P46" s="1137">
        <f t="shared" si="7"/>
        <v>1.5524442918916302E-5</v>
      </c>
      <c r="Q46" s="1131"/>
    </row>
    <row r="47" spans="2:17">
      <c r="B47" s="1132" t="s">
        <v>857</v>
      </c>
      <c r="C47" s="1133">
        <v>7.4624999999999997E-2</v>
      </c>
      <c r="D47" s="1134">
        <v>0</v>
      </c>
      <c r="E47" s="1134">
        <v>0</v>
      </c>
      <c r="F47" s="1133">
        <v>4.0079360000000001E-2</v>
      </c>
      <c r="G47" s="1133">
        <v>3.8912000000000002E-2</v>
      </c>
      <c r="H47" s="1135">
        <f t="shared" si="5"/>
        <v>3.4545639999999996E-2</v>
      </c>
      <c r="J47" s="1136">
        <v>3.2063488000000002E-3</v>
      </c>
      <c r="K47" s="1135">
        <f t="shared" si="6"/>
        <v>3.1339291199999994E-2</v>
      </c>
      <c r="M47" s="106">
        <f t="shared" si="8"/>
        <v>0.72401011947851002</v>
      </c>
      <c r="N47" s="1133">
        <v>5.3296013931140002E-2</v>
      </c>
      <c r="O47" s="109">
        <f t="shared" si="1"/>
        <v>0</v>
      </c>
      <c r="P47" s="1137">
        <f t="shared" si="7"/>
        <v>0</v>
      </c>
      <c r="Q47" s="1131"/>
    </row>
    <row r="48" spans="2:17">
      <c r="B48" s="1132" t="s">
        <v>858</v>
      </c>
      <c r="C48" s="1133">
        <v>0.17909999999999998</v>
      </c>
      <c r="D48" s="1134">
        <v>0</v>
      </c>
      <c r="E48" s="1134">
        <v>0</v>
      </c>
      <c r="F48" s="1133">
        <v>0.13389793999999999</v>
      </c>
      <c r="G48" s="1133">
        <v>0.129998</v>
      </c>
      <c r="H48" s="1135">
        <f t="shared" si="5"/>
        <v>4.5202059999999988E-2</v>
      </c>
      <c r="J48" s="1136">
        <v>1.702372212817941E-2</v>
      </c>
      <c r="K48" s="1135">
        <f t="shared" si="6"/>
        <v>2.8178337871820579E-2</v>
      </c>
      <c r="M48" s="106">
        <f t="shared" si="8"/>
        <v>0.1867083722407484</v>
      </c>
      <c r="N48" s="1133">
        <v>0.298457678014384</v>
      </c>
      <c r="O48" s="109">
        <f t="shared" si="1"/>
        <v>0</v>
      </c>
      <c r="P48" s="1137">
        <f t="shared" si="7"/>
        <v>0</v>
      </c>
      <c r="Q48" s="1131"/>
    </row>
    <row r="49" spans="2:17">
      <c r="B49" s="1132" t="s">
        <v>859</v>
      </c>
      <c r="C49" s="1133">
        <v>4.9750000000000003E-2</v>
      </c>
      <c r="D49" s="1134">
        <v>0</v>
      </c>
      <c r="E49" s="1134">
        <v>0</v>
      </c>
      <c r="F49" s="1133">
        <v>2.996064E-2</v>
      </c>
      <c r="G49" s="1133">
        <v>2.9087999999999999E-2</v>
      </c>
      <c r="H49" s="1135">
        <f t="shared" si="5"/>
        <v>1.9789360000000002E-2</v>
      </c>
      <c r="J49" s="1136">
        <v>2.3968512000000003E-3</v>
      </c>
      <c r="K49" s="1135">
        <f t="shared" si="6"/>
        <v>1.7392508800000001E-2</v>
      </c>
      <c r="M49" s="106">
        <f t="shared" si="8"/>
        <v>0.53751104164713492</v>
      </c>
      <c r="N49" s="1133">
        <v>0.11935766107542313</v>
      </c>
      <c r="O49" s="109">
        <f t="shared" si="1"/>
        <v>0</v>
      </c>
      <c r="P49" s="1137">
        <f t="shared" si="7"/>
        <v>0</v>
      </c>
      <c r="Q49" s="1131"/>
    </row>
    <row r="50" spans="2:17">
      <c r="B50" s="1132" t="s">
        <v>860</v>
      </c>
      <c r="C50" s="1133">
        <v>1.4161999999999999</v>
      </c>
      <c r="D50" s="1134">
        <v>0</v>
      </c>
      <c r="E50" s="1134">
        <v>0</v>
      </c>
      <c r="F50" s="1133">
        <v>1.1891216100000002</v>
      </c>
      <c r="G50" s="1133">
        <v>1.154487</v>
      </c>
      <c r="H50" s="1135">
        <f t="shared" si="5"/>
        <v>0.22707838999999974</v>
      </c>
      <c r="J50" s="1136">
        <v>9.5129728800000021E-2</v>
      </c>
      <c r="K50" s="1135">
        <f t="shared" si="6"/>
        <v>0.13194866119999971</v>
      </c>
      <c r="M50" s="106">
        <f t="shared" si="8"/>
        <v>0.10274364309660138</v>
      </c>
      <c r="N50" s="1133">
        <v>1.9950474548223407</v>
      </c>
      <c r="O50" s="109">
        <f t="shared" si="1"/>
        <v>0</v>
      </c>
      <c r="P50" s="1137">
        <f t="shared" si="7"/>
        <v>0</v>
      </c>
      <c r="Q50" s="1131"/>
    </row>
    <row r="51" spans="2:17">
      <c r="B51" s="1132" t="s">
        <v>861</v>
      </c>
      <c r="C51" s="1133">
        <v>0.14924999999999999</v>
      </c>
      <c r="D51" s="1134">
        <v>0</v>
      </c>
      <c r="E51" s="1134">
        <v>0</v>
      </c>
      <c r="F51" s="1133">
        <v>0.10877727</v>
      </c>
      <c r="G51" s="1133">
        <v>0.10560899999999999</v>
      </c>
      <c r="H51" s="1135">
        <f t="shared" si="5"/>
        <v>4.0472729999999998E-2</v>
      </c>
      <c r="J51" s="1136">
        <v>8.7021815999999991E-3</v>
      </c>
      <c r="K51" s="1135">
        <f t="shared" si="6"/>
        <v>3.1770548400000001E-2</v>
      </c>
      <c r="M51" s="106">
        <f t="shared" si="8"/>
        <v>0.27043493961968751</v>
      </c>
      <c r="N51" s="1133">
        <v>0.143899237614078</v>
      </c>
      <c r="O51" s="109">
        <f t="shared" si="1"/>
        <v>0</v>
      </c>
      <c r="P51" s="1137">
        <f t="shared" si="7"/>
        <v>0</v>
      </c>
      <c r="Q51" s="1131"/>
    </row>
    <row r="52" spans="2:17">
      <c r="B52" s="1132" t="s">
        <v>862</v>
      </c>
      <c r="C52" s="1133">
        <v>0.32612731706585374</v>
      </c>
      <c r="D52" s="1134">
        <v>0</v>
      </c>
      <c r="E52" s="1134">
        <v>0</v>
      </c>
      <c r="F52" s="1133">
        <v>0.24578066000000001</v>
      </c>
      <c r="G52" s="1133">
        <v>0.238622</v>
      </c>
      <c r="H52" s="1135">
        <f t="shared" si="5"/>
        <v>8.0346657065853727E-2</v>
      </c>
      <c r="J52" s="1136">
        <v>2.4670642359388113E-2</v>
      </c>
      <c r="K52" s="1135">
        <f t="shared" si="6"/>
        <v>5.5676014706465618E-2</v>
      </c>
      <c r="M52" s="106">
        <f t="shared" si="8"/>
        <v>0.2058633632774331</v>
      </c>
      <c r="N52" s="1133">
        <v>0.35708329333863797</v>
      </c>
      <c r="O52" s="109">
        <f t="shared" si="1"/>
        <v>0</v>
      </c>
      <c r="P52" s="1137">
        <f t="shared" si="7"/>
        <v>0</v>
      </c>
      <c r="Q52" s="1131"/>
    </row>
    <row r="53" spans="2:17">
      <c r="B53" s="1132" t="s">
        <v>863</v>
      </c>
      <c r="C53" s="1133">
        <v>0.14924999999999999</v>
      </c>
      <c r="D53" s="1134">
        <v>0</v>
      </c>
      <c r="E53" s="1134">
        <v>0</v>
      </c>
      <c r="F53" s="1133">
        <v>0.10914807</v>
      </c>
      <c r="G53" s="1133">
        <v>0.10596899999999999</v>
      </c>
      <c r="H53" s="1135">
        <f t="shared" si="5"/>
        <v>4.0101929999999994E-2</v>
      </c>
      <c r="J53" s="1136">
        <v>8.7318455999999996E-3</v>
      </c>
      <c r="K53" s="1135">
        <f t="shared" si="6"/>
        <v>3.1370084399999998E-2</v>
      </c>
      <c r="M53" s="106">
        <f t="shared" si="8"/>
        <v>0.26611899270820311</v>
      </c>
      <c r="N53" s="1133">
        <v>0.11192162925539401</v>
      </c>
      <c r="O53" s="109">
        <f t="shared" si="1"/>
        <v>0</v>
      </c>
      <c r="P53" s="1137">
        <f t="shared" si="7"/>
        <v>0</v>
      </c>
      <c r="Q53" s="1131"/>
    </row>
    <row r="54" spans="2:17">
      <c r="B54" s="1132" t="s">
        <v>864</v>
      </c>
      <c r="C54" s="1133">
        <v>0.44775000000000004</v>
      </c>
      <c r="D54" s="1134">
        <v>0</v>
      </c>
      <c r="E54" s="1134">
        <v>0</v>
      </c>
      <c r="F54" s="1133">
        <v>0.46011336000000003</v>
      </c>
      <c r="G54" s="1133">
        <v>0.446712</v>
      </c>
      <c r="H54" s="1135">
        <f t="shared" si="5"/>
        <v>-1.236335999999999E-2</v>
      </c>
      <c r="J54" s="1136">
        <v>8.1435975794062865E-2</v>
      </c>
      <c r="K54" s="1135">
        <f t="shared" si="6"/>
        <v>-9.3799335794062855E-2</v>
      </c>
      <c r="M54" s="106">
        <f t="shared" si="8"/>
        <v>-0.17320552273695763</v>
      </c>
      <c r="N54" s="1133">
        <v>0.77634526959693939</v>
      </c>
      <c r="O54" s="109">
        <f t="shared" si="1"/>
        <v>1.4509763374511594E-4</v>
      </c>
      <c r="P54" s="1137">
        <f t="shared" si="7"/>
        <v>4.3529512277563459E-4</v>
      </c>
      <c r="Q54" s="1131"/>
    </row>
    <row r="55" spans="2:17">
      <c r="B55" s="1132" t="s">
        <v>865</v>
      </c>
      <c r="C55" s="1133">
        <v>0.19900000000000001</v>
      </c>
      <c r="D55" s="1134">
        <v>0</v>
      </c>
      <c r="E55" s="1134">
        <v>0</v>
      </c>
      <c r="F55" s="1133">
        <v>0.15099182</v>
      </c>
      <c r="G55" s="1133">
        <v>0.146594</v>
      </c>
      <c r="H55" s="1135">
        <f t="shared" si="5"/>
        <v>4.8008180000000011E-2</v>
      </c>
      <c r="J55" s="1136">
        <v>3.1294426191662068E-2</v>
      </c>
      <c r="K55" s="1135">
        <f t="shared" si="6"/>
        <v>1.6713753808337943E-2</v>
      </c>
      <c r="M55" s="106">
        <f t="shared" si="8"/>
        <v>9.1689604440943526E-2</v>
      </c>
      <c r="N55" s="1133">
        <v>0.28602194143045129</v>
      </c>
      <c r="O55" s="109">
        <f t="shared" si="1"/>
        <v>0</v>
      </c>
      <c r="P55" s="1137">
        <f t="shared" si="7"/>
        <v>0</v>
      </c>
      <c r="Q55" s="1131"/>
    </row>
    <row r="56" spans="2:17">
      <c r="B56" s="1132" t="s">
        <v>866</v>
      </c>
      <c r="C56" s="1133">
        <v>9.9500000000000005E-2</v>
      </c>
      <c r="D56" s="1134">
        <v>0</v>
      </c>
      <c r="E56" s="1134">
        <v>0</v>
      </c>
      <c r="F56" s="1133">
        <v>5.9180710000000004E-2</v>
      </c>
      <c r="G56" s="1133">
        <v>5.7457000000000001E-2</v>
      </c>
      <c r="H56" s="1135">
        <f t="shared" si="5"/>
        <v>4.0319290000000001E-2</v>
      </c>
      <c r="J56" s="1136">
        <v>4.7344568000000009E-3</v>
      </c>
      <c r="K56" s="1135">
        <f t="shared" si="6"/>
        <v>3.5584833199999999E-2</v>
      </c>
      <c r="M56" s="106">
        <f t="shared" si="8"/>
        <v>0.55675100264308464</v>
      </c>
      <c r="N56" s="1133">
        <v>0.101262426469166</v>
      </c>
      <c r="O56" s="109">
        <f t="shared" si="1"/>
        <v>0</v>
      </c>
      <c r="P56" s="1137">
        <f t="shared" si="7"/>
        <v>0</v>
      </c>
      <c r="Q56" s="1131"/>
    </row>
    <row r="57" spans="2:17">
      <c r="B57" s="1132" t="s">
        <v>867</v>
      </c>
      <c r="C57" s="1133">
        <v>9.9282555224626839E-2</v>
      </c>
      <c r="D57" s="1134">
        <v>0</v>
      </c>
      <c r="E57" s="1134">
        <v>0</v>
      </c>
      <c r="F57" s="1133">
        <v>8.0493469999999998E-2</v>
      </c>
      <c r="G57" s="1133">
        <v>7.8148999999999996E-2</v>
      </c>
      <c r="H57" s="1135">
        <f t="shared" si="5"/>
        <v>1.8789085224626842E-2</v>
      </c>
      <c r="J57" s="1136">
        <v>6.4394776000000001E-3</v>
      </c>
      <c r="K57" s="1135">
        <f t="shared" si="6"/>
        <v>1.2349607624626842E-2</v>
      </c>
      <c r="M57" s="106">
        <f t="shared" si="8"/>
        <v>0.14205900024752918</v>
      </c>
      <c r="N57" s="1133">
        <v>0.149228839007192</v>
      </c>
      <c r="O57" s="109">
        <f t="shared" si="1"/>
        <v>0</v>
      </c>
      <c r="P57" s="1137">
        <f t="shared" si="7"/>
        <v>0</v>
      </c>
      <c r="Q57" s="1131"/>
    </row>
    <row r="58" spans="2:17">
      <c r="B58" s="1132" t="s">
        <v>868</v>
      </c>
      <c r="C58" s="1133">
        <v>5.4950973344444445E-2</v>
      </c>
      <c r="D58" s="1134">
        <v>0</v>
      </c>
      <c r="E58" s="1134">
        <v>0</v>
      </c>
      <c r="F58" s="1133">
        <v>5.1524720000000003E-2</v>
      </c>
      <c r="G58" s="1133">
        <v>5.0023999999999999E-2</v>
      </c>
      <c r="H58" s="1135">
        <f t="shared" si="5"/>
        <v>3.4262533444444424E-3</v>
      </c>
      <c r="J58" s="1136">
        <v>4.1219776E-3</v>
      </c>
      <c r="K58" s="1135">
        <f t="shared" si="6"/>
        <v>-6.9572425555555761E-4</v>
      </c>
      <c r="M58" s="106">
        <f t="shared" si="8"/>
        <v>-1.2502525496779122E-2</v>
      </c>
      <c r="N58" s="1133">
        <v>0.101262426469166</v>
      </c>
      <c r="O58" s="109">
        <f t="shared" si="1"/>
        <v>1.8925778314580336E-5</v>
      </c>
      <c r="P58" s="1137">
        <f t="shared" si="7"/>
        <v>2.9583479071687234E-7</v>
      </c>
      <c r="Q58" s="1131"/>
    </row>
    <row r="59" spans="2:17">
      <c r="B59" s="1132" t="s">
        <v>869</v>
      </c>
      <c r="C59" s="1133">
        <v>3.9800000000000002E-2</v>
      </c>
      <c r="D59" s="1134">
        <v>0</v>
      </c>
      <c r="E59" s="1134">
        <v>0</v>
      </c>
      <c r="F59" s="1133">
        <v>2.4161740000000001E-2</v>
      </c>
      <c r="G59" s="1133">
        <v>2.3458E-2</v>
      </c>
      <c r="H59" s="1135">
        <f t="shared" si="5"/>
        <v>1.5638260000000001E-2</v>
      </c>
      <c r="J59" s="1136">
        <v>1.9329392000000001E-3</v>
      </c>
      <c r="K59" s="1135">
        <f t="shared" si="6"/>
        <v>1.37053208E-2</v>
      </c>
      <c r="M59" s="106">
        <f t="shared" si="8"/>
        <v>0.52521514807509107</v>
      </c>
      <c r="N59" s="1133">
        <v>7.106135190818666E-2</v>
      </c>
      <c r="O59" s="109">
        <f t="shared" si="1"/>
        <v>0</v>
      </c>
      <c r="P59" s="1137">
        <f t="shared" si="7"/>
        <v>0</v>
      </c>
      <c r="Q59" s="1131"/>
    </row>
    <row r="60" spans="2:17">
      <c r="B60" s="1132" t="s">
        <v>870</v>
      </c>
      <c r="C60" s="1133">
        <v>0.16318000000000002</v>
      </c>
      <c r="D60" s="1134">
        <v>0</v>
      </c>
      <c r="E60" s="1134">
        <v>0</v>
      </c>
      <c r="F60" s="1133">
        <v>0.10791104</v>
      </c>
      <c r="G60" s="1133">
        <v>0.104768</v>
      </c>
      <c r="H60" s="1135">
        <f t="shared" si="5"/>
        <v>5.526896000000002E-2</v>
      </c>
      <c r="J60" s="1136">
        <v>8.6328832000000001E-3</v>
      </c>
      <c r="K60" s="1135">
        <f t="shared" si="6"/>
        <v>4.6636076800000023E-2</v>
      </c>
      <c r="M60" s="106">
        <f t="shared" si="8"/>
        <v>0.40015880296022183</v>
      </c>
      <c r="N60" s="1133">
        <v>0.24693819788094867</v>
      </c>
      <c r="O60" s="109">
        <f t="shared" si="1"/>
        <v>0</v>
      </c>
      <c r="P60" s="1137">
        <f t="shared" si="7"/>
        <v>0</v>
      </c>
      <c r="Q60" s="1131"/>
    </row>
    <row r="61" spans="2:17">
      <c r="B61" s="1132" t="s">
        <v>871</v>
      </c>
      <c r="C61" s="1133">
        <v>4.9750000000000003E-2</v>
      </c>
      <c r="D61" s="1134">
        <v>0</v>
      </c>
      <c r="E61" s="1134">
        <v>0</v>
      </c>
      <c r="F61" s="1133">
        <v>2.2684719999999998E-2</v>
      </c>
      <c r="G61" s="1133">
        <v>2.2023999999999998E-2</v>
      </c>
      <c r="H61" s="1135">
        <f t="shared" si="5"/>
        <v>2.7065280000000004E-2</v>
      </c>
      <c r="J61" s="1136">
        <v>1.8147775999999998E-3</v>
      </c>
      <c r="K61" s="1135">
        <f t="shared" si="6"/>
        <v>2.5250502400000003E-2</v>
      </c>
      <c r="M61" s="106">
        <f t="shared" si="8"/>
        <v>1.0306538857351917</v>
      </c>
      <c r="N61" s="1133">
        <v>4.7966412538026006E-2</v>
      </c>
      <c r="O61" s="109">
        <f t="shared" si="1"/>
        <v>0</v>
      </c>
      <c r="P61" s="1137">
        <f t="shared" si="7"/>
        <v>0</v>
      </c>
      <c r="Q61" s="1131"/>
    </row>
    <row r="62" spans="2:17">
      <c r="B62" s="1132" t="s">
        <v>872</v>
      </c>
      <c r="C62" s="1133">
        <v>0.44775000000000004</v>
      </c>
      <c r="D62" s="1134">
        <v>0</v>
      </c>
      <c r="E62" s="1134">
        <v>0</v>
      </c>
      <c r="F62" s="1133">
        <v>0.28854317000000002</v>
      </c>
      <c r="G62" s="1133">
        <v>0.28013900000000003</v>
      </c>
      <c r="H62" s="1135">
        <f t="shared" si="5"/>
        <v>0.15920683000000002</v>
      </c>
      <c r="J62" s="1136">
        <v>2.3083453600000001E-2</v>
      </c>
      <c r="K62" s="1135">
        <f t="shared" si="6"/>
        <v>0.13612337640000002</v>
      </c>
      <c r="M62" s="106">
        <f t="shared" si="8"/>
        <v>0.43681561872815544</v>
      </c>
      <c r="N62" s="1133">
        <v>0.95044558177199667</v>
      </c>
      <c r="O62" s="109">
        <f t="shared" si="1"/>
        <v>0</v>
      </c>
      <c r="P62" s="1137">
        <f t="shared" si="7"/>
        <v>0</v>
      </c>
      <c r="Q62" s="1131"/>
    </row>
    <row r="63" spans="2:17">
      <c r="B63" s="1132" t="s">
        <v>873</v>
      </c>
      <c r="C63" s="1133">
        <v>1.4550000000000001</v>
      </c>
      <c r="D63" s="1134">
        <v>0</v>
      </c>
      <c r="E63" s="1134">
        <v>0</v>
      </c>
      <c r="F63" s="1133">
        <v>1.0042170399999999</v>
      </c>
      <c r="G63" s="1133">
        <v>0.97496799999999995</v>
      </c>
      <c r="H63" s="1135">
        <f>+C63+D63-E63-F63</f>
        <v>0.45078296000000018</v>
      </c>
      <c r="J63" s="1136">
        <v>0.1323797780085971</v>
      </c>
      <c r="K63" s="1135">
        <f>+H63-J63</f>
        <v>0.31840318199140305</v>
      </c>
      <c r="M63" s="106">
        <f>+IF(ISERROR(K63/(F63+J63)),0,K63/(F63+J63))</f>
        <v>0.28013731601789044</v>
      </c>
      <c r="N63" s="1133">
        <v>1.5953273503387908</v>
      </c>
      <c r="O63" s="109">
        <f t="shared" si="1"/>
        <v>0</v>
      </c>
      <c r="P63" s="1137">
        <f>(M63^2*O63)*100</f>
        <v>0</v>
      </c>
      <c r="Q63" s="1131"/>
    </row>
    <row r="64" spans="2:17">
      <c r="B64" s="1132" t="s">
        <v>874</v>
      </c>
      <c r="C64" s="1133">
        <v>5.7710000000000004E-2</v>
      </c>
      <c r="D64" s="1134">
        <v>0</v>
      </c>
      <c r="E64" s="1134">
        <v>0</v>
      </c>
      <c r="F64" s="1133">
        <v>3.7963740000000003E-2</v>
      </c>
      <c r="G64" s="1133">
        <v>3.6858000000000002E-2</v>
      </c>
      <c r="H64" s="1135">
        <f t="shared" ref="H64:H87" si="9">+C64+D64-E64-F64</f>
        <v>1.9746260000000002E-2</v>
      </c>
      <c r="J64" s="1136">
        <v>3.0370992000000002E-3</v>
      </c>
      <c r="K64" s="1135">
        <f t="shared" ref="K64:K87" si="10">+H64-J64</f>
        <v>1.6709160800000001E-2</v>
      </c>
      <c r="M64" s="106">
        <f>+IF(ISERROR(K64/(F64+J64)),0,K64/(F64+J64))</f>
        <v>0.40753216582942531</v>
      </c>
      <c r="N64" s="1133">
        <v>4.7966412538026006E-2</v>
      </c>
      <c r="O64" s="109">
        <f t="shared" si="1"/>
        <v>0</v>
      </c>
      <c r="P64" s="1137">
        <f t="shared" ref="P64:P87" si="11">(M64^2*O64)*100</f>
        <v>0</v>
      </c>
      <c r="Q64" s="1131"/>
    </row>
    <row r="65" spans="2:17">
      <c r="B65" s="1132" t="s">
        <v>875</v>
      </c>
      <c r="C65" s="1133">
        <v>0.21460567193239435</v>
      </c>
      <c r="D65" s="1134">
        <v>0</v>
      </c>
      <c r="E65" s="1134">
        <v>0</v>
      </c>
      <c r="F65" s="1133">
        <v>0.21919636000000001</v>
      </c>
      <c r="G65" s="1133">
        <v>0.212812</v>
      </c>
      <c r="H65" s="1135">
        <f t="shared" si="9"/>
        <v>-4.5906880676056527E-3</v>
      </c>
      <c r="J65" s="1136">
        <v>2.2240568171524266E-2</v>
      </c>
      <c r="K65" s="1135">
        <f t="shared" si="10"/>
        <v>-2.6831256239129919E-2</v>
      </c>
      <c r="M65" s="106">
        <f t="shared" ref="M65:M87" si="12">+IF(ISERROR(K65/(F65+J65)),0,K65/(F65+J65))</f>
        <v>-0.1111315341954159</v>
      </c>
      <c r="N65" s="1133">
        <v>0.52585400412058125</v>
      </c>
      <c r="O65" s="109">
        <f t="shared" si="1"/>
        <v>9.8281234756417176E-5</v>
      </c>
      <c r="P65" s="1137">
        <f t="shared" si="11"/>
        <v>1.2137946639981675E-4</v>
      </c>
      <c r="Q65" s="1131"/>
    </row>
    <row r="66" spans="2:17">
      <c r="B66" s="1132" t="s">
        <v>876</v>
      </c>
      <c r="C66" s="1133">
        <v>2.3880000000000002E-2</v>
      </c>
      <c r="D66" s="1134">
        <v>0</v>
      </c>
      <c r="E66" s="1134">
        <v>0</v>
      </c>
      <c r="F66" s="1133">
        <v>2.6203200000000003E-2</v>
      </c>
      <c r="G66" s="1133">
        <v>2.5440000000000001E-2</v>
      </c>
      <c r="H66" s="1135">
        <f t="shared" si="9"/>
        <v>-2.323200000000001E-3</v>
      </c>
      <c r="J66" s="1136">
        <v>2.0962560000000003E-3</v>
      </c>
      <c r="K66" s="1135">
        <f t="shared" si="10"/>
        <v>-4.4194560000000013E-3</v>
      </c>
      <c r="M66" s="106">
        <f t="shared" si="12"/>
        <v>-0.15616752491638003</v>
      </c>
      <c r="N66" s="1133">
        <v>6.5731750515072657E-2</v>
      </c>
      <c r="O66" s="109">
        <f t="shared" si="1"/>
        <v>1.2285154344552147E-5</v>
      </c>
      <c r="P66" s="1137">
        <f t="shared" si="11"/>
        <v>2.9961397857667178E-5</v>
      </c>
      <c r="Q66" s="1131"/>
    </row>
    <row r="67" spans="2:17">
      <c r="B67" s="1132" t="s">
        <v>877</v>
      </c>
      <c r="C67" s="1133">
        <v>0.11605702467741937</v>
      </c>
      <c r="D67" s="1134">
        <v>0</v>
      </c>
      <c r="E67" s="1134">
        <v>0</v>
      </c>
      <c r="F67" s="1133">
        <v>0.121952</v>
      </c>
      <c r="G67" s="1133">
        <v>0.11840000000000001</v>
      </c>
      <c r="H67" s="1135">
        <f t="shared" si="9"/>
        <v>-5.8949753225806395E-3</v>
      </c>
      <c r="J67" s="1136">
        <v>9.7561599999999998E-3</v>
      </c>
      <c r="K67" s="1135">
        <f t="shared" si="10"/>
        <v>-1.5651135322580639E-2</v>
      </c>
      <c r="M67" s="106">
        <f t="shared" si="12"/>
        <v>-0.11883193359151503</v>
      </c>
      <c r="N67" s="1133">
        <v>0.23094939370160669</v>
      </c>
      <c r="O67" s="109">
        <f t="shared" si="1"/>
        <v>4.316405580518323E-5</v>
      </c>
      <c r="P67" s="1137">
        <f t="shared" si="11"/>
        <v>6.0952085965814398E-5</v>
      </c>
      <c r="Q67" s="1131"/>
    </row>
    <row r="68" spans="2:17">
      <c r="B68" s="1132" t="s">
        <v>878</v>
      </c>
      <c r="C68" s="1133">
        <v>9.9500000000000005E-3</v>
      </c>
      <c r="D68" s="1134">
        <v>0</v>
      </c>
      <c r="E68" s="1134">
        <v>0</v>
      </c>
      <c r="F68" s="1133">
        <v>1.64594E-3</v>
      </c>
      <c r="G68" s="1133">
        <v>1.598E-3</v>
      </c>
      <c r="H68" s="1135">
        <f t="shared" si="9"/>
        <v>8.3040600000000003E-3</v>
      </c>
      <c r="J68" s="1136">
        <v>1.316752E-4</v>
      </c>
      <c r="K68" s="1135">
        <f t="shared" si="10"/>
        <v>8.1723847999999998E-3</v>
      </c>
      <c r="M68" s="106">
        <f t="shared" si="12"/>
        <v>4.5973868810302703</v>
      </c>
      <c r="N68" s="1133">
        <v>2.1318405572455998E-2</v>
      </c>
      <c r="O68" s="109">
        <f t="shared" si="1"/>
        <v>0</v>
      </c>
      <c r="P68" s="1137">
        <f t="shared" si="11"/>
        <v>0</v>
      </c>
      <c r="Q68" s="1131"/>
    </row>
    <row r="69" spans="2:17">
      <c r="B69" s="1132" t="s">
        <v>879</v>
      </c>
      <c r="C69" s="1133">
        <v>0.37809999999999999</v>
      </c>
      <c r="D69" s="1134">
        <v>0</v>
      </c>
      <c r="E69" s="1134">
        <v>0</v>
      </c>
      <c r="F69" s="1133">
        <v>0.22740340000000001</v>
      </c>
      <c r="G69" s="1133">
        <v>0.22078</v>
      </c>
      <c r="H69" s="1135">
        <f t="shared" si="9"/>
        <v>0.15069659999999999</v>
      </c>
      <c r="J69" s="1136">
        <v>1.8192272000000002E-2</v>
      </c>
      <c r="K69" s="1135">
        <f t="shared" si="10"/>
        <v>0.13250432799999998</v>
      </c>
      <c r="M69" s="106">
        <f t="shared" si="12"/>
        <v>0.53952224369817059</v>
      </c>
      <c r="N69" s="1133">
        <v>0.40327317207895935</v>
      </c>
      <c r="O69" s="109">
        <f t="shared" si="1"/>
        <v>0</v>
      </c>
      <c r="P69" s="1137">
        <f t="shared" si="11"/>
        <v>0</v>
      </c>
      <c r="Q69" s="1131"/>
    </row>
    <row r="70" spans="2:17">
      <c r="B70" s="1132" t="s">
        <v>880</v>
      </c>
      <c r="C70" s="1133">
        <v>0.22823562792187499</v>
      </c>
      <c r="D70" s="1134">
        <v>0</v>
      </c>
      <c r="E70" s="1134">
        <v>0</v>
      </c>
      <c r="F70" s="1133">
        <v>0.13668615000000001</v>
      </c>
      <c r="G70" s="1133">
        <v>0.13270499999999999</v>
      </c>
      <c r="H70" s="1135">
        <f t="shared" si="9"/>
        <v>9.1549477921874983E-2</v>
      </c>
      <c r="J70" s="1136">
        <v>1.0934892E-2</v>
      </c>
      <c r="K70" s="1135">
        <f t="shared" si="10"/>
        <v>8.0614585921874982E-2</v>
      </c>
      <c r="M70" s="106">
        <f t="shared" si="12"/>
        <v>0.54609142998648508</v>
      </c>
      <c r="N70" s="1133">
        <v>0.20963098812915065</v>
      </c>
      <c r="O70" s="109">
        <f t="shared" si="1"/>
        <v>0</v>
      </c>
      <c r="P70" s="1137">
        <f t="shared" si="11"/>
        <v>0</v>
      </c>
      <c r="Q70" s="1131"/>
    </row>
    <row r="71" spans="2:17">
      <c r="B71" s="1132" t="s">
        <v>881</v>
      </c>
      <c r="C71" s="1133">
        <v>0.194025</v>
      </c>
      <c r="D71" s="1134">
        <v>0</v>
      </c>
      <c r="E71" s="1134">
        <v>0</v>
      </c>
      <c r="F71" s="1133">
        <v>5.3620770000000005E-2</v>
      </c>
      <c r="G71" s="1133">
        <v>5.2059000000000001E-2</v>
      </c>
      <c r="H71" s="1135">
        <f t="shared" si="9"/>
        <v>0.14040422999999999</v>
      </c>
      <c r="J71" s="1136">
        <v>4.2896616000000004E-3</v>
      </c>
      <c r="K71" s="1135">
        <f t="shared" si="10"/>
        <v>0.1361145684</v>
      </c>
      <c r="M71" s="106">
        <f t="shared" si="12"/>
        <v>2.3504326360434167</v>
      </c>
      <c r="N71" s="1133">
        <v>0.21851365711767401</v>
      </c>
      <c r="O71" s="109">
        <f t="shared" si="1"/>
        <v>0</v>
      </c>
      <c r="P71" s="1137">
        <f t="shared" si="11"/>
        <v>0</v>
      </c>
      <c r="Q71" s="1131"/>
    </row>
    <row r="72" spans="2:17">
      <c r="B72" s="1132" t="s">
        <v>882</v>
      </c>
      <c r="C72" s="1133">
        <v>2.5869999999999997E-2</v>
      </c>
      <c r="D72" s="1134">
        <v>0</v>
      </c>
      <c r="E72" s="1134">
        <v>0</v>
      </c>
      <c r="F72" s="1133">
        <v>1.1116790000000001E-2</v>
      </c>
      <c r="G72" s="1133">
        <v>1.0793000000000001E-2</v>
      </c>
      <c r="H72" s="1135">
        <f t="shared" si="9"/>
        <v>1.4753209999999996E-2</v>
      </c>
      <c r="J72" s="1136">
        <v>1.372950522860515E-3</v>
      </c>
      <c r="K72" s="1135">
        <f t="shared" si="10"/>
        <v>1.3380259477139481E-2</v>
      </c>
      <c r="M72" s="106">
        <f t="shared" si="12"/>
        <v>1.0713000364298209</v>
      </c>
      <c r="N72" s="1133">
        <v>5.3296013931140002E-2</v>
      </c>
      <c r="O72" s="109">
        <f t="shared" si="1"/>
        <v>0</v>
      </c>
      <c r="P72" s="1137">
        <f t="shared" si="11"/>
        <v>0</v>
      </c>
      <c r="Q72" s="1131"/>
    </row>
    <row r="73" spans="2:17">
      <c r="B73" s="1132" t="s">
        <v>883</v>
      </c>
      <c r="C73" s="1133">
        <v>2.1366868340000003</v>
      </c>
      <c r="D73" s="1134">
        <v>0</v>
      </c>
      <c r="E73" s="1134">
        <v>0</v>
      </c>
      <c r="F73" s="1133">
        <v>2.2498444499999999</v>
      </c>
      <c r="G73" s="1133">
        <v>2.1843149999999998</v>
      </c>
      <c r="H73" s="1135">
        <f t="shared" si="9"/>
        <v>-0.11315761599999963</v>
      </c>
      <c r="J73" s="1136">
        <v>0.17998755599999999</v>
      </c>
      <c r="K73" s="1135">
        <f t="shared" si="10"/>
        <v>-0.29314517199999962</v>
      </c>
      <c r="M73" s="106">
        <f t="shared" si="12"/>
        <v>-0.12064421378767518</v>
      </c>
      <c r="N73" s="1133">
        <v>3.8225210572750719</v>
      </c>
      <c r="O73" s="109">
        <f t="shared" si="1"/>
        <v>7.144227988140475E-4</v>
      </c>
      <c r="P73" s="1137">
        <f t="shared" si="11"/>
        <v>1.0398442640665354E-3</v>
      </c>
      <c r="Q73" s="1131"/>
    </row>
    <row r="74" spans="2:17">
      <c r="B74" s="1132" t="s">
        <v>884</v>
      </c>
      <c r="C74" s="1133">
        <v>0.97467675391578956</v>
      </c>
      <c r="D74" s="1134">
        <v>0</v>
      </c>
      <c r="E74" s="1134">
        <v>0</v>
      </c>
      <c r="F74" s="1133">
        <v>0.52026948000000006</v>
      </c>
      <c r="G74" s="1133">
        <v>0.50511600000000001</v>
      </c>
      <c r="H74" s="1135">
        <f t="shared" si="9"/>
        <v>0.4544072739157895</v>
      </c>
      <c r="J74" s="1136">
        <v>7.4617026917230281E-2</v>
      </c>
      <c r="K74" s="1135">
        <f t="shared" si="10"/>
        <v>0.37979024699855923</v>
      </c>
      <c r="M74" s="106">
        <f t="shared" si="12"/>
        <v>0.63842471224751018</v>
      </c>
      <c r="N74" s="1133">
        <v>1.3600489563211113</v>
      </c>
      <c r="O74" s="109">
        <f t="shared" si="1"/>
        <v>0</v>
      </c>
      <c r="P74" s="1137">
        <f t="shared" si="11"/>
        <v>0</v>
      </c>
      <c r="Q74" s="1131"/>
    </row>
    <row r="75" spans="2:17">
      <c r="B75" s="1132" t="s">
        <v>885</v>
      </c>
      <c r="C75" s="1133">
        <v>0.35973728052777776</v>
      </c>
      <c r="D75" s="1134">
        <v>0</v>
      </c>
      <c r="E75" s="1134">
        <v>0</v>
      </c>
      <c r="F75" s="1133">
        <v>0.45975595000000002</v>
      </c>
      <c r="G75" s="1133">
        <v>0.44636500000000001</v>
      </c>
      <c r="H75" s="1135">
        <f t="shared" si="9"/>
        <v>-0.10001866947222227</v>
      </c>
      <c r="J75" s="1136">
        <v>3.6780475999999999E-2</v>
      </c>
      <c r="K75" s="1135">
        <f t="shared" si="10"/>
        <v>-0.13679914547222227</v>
      </c>
      <c r="M75" s="106">
        <f t="shared" si="12"/>
        <v>-0.2755067670951139</v>
      </c>
      <c r="N75" s="1133">
        <v>0.54717240969303726</v>
      </c>
      <c r="O75" s="109">
        <f t="shared" si="1"/>
        <v>1.0226560913843409E-4</v>
      </c>
      <c r="P75" s="1137">
        <f t="shared" si="11"/>
        <v>7.7623666193408017E-4</v>
      </c>
      <c r="Q75" s="1131"/>
    </row>
    <row r="76" spans="2:17">
      <c r="B76" s="1132" t="s">
        <v>886</v>
      </c>
      <c r="C76" s="1133">
        <v>0.29335725318139544</v>
      </c>
      <c r="D76" s="1134">
        <v>0</v>
      </c>
      <c r="E76" s="1134">
        <v>0</v>
      </c>
      <c r="F76" s="1133">
        <v>0.28262788</v>
      </c>
      <c r="G76" s="1133">
        <v>0.27439599999999997</v>
      </c>
      <c r="H76" s="1135">
        <f t="shared" si="9"/>
        <v>1.0729373181395441E-2</v>
      </c>
      <c r="J76" s="1136">
        <v>2.26102304E-2</v>
      </c>
      <c r="K76" s="1135">
        <f t="shared" si="10"/>
        <v>-1.188085721860456E-2</v>
      </c>
      <c r="M76" s="106">
        <f t="shared" si="12"/>
        <v>-3.8923243244545262E-2</v>
      </c>
      <c r="N76" s="1133">
        <v>0.3926139692927314</v>
      </c>
      <c r="O76" s="109">
        <f t="shared" si="1"/>
        <v>7.3378894868811499E-5</v>
      </c>
      <c r="P76" s="1137">
        <f t="shared" si="11"/>
        <v>1.1117040999518242E-5</v>
      </c>
      <c r="Q76" s="1131"/>
    </row>
    <row r="77" spans="2:17">
      <c r="B77" s="1132" t="s">
        <v>887</v>
      </c>
      <c r="C77" s="1133">
        <v>0.39800000000000002</v>
      </c>
      <c r="D77" s="1134">
        <v>0</v>
      </c>
      <c r="E77" s="1134">
        <v>0</v>
      </c>
      <c r="F77" s="1133">
        <v>0.36306470000000002</v>
      </c>
      <c r="G77" s="1133">
        <v>0.35249000000000003</v>
      </c>
      <c r="H77" s="1135">
        <f t="shared" si="9"/>
        <v>3.4935300000000002E-2</v>
      </c>
      <c r="J77" s="1136">
        <v>3.7914338823887013E-2</v>
      </c>
      <c r="K77" s="1135">
        <f t="shared" si="10"/>
        <v>-2.9790388238870105E-3</v>
      </c>
      <c r="M77" s="106">
        <f t="shared" si="12"/>
        <v>-7.4294128506688017E-3</v>
      </c>
      <c r="N77" s="1133">
        <v>0.66264710654384062</v>
      </c>
      <c r="O77" s="109">
        <f t="shared" si="1"/>
        <v>1.2384763704102571E-4</v>
      </c>
      <c r="P77" s="1137">
        <f t="shared" si="11"/>
        <v>6.8359158853110203E-7</v>
      </c>
      <c r="Q77" s="1131"/>
    </row>
    <row r="78" spans="2:17">
      <c r="B78" s="1132" t="s">
        <v>888</v>
      </c>
      <c r="C78" s="1133">
        <v>0.10258438897894738</v>
      </c>
      <c r="D78" s="1134">
        <v>0</v>
      </c>
      <c r="E78" s="1134">
        <v>0</v>
      </c>
      <c r="F78" s="1133">
        <v>0.14163427000000001</v>
      </c>
      <c r="G78" s="1133">
        <v>0.13750899999999999</v>
      </c>
      <c r="H78" s="1135">
        <f t="shared" si="9"/>
        <v>-3.9049881021052626E-2</v>
      </c>
      <c r="J78" s="1136">
        <v>1.1330741600000001E-2</v>
      </c>
      <c r="K78" s="1135">
        <f t="shared" si="10"/>
        <v>-5.0380622621052626E-2</v>
      </c>
      <c r="M78" s="106">
        <f t="shared" si="12"/>
        <v>-0.32936043408931187</v>
      </c>
      <c r="N78" s="1133">
        <v>0.34820062435011473</v>
      </c>
      <c r="O78" s="109">
        <f t="shared" ref="O78:O141" si="13">IF(K78&lt;0,N78/$N$263,0)</f>
        <v>6.5078114906276256E-5</v>
      </c>
      <c r="P78" s="1137">
        <f t="shared" si="11"/>
        <v>7.0595629822168854E-4</v>
      </c>
      <c r="Q78" s="1131"/>
    </row>
    <row r="79" spans="2:17">
      <c r="B79" s="1132" t="s">
        <v>889</v>
      </c>
      <c r="C79" s="1133">
        <v>0.18905</v>
      </c>
      <c r="D79" s="1134">
        <v>0</v>
      </c>
      <c r="E79" s="1134">
        <v>0</v>
      </c>
      <c r="F79" s="1133">
        <v>0.18548137000000001</v>
      </c>
      <c r="G79" s="1133">
        <v>0.18007899999999999</v>
      </c>
      <c r="H79" s="1135">
        <f t="shared" si="9"/>
        <v>3.5686299999999893E-3</v>
      </c>
      <c r="J79" s="1136">
        <v>1.4838509600000001E-2</v>
      </c>
      <c r="K79" s="1135">
        <f t="shared" si="10"/>
        <v>-1.1269879600000011E-2</v>
      </c>
      <c r="M79" s="106">
        <f t="shared" si="12"/>
        <v>-5.6259416801286911E-2</v>
      </c>
      <c r="N79" s="1133">
        <v>0.54361934209762808</v>
      </c>
      <c r="O79" s="109">
        <f t="shared" si="13"/>
        <v>1.016015467414313E-4</v>
      </c>
      <c r="P79" s="1137">
        <f t="shared" si="11"/>
        <v>3.215812886735056E-5</v>
      </c>
      <c r="Q79" s="1131"/>
    </row>
    <row r="80" spans="2:17">
      <c r="B80" s="1132" t="s">
        <v>890</v>
      </c>
      <c r="C80" s="1133">
        <v>6.7649235205555547E-2</v>
      </c>
      <c r="D80" s="1134">
        <v>0</v>
      </c>
      <c r="E80" s="1134">
        <v>0</v>
      </c>
      <c r="F80" s="1133">
        <v>9.8791420000000005E-2</v>
      </c>
      <c r="G80" s="1133">
        <v>9.5913999999999999E-2</v>
      </c>
      <c r="H80" s="1135">
        <f t="shared" si="9"/>
        <v>-3.1142184794444458E-2</v>
      </c>
      <c r="J80" s="1136">
        <v>7.9033135999999997E-3</v>
      </c>
      <c r="K80" s="1135">
        <f t="shared" si="10"/>
        <v>-3.9045498394444461E-2</v>
      </c>
      <c r="M80" s="106">
        <f t="shared" si="12"/>
        <v>-0.36595525455667344</v>
      </c>
      <c r="N80" s="1133">
        <v>0.24693819788094867</v>
      </c>
      <c r="O80" s="109">
        <f t="shared" si="13"/>
        <v>4.6152336591695909E-5</v>
      </c>
      <c r="P80" s="1137">
        <f t="shared" si="11"/>
        <v>6.1808708347320255E-4</v>
      </c>
      <c r="Q80" s="1131"/>
    </row>
    <row r="81" spans="2:17">
      <c r="B81" s="1132" t="s">
        <v>891</v>
      </c>
      <c r="C81" s="1133">
        <v>0.14026820307894736</v>
      </c>
      <c r="D81" s="1134">
        <v>0</v>
      </c>
      <c r="E81" s="1134">
        <v>0</v>
      </c>
      <c r="F81" s="1133">
        <v>0.23310444999999999</v>
      </c>
      <c r="G81" s="1133">
        <v>0.22631499999999999</v>
      </c>
      <c r="H81" s="1135">
        <f t="shared" si="9"/>
        <v>-9.2836246921052634E-2</v>
      </c>
      <c r="J81" s="1136">
        <v>3.5019193540761086E-2</v>
      </c>
      <c r="K81" s="1135">
        <f t="shared" si="10"/>
        <v>-0.12785544046181371</v>
      </c>
      <c r="M81" s="106">
        <f t="shared" si="12"/>
        <v>-0.47685254001994304</v>
      </c>
      <c r="N81" s="1133">
        <v>0.54217270492913383</v>
      </c>
      <c r="O81" s="109">
        <f t="shared" si="13"/>
        <v>1.0133117267172746E-4</v>
      </c>
      <c r="P81" s="1137">
        <f t="shared" si="11"/>
        <v>2.3041527642978601E-3</v>
      </c>
      <c r="Q81" s="1131"/>
    </row>
    <row r="82" spans="2:17">
      <c r="B82" s="1132" t="s">
        <v>892</v>
      </c>
      <c r="C82" s="1133">
        <v>0.54613680000000009</v>
      </c>
      <c r="D82" s="1134">
        <v>0</v>
      </c>
      <c r="E82" s="1134">
        <v>0</v>
      </c>
      <c r="F82" s="1133">
        <v>0.47732363000000005</v>
      </c>
      <c r="G82" s="1133">
        <v>0.46342100000000003</v>
      </c>
      <c r="H82" s="1135">
        <f t="shared" si="9"/>
        <v>6.8813170000000035E-2</v>
      </c>
      <c r="J82" s="1136">
        <v>3.8185890400000005E-2</v>
      </c>
      <c r="K82" s="1135">
        <f t="shared" si="10"/>
        <v>3.0627279600000029E-2</v>
      </c>
      <c r="M82" s="106">
        <f t="shared" si="12"/>
        <v>5.9411666299073115E-2</v>
      </c>
      <c r="N82" s="1133">
        <v>0.92202104100872206</v>
      </c>
      <c r="O82" s="109">
        <f t="shared" si="13"/>
        <v>0</v>
      </c>
      <c r="P82" s="1137">
        <f t="shared" si="11"/>
        <v>0</v>
      </c>
      <c r="Q82" s="1131"/>
    </row>
    <row r="83" spans="2:17">
      <c r="B83" s="1132" t="s">
        <v>893</v>
      </c>
      <c r="C83" s="1133">
        <v>0.19900000000000001</v>
      </c>
      <c r="D83" s="1134">
        <v>0</v>
      </c>
      <c r="E83" s="1134">
        <v>0</v>
      </c>
      <c r="F83" s="1133">
        <v>0.15299002</v>
      </c>
      <c r="G83" s="1133">
        <v>0.148534</v>
      </c>
      <c r="H83" s="1135">
        <f t="shared" si="9"/>
        <v>4.6009980000000006E-2</v>
      </c>
      <c r="J83" s="1136">
        <v>1.904543705794769E-2</v>
      </c>
      <c r="K83" s="1135">
        <f t="shared" si="10"/>
        <v>2.6964542942052316E-2</v>
      </c>
      <c r="M83" s="106">
        <f t="shared" si="12"/>
        <v>0.15673828757852917</v>
      </c>
      <c r="N83" s="1133">
        <v>0.26292700206029063</v>
      </c>
      <c r="O83" s="109">
        <f t="shared" si="13"/>
        <v>0</v>
      </c>
      <c r="P83" s="1137">
        <f t="shared" si="11"/>
        <v>0</v>
      </c>
      <c r="Q83" s="1131"/>
    </row>
    <row r="84" spans="2:17">
      <c r="B84" s="1132" t="s">
        <v>894</v>
      </c>
      <c r="C84" s="1133">
        <v>0.99958980000000008</v>
      </c>
      <c r="D84" s="1134">
        <v>0</v>
      </c>
      <c r="E84" s="1134">
        <v>0</v>
      </c>
      <c r="F84" s="1133">
        <v>0.82533591000000006</v>
      </c>
      <c r="G84" s="1133">
        <v>0.80129700000000004</v>
      </c>
      <c r="H84" s="1135">
        <f t="shared" si="9"/>
        <v>0.17425389000000002</v>
      </c>
      <c r="J84" s="1136">
        <v>6.6026872800000011E-2</v>
      </c>
      <c r="K84" s="1135">
        <f t="shared" si="10"/>
        <v>0.10822701720000001</v>
      </c>
      <c r="M84" s="106">
        <f t="shared" si="12"/>
        <v>0.12141747365761793</v>
      </c>
      <c r="N84" s="1133">
        <v>1.602419722651564</v>
      </c>
      <c r="O84" s="109">
        <f t="shared" si="13"/>
        <v>0</v>
      </c>
      <c r="P84" s="1137">
        <f t="shared" si="11"/>
        <v>0</v>
      </c>
      <c r="Q84" s="1131"/>
    </row>
    <row r="85" spans="2:17">
      <c r="B85" s="1132" t="s">
        <v>895</v>
      </c>
      <c r="C85" s="1133">
        <v>0.15920000000000001</v>
      </c>
      <c r="D85" s="1134">
        <v>0</v>
      </c>
      <c r="E85" s="1134">
        <v>0</v>
      </c>
      <c r="F85" s="1133">
        <v>8.7159630000000002E-2</v>
      </c>
      <c r="G85" s="1133">
        <v>8.4621000000000002E-2</v>
      </c>
      <c r="H85" s="1135">
        <f t="shared" si="9"/>
        <v>7.2040370000000006E-2</v>
      </c>
      <c r="J85" s="1136">
        <v>6.9727704000000007E-3</v>
      </c>
      <c r="K85" s="1135">
        <f t="shared" si="10"/>
        <v>6.5067599600000012E-2</v>
      </c>
      <c r="M85" s="106">
        <f t="shared" si="12"/>
        <v>0.69123489174297115</v>
      </c>
      <c r="N85" s="1133">
        <v>0.17232377837735269</v>
      </c>
      <c r="O85" s="109">
        <f t="shared" si="13"/>
        <v>0</v>
      </c>
      <c r="P85" s="1137">
        <f t="shared" si="11"/>
        <v>0</v>
      </c>
      <c r="Q85" s="1131"/>
    </row>
    <row r="86" spans="2:17">
      <c r="B86" s="1132" t="s">
        <v>896</v>
      </c>
      <c r="C86" s="1133">
        <v>2.3568985895698922E-2</v>
      </c>
      <c r="D86" s="1134">
        <v>0</v>
      </c>
      <c r="E86" s="1134">
        <v>0</v>
      </c>
      <c r="F86" s="1133">
        <v>3.8775379999999998E-2</v>
      </c>
      <c r="G86" s="1133">
        <v>3.7645999999999999E-2</v>
      </c>
      <c r="H86" s="1135">
        <f t="shared" si="9"/>
        <v>-1.5206394104301076E-2</v>
      </c>
      <c r="J86" s="1136">
        <v>4.0559047479999995E-3</v>
      </c>
      <c r="K86" s="1135">
        <f t="shared" si="10"/>
        <v>-1.9262298852301074E-2</v>
      </c>
      <c r="M86" s="106">
        <f t="shared" si="12"/>
        <v>-0.44972498410056505</v>
      </c>
      <c r="N86" s="1133">
        <v>7.106135190818666E-2</v>
      </c>
      <c r="O86" s="109">
        <f t="shared" si="13"/>
        <v>1.3281247940056375E-5</v>
      </c>
      <c r="P86" s="1137">
        <f t="shared" si="11"/>
        <v>2.6861664134588672E-4</v>
      </c>
      <c r="Q86" s="1131"/>
    </row>
    <row r="87" spans="2:17">
      <c r="B87" s="1132" t="s">
        <v>897</v>
      </c>
      <c r="C87" s="1133">
        <v>1.6810100000000001</v>
      </c>
      <c r="D87" s="1134">
        <v>0</v>
      </c>
      <c r="E87" s="1134">
        <v>0</v>
      </c>
      <c r="F87" s="1133">
        <v>1.61445393</v>
      </c>
      <c r="G87" s="1133">
        <v>1.567431</v>
      </c>
      <c r="H87" s="1135">
        <f t="shared" si="9"/>
        <v>6.6556070000000078E-2</v>
      </c>
      <c r="J87" s="1136">
        <v>0.21212026494216762</v>
      </c>
      <c r="K87" s="1135">
        <f t="shared" si="10"/>
        <v>-0.14556419494216755</v>
      </c>
      <c r="M87" s="106">
        <f t="shared" si="12"/>
        <v>-7.9692462176044448E-2</v>
      </c>
      <c r="N87" s="1133">
        <v>2.9639181678298052</v>
      </c>
      <c r="O87" s="109">
        <f t="shared" si="13"/>
        <v>5.539513533579461E-4</v>
      </c>
      <c r="P87" s="1137">
        <f t="shared" si="11"/>
        <v>3.5180832949339422E-4</v>
      </c>
      <c r="Q87" s="1131"/>
    </row>
    <row r="88" spans="2:17">
      <c r="B88" s="1132" t="s">
        <v>898</v>
      </c>
      <c r="C88" s="1133">
        <v>0.51739999999999997</v>
      </c>
      <c r="D88" s="1134">
        <v>0</v>
      </c>
      <c r="E88" s="1134">
        <v>0</v>
      </c>
      <c r="F88" s="1133">
        <v>0.50563420999999997</v>
      </c>
      <c r="G88" s="1133">
        <v>0.49090699999999998</v>
      </c>
      <c r="H88" s="1135">
        <f>+C88+D88-E88-F88</f>
        <v>1.1765789999999998E-2</v>
      </c>
      <c r="J88" s="1136">
        <v>4.0450736799999998E-2</v>
      </c>
      <c r="K88" s="1135">
        <f>+H88-J88</f>
        <v>-2.86849468E-2</v>
      </c>
      <c r="M88" s="106">
        <f>+IF(ISERROR(K88/(F88+J88)),0,K88/(F88+J88))</f>
        <v>-5.2528360226903804E-2</v>
      </c>
      <c r="N88" s="1133">
        <v>0.92557410860413136</v>
      </c>
      <c r="O88" s="109">
        <f t="shared" si="13"/>
        <v>1.7298825441923433E-4</v>
      </c>
      <c r="P88" s="1137">
        <f>(M88^2*O88)*100</f>
        <v>4.7731414392333234E-5</v>
      </c>
      <c r="Q88" s="1131"/>
    </row>
    <row r="89" spans="2:17">
      <c r="B89" s="1132" t="s">
        <v>899</v>
      </c>
      <c r="C89" s="1133">
        <v>1.2610000000000001</v>
      </c>
      <c r="D89" s="1134">
        <v>0</v>
      </c>
      <c r="E89" s="1134">
        <v>0</v>
      </c>
      <c r="F89" s="1133">
        <v>0.81499367999999994</v>
      </c>
      <c r="G89" s="1133">
        <v>0.79125599999999996</v>
      </c>
      <c r="H89" s="1135">
        <f t="shared" ref="H89:H112" si="14">+C89+D89-E89-F89</f>
        <v>0.44600632000000018</v>
      </c>
      <c r="J89" s="1136">
        <v>6.5199494400000002E-2</v>
      </c>
      <c r="K89" s="1135">
        <f t="shared" ref="K89:K112" si="15">+H89-J89</f>
        <v>0.38080682560000018</v>
      </c>
      <c r="M89" s="106">
        <f>+IF(ISERROR(K89/(F89+J89)),0,K89/(F89+J89))</f>
        <v>0.43264005751871937</v>
      </c>
      <c r="N89" s="1133">
        <v>1.4478750451293032</v>
      </c>
      <c r="O89" s="109">
        <f t="shared" si="13"/>
        <v>0</v>
      </c>
      <c r="P89" s="1137">
        <f t="shared" ref="P89:P112" si="16">(M89^2*O89)*100</f>
        <v>0</v>
      </c>
      <c r="Q89" s="1131"/>
    </row>
    <row r="90" spans="2:17">
      <c r="B90" s="1132" t="s">
        <v>900</v>
      </c>
      <c r="C90" s="1133">
        <v>0.4285795843591837</v>
      </c>
      <c r="D90" s="1134">
        <v>0</v>
      </c>
      <c r="E90" s="1134">
        <v>0</v>
      </c>
      <c r="F90" s="1133">
        <v>0.12215697</v>
      </c>
      <c r="G90" s="1133">
        <v>0.118599</v>
      </c>
      <c r="H90" s="1135">
        <f t="shared" si="14"/>
        <v>0.30642261435918372</v>
      </c>
      <c r="J90" s="1136">
        <v>9.7725576000000005E-3</v>
      </c>
      <c r="K90" s="1135">
        <f t="shared" si="15"/>
        <v>0.29665005675918371</v>
      </c>
      <c r="M90" s="106">
        <f t="shared" ref="M90:M112" si="17">+IF(ISERROR(K90/(F90+J90)),0,K90/(F90+J90))</f>
        <v>2.2485493744706146</v>
      </c>
      <c r="N90" s="1133">
        <v>0.19056969511377361</v>
      </c>
      <c r="O90" s="109">
        <f t="shared" si="13"/>
        <v>0</v>
      </c>
      <c r="P90" s="1137">
        <f t="shared" si="16"/>
        <v>0</v>
      </c>
      <c r="Q90" s="1131"/>
    </row>
    <row r="91" spans="2:17">
      <c r="B91" s="1132" t="s">
        <v>901</v>
      </c>
      <c r="C91" s="1133">
        <v>5.6715000000000002E-2</v>
      </c>
      <c r="D91" s="1134">
        <v>0</v>
      </c>
      <c r="E91" s="1134">
        <v>0</v>
      </c>
      <c r="F91" s="1133">
        <v>3.2812710000000002E-2</v>
      </c>
      <c r="G91" s="1133">
        <v>3.1857000000000003E-2</v>
      </c>
      <c r="H91" s="1135">
        <f t="shared" si="14"/>
        <v>2.390229E-2</v>
      </c>
      <c r="J91" s="1136">
        <v>2.6250168000000003E-3</v>
      </c>
      <c r="K91" s="1135">
        <f t="shared" si="15"/>
        <v>2.1277273199999999E-2</v>
      </c>
      <c r="M91" s="106">
        <f t="shared" si="17"/>
        <v>0.60041303777983857</v>
      </c>
      <c r="N91" s="1133">
        <v>8.2858849129567078E-2</v>
      </c>
      <c r="O91" s="109">
        <f t="shared" si="13"/>
        <v>0</v>
      </c>
      <c r="P91" s="1137">
        <f t="shared" si="16"/>
        <v>0</v>
      </c>
      <c r="Q91" s="1131"/>
    </row>
    <row r="92" spans="2:17">
      <c r="B92" s="1132" t="s">
        <v>902</v>
      </c>
      <c r="C92" s="1133">
        <v>0.35322499999999996</v>
      </c>
      <c r="D92" s="1134">
        <v>0</v>
      </c>
      <c r="E92" s="1134">
        <v>0</v>
      </c>
      <c r="F92" s="1133">
        <v>0.31597515999999998</v>
      </c>
      <c r="G92" s="1133">
        <v>0.30677199999999999</v>
      </c>
      <c r="H92" s="1135">
        <f t="shared" si="14"/>
        <v>3.7249839999999979E-2</v>
      </c>
      <c r="J92" s="1136">
        <v>2.5278012799999999E-2</v>
      </c>
      <c r="K92" s="1135">
        <f t="shared" si="15"/>
        <v>1.1971827199999979E-2</v>
      </c>
      <c r="M92" s="106">
        <f t="shared" si="17"/>
        <v>3.5081951331823569E-2</v>
      </c>
      <c r="N92" s="1133">
        <v>0.51827397788886076</v>
      </c>
      <c r="O92" s="109">
        <f t="shared" si="13"/>
        <v>0</v>
      </c>
      <c r="P92" s="1137">
        <f t="shared" si="16"/>
        <v>0</v>
      </c>
      <c r="Q92" s="1131"/>
    </row>
    <row r="93" spans="2:17">
      <c r="B93" s="1132" t="s">
        <v>903</v>
      </c>
      <c r="C93" s="1133">
        <v>4.9029286573469395E-2</v>
      </c>
      <c r="D93" s="1134">
        <v>0</v>
      </c>
      <c r="E93" s="1134">
        <v>0</v>
      </c>
      <c r="F93" s="1133">
        <v>2.9832920000000002E-2</v>
      </c>
      <c r="G93" s="1133">
        <v>2.8964E-2</v>
      </c>
      <c r="H93" s="1135">
        <f t="shared" si="14"/>
        <v>1.9196366573469393E-2</v>
      </c>
      <c r="J93" s="1136">
        <v>2.3866336000000002E-3</v>
      </c>
      <c r="K93" s="1135">
        <f t="shared" si="15"/>
        <v>1.6809732973469393E-2</v>
      </c>
      <c r="M93" s="106">
        <f t="shared" si="17"/>
        <v>0.52172457701181152</v>
      </c>
      <c r="N93" s="1133">
        <v>9.0982265710897195E-2</v>
      </c>
      <c r="O93" s="109">
        <f t="shared" si="13"/>
        <v>0</v>
      </c>
      <c r="P93" s="1137">
        <f t="shared" si="16"/>
        <v>0</v>
      </c>
      <c r="Q93" s="1131"/>
    </row>
    <row r="94" spans="2:17">
      <c r="B94" s="1132" t="s">
        <v>904</v>
      </c>
      <c r="C94" s="1133">
        <v>3.9800000000000002E-2</v>
      </c>
      <c r="D94" s="1134">
        <v>0</v>
      </c>
      <c r="E94" s="1134">
        <v>0</v>
      </c>
      <c r="F94" s="1133">
        <v>7.8990699999999994E-3</v>
      </c>
      <c r="G94" s="1133">
        <v>7.6689999999999996E-3</v>
      </c>
      <c r="H94" s="1135">
        <f t="shared" si="14"/>
        <v>3.1900930000000001E-2</v>
      </c>
      <c r="J94" s="1136">
        <v>6.3192559999999997E-4</v>
      </c>
      <c r="K94" s="1135">
        <f t="shared" si="15"/>
        <v>3.1269004400000001E-2</v>
      </c>
      <c r="M94" s="106">
        <f t="shared" si="17"/>
        <v>3.6653405846323501</v>
      </c>
      <c r="N94" s="1133">
        <v>5.3614549436778701E-2</v>
      </c>
      <c r="O94" s="109">
        <f t="shared" si="13"/>
        <v>0</v>
      </c>
      <c r="P94" s="1137">
        <f t="shared" si="16"/>
        <v>0</v>
      </c>
      <c r="Q94" s="1131"/>
    </row>
    <row r="95" spans="2:17">
      <c r="B95" s="1132" t="s">
        <v>905</v>
      </c>
      <c r="C95" s="1133">
        <v>0.61610998463235289</v>
      </c>
      <c r="D95" s="1134">
        <v>0</v>
      </c>
      <c r="E95" s="1134">
        <v>0</v>
      </c>
      <c r="F95" s="1133">
        <v>0.4017</v>
      </c>
      <c r="G95" s="1133">
        <v>0.39</v>
      </c>
      <c r="H95" s="1135">
        <f t="shared" si="14"/>
        <v>0.21440998463235289</v>
      </c>
      <c r="J95" s="1136">
        <v>5.0853152465477454E-2</v>
      </c>
      <c r="K95" s="1135">
        <f t="shared" si="15"/>
        <v>0.16355683216687544</v>
      </c>
      <c r="M95" s="106">
        <f t="shared" si="17"/>
        <v>0.36140911023562522</v>
      </c>
      <c r="N95" s="1133">
        <v>0.49601015857178549</v>
      </c>
      <c r="O95" s="109">
        <f t="shared" si="13"/>
        <v>0</v>
      </c>
      <c r="P95" s="1137">
        <f t="shared" si="16"/>
        <v>0</v>
      </c>
      <c r="Q95" s="1131"/>
    </row>
    <row r="96" spans="2:17">
      <c r="B96" s="1132" t="s">
        <v>906</v>
      </c>
      <c r="C96" s="1133">
        <v>0.35098021380204081</v>
      </c>
      <c r="D96" s="1134">
        <v>0</v>
      </c>
      <c r="E96" s="1134">
        <v>0</v>
      </c>
      <c r="F96" s="1133">
        <v>0.11530026</v>
      </c>
      <c r="G96" s="1133">
        <v>0.111942</v>
      </c>
      <c r="H96" s="1135">
        <f t="shared" si="14"/>
        <v>0.23567995380204082</v>
      </c>
      <c r="J96" s="1136">
        <v>9.2240207999999997E-3</v>
      </c>
      <c r="K96" s="1135">
        <f t="shared" si="15"/>
        <v>0.22645593300204081</v>
      </c>
      <c r="M96" s="106">
        <f t="shared" si="17"/>
        <v>1.8185684875847989</v>
      </c>
      <c r="N96" s="1133">
        <v>0.32006261330440616</v>
      </c>
      <c r="O96" s="109">
        <f t="shared" si="13"/>
        <v>0</v>
      </c>
      <c r="P96" s="1137">
        <f t="shared" si="16"/>
        <v>0</v>
      </c>
      <c r="Q96" s="1131"/>
    </row>
    <row r="97" spans="2:17">
      <c r="B97" s="1132" t="s">
        <v>907</v>
      </c>
      <c r="C97" s="1133">
        <v>0.60478661562608693</v>
      </c>
      <c r="D97" s="1134">
        <v>0</v>
      </c>
      <c r="E97" s="1134">
        <v>0</v>
      </c>
      <c r="F97" s="1133">
        <v>0.48461294000000005</v>
      </c>
      <c r="G97" s="1133">
        <v>0.47049800000000003</v>
      </c>
      <c r="H97" s="1135">
        <f t="shared" si="14"/>
        <v>0.12017367562608688</v>
      </c>
      <c r="J97" s="1136">
        <v>3.8769035200000003E-2</v>
      </c>
      <c r="K97" s="1135">
        <f t="shared" si="15"/>
        <v>8.1404640426086888E-2</v>
      </c>
      <c r="M97" s="106">
        <f t="shared" si="17"/>
        <v>0.15553581186088747</v>
      </c>
      <c r="N97" s="1133">
        <v>0.58813536048829962</v>
      </c>
      <c r="O97" s="109">
        <f t="shared" si="13"/>
        <v>0</v>
      </c>
      <c r="P97" s="1137">
        <f t="shared" si="16"/>
        <v>0</v>
      </c>
      <c r="Q97" s="1131"/>
    </row>
    <row r="98" spans="2:17">
      <c r="B98" s="1132" t="s">
        <v>908</v>
      </c>
      <c r="C98" s="1133">
        <v>4.2627409999999992</v>
      </c>
      <c r="D98" s="1134">
        <v>0</v>
      </c>
      <c r="E98" s="1134">
        <v>0</v>
      </c>
      <c r="F98" s="1133">
        <v>3.9359606300000003</v>
      </c>
      <c r="G98" s="1133">
        <v>3.8213210000000002</v>
      </c>
      <c r="H98" s="1135">
        <f t="shared" si="14"/>
        <v>0.32678036999999893</v>
      </c>
      <c r="J98" s="1136">
        <v>0.31487685040000002</v>
      </c>
      <c r="K98" s="1135">
        <f t="shared" si="15"/>
        <v>1.1903519599998913E-2</v>
      </c>
      <c r="M98" s="106">
        <f t="shared" si="17"/>
        <v>2.8002763349303113E-3</v>
      </c>
      <c r="N98" s="1133">
        <v>5.4325933140372511</v>
      </c>
      <c r="O98" s="109">
        <f t="shared" si="13"/>
        <v>0</v>
      </c>
      <c r="P98" s="1137">
        <f t="shared" si="16"/>
        <v>0</v>
      </c>
      <c r="Q98" s="1131"/>
    </row>
    <row r="99" spans="2:17">
      <c r="B99" s="1132" t="s">
        <v>909</v>
      </c>
      <c r="C99" s="1133">
        <v>6.8677668805494507</v>
      </c>
      <c r="D99" s="1134">
        <v>0</v>
      </c>
      <c r="E99" s="1134">
        <v>0</v>
      </c>
      <c r="F99" s="1133">
        <v>6.6184514300000004</v>
      </c>
      <c r="G99" s="1133">
        <v>6.425681</v>
      </c>
      <c r="H99" s="1135">
        <f t="shared" si="14"/>
        <v>0.24931545054945037</v>
      </c>
      <c r="J99" s="1136">
        <v>0.52947611440000009</v>
      </c>
      <c r="K99" s="1135">
        <f t="shared" si="15"/>
        <v>-0.28016066385054972</v>
      </c>
      <c r="M99" s="106">
        <f t="shared" si="17"/>
        <v>-3.9194670358688767E-2</v>
      </c>
      <c r="N99" s="1133">
        <v>14.301705631692171</v>
      </c>
      <c r="O99" s="109">
        <f t="shared" si="13"/>
        <v>2.6729648868152431E-3</v>
      </c>
      <c r="P99" s="1137">
        <f t="shared" si="16"/>
        <v>4.1062679575853424E-4</v>
      </c>
      <c r="Q99" s="1131"/>
    </row>
    <row r="100" spans="2:17">
      <c r="B100" s="1132" t="s">
        <v>910</v>
      </c>
      <c r="C100" s="1133">
        <v>0.59699999999999998</v>
      </c>
      <c r="D100" s="1134">
        <v>0</v>
      </c>
      <c r="E100" s="1134">
        <v>0</v>
      </c>
      <c r="F100" s="1133">
        <v>0.65315287000000011</v>
      </c>
      <c r="G100" s="1133">
        <v>0.63412900000000005</v>
      </c>
      <c r="H100" s="1135">
        <f t="shared" si="14"/>
        <v>-5.6152870000000132E-2</v>
      </c>
      <c r="J100" s="1136">
        <v>5.2252229600000012E-2</v>
      </c>
      <c r="K100" s="1135">
        <f t="shared" si="15"/>
        <v>-0.10840509960000014</v>
      </c>
      <c r="M100" s="106">
        <f t="shared" si="17"/>
        <v>-0.15367779402427234</v>
      </c>
      <c r="N100" s="1133">
        <v>0.99158760171320171</v>
      </c>
      <c r="O100" s="109">
        <f t="shared" si="13"/>
        <v>1.8532606598386007E-4</v>
      </c>
      <c r="P100" s="1137">
        <f t="shared" si="16"/>
        <v>4.3768205657093392E-4</v>
      </c>
      <c r="Q100" s="1131"/>
    </row>
    <row r="101" spans="2:17">
      <c r="B101" s="1132" t="s">
        <v>911</v>
      </c>
      <c r="C101" s="1133">
        <v>0.58704000000000001</v>
      </c>
      <c r="D101" s="1134">
        <v>0</v>
      </c>
      <c r="E101" s="1134">
        <v>0</v>
      </c>
      <c r="F101" s="1133">
        <v>0.38389439000000003</v>
      </c>
      <c r="G101" s="1133">
        <v>0.37271300000000002</v>
      </c>
      <c r="H101" s="1135">
        <f t="shared" si="14"/>
        <v>0.20314560999999998</v>
      </c>
      <c r="J101" s="1136">
        <v>3.0711551200000003E-2</v>
      </c>
      <c r="K101" s="1135">
        <f t="shared" si="15"/>
        <v>0.17243405879999998</v>
      </c>
      <c r="M101" s="106">
        <f t="shared" si="17"/>
        <v>0.41589866826539329</v>
      </c>
      <c r="N101" s="1133">
        <v>0.75329910827824631</v>
      </c>
      <c r="O101" s="109">
        <f t="shared" si="13"/>
        <v>0</v>
      </c>
      <c r="P101" s="1137">
        <f t="shared" si="16"/>
        <v>0</v>
      </c>
      <c r="Q101" s="1131"/>
    </row>
    <row r="102" spans="2:17">
      <c r="B102" s="1132" t="s">
        <v>912</v>
      </c>
      <c r="C102" s="1133">
        <v>0.39800000000000002</v>
      </c>
      <c r="D102" s="1134">
        <v>0</v>
      </c>
      <c r="E102" s="1134">
        <v>0</v>
      </c>
      <c r="F102" s="1133">
        <v>0.33031894000000001</v>
      </c>
      <c r="G102" s="1133">
        <v>0.32069799999999998</v>
      </c>
      <c r="H102" s="1135">
        <f t="shared" si="14"/>
        <v>6.7681060000000015E-2</v>
      </c>
      <c r="J102" s="1136">
        <v>2.6425515199999999E-2</v>
      </c>
      <c r="K102" s="1135">
        <f t="shared" si="15"/>
        <v>4.1255544800000016E-2</v>
      </c>
      <c r="M102" s="106">
        <f t="shared" si="17"/>
        <v>0.11564452985505019</v>
      </c>
      <c r="N102" s="1133">
        <v>0.86475662940104803</v>
      </c>
      <c r="O102" s="109">
        <f t="shared" si="13"/>
        <v>0</v>
      </c>
      <c r="P102" s="1137">
        <f t="shared" si="16"/>
        <v>0</v>
      </c>
      <c r="Q102" s="1131"/>
    </row>
    <row r="103" spans="2:17">
      <c r="B103" s="1132" t="s">
        <v>913</v>
      </c>
      <c r="C103" s="1133">
        <v>5.7371999999999999E-2</v>
      </c>
      <c r="D103" s="1134">
        <v>0</v>
      </c>
      <c r="E103" s="1134">
        <v>0</v>
      </c>
      <c r="F103" s="1133">
        <v>1.9780119999999998E-2</v>
      </c>
      <c r="G103" s="1133">
        <v>1.9203999999999999E-2</v>
      </c>
      <c r="H103" s="1135">
        <f t="shared" si="14"/>
        <v>3.7591880000000001E-2</v>
      </c>
      <c r="J103" s="1136">
        <v>1.5824095999999999E-3</v>
      </c>
      <c r="K103" s="1135">
        <f t="shared" si="15"/>
        <v>3.60094704E-2</v>
      </c>
      <c r="M103" s="106">
        <f t="shared" si="17"/>
        <v>1.6856370043367899</v>
      </c>
      <c r="N103" s="1133">
        <v>0.11530088392013974</v>
      </c>
      <c r="O103" s="109">
        <f t="shared" si="13"/>
        <v>0</v>
      </c>
      <c r="P103" s="1137">
        <f t="shared" si="16"/>
        <v>0</v>
      </c>
      <c r="Q103" s="1131"/>
    </row>
    <row r="104" spans="2:17">
      <c r="B104" s="1132" t="s">
        <v>914</v>
      </c>
      <c r="C104" s="1133">
        <v>1.8794733177499998E-2</v>
      </c>
      <c r="D104" s="1134">
        <v>0</v>
      </c>
      <c r="E104" s="1134">
        <v>0</v>
      </c>
      <c r="F104" s="1133">
        <v>1.2833800000000001E-2</v>
      </c>
      <c r="G104" s="1133">
        <v>1.2460000000000001E-2</v>
      </c>
      <c r="H104" s="1135">
        <f t="shared" si="14"/>
        <v>5.9609331774999972E-3</v>
      </c>
      <c r="J104" s="1136">
        <v>1.026704E-3</v>
      </c>
      <c r="K104" s="1135">
        <f t="shared" si="15"/>
        <v>4.9342291774999974E-3</v>
      </c>
      <c r="M104" s="106">
        <f t="shared" si="17"/>
        <v>0.35599204599630702</v>
      </c>
      <c r="N104" s="1133">
        <v>6.9180530352083852E-2</v>
      </c>
      <c r="O104" s="109">
        <f t="shared" si="13"/>
        <v>0</v>
      </c>
      <c r="P104" s="1137">
        <f t="shared" si="16"/>
        <v>0</v>
      </c>
      <c r="Q104" s="1131"/>
    </row>
    <row r="105" spans="2:17">
      <c r="B105" s="1132" t="s">
        <v>915</v>
      </c>
      <c r="C105" s="1133">
        <v>2.9543999999999997E-2</v>
      </c>
      <c r="D105" s="1134">
        <v>0</v>
      </c>
      <c r="E105" s="1134">
        <v>0</v>
      </c>
      <c r="F105" s="1133">
        <v>7.5272400000000001E-3</v>
      </c>
      <c r="G105" s="1133">
        <v>7.3080000000000003E-3</v>
      </c>
      <c r="H105" s="1135">
        <f t="shared" si="14"/>
        <v>2.2016759999999996E-2</v>
      </c>
      <c r="J105" s="1136">
        <v>6.0217920000000006E-4</v>
      </c>
      <c r="K105" s="1135">
        <f t="shared" si="15"/>
        <v>2.1414580799999996E-2</v>
      </c>
      <c r="M105" s="106">
        <f t="shared" si="17"/>
        <v>2.6342079640818619</v>
      </c>
      <c r="N105" s="1133">
        <v>5.5728760561400865E-2</v>
      </c>
      <c r="O105" s="109">
        <f t="shared" si="13"/>
        <v>0</v>
      </c>
      <c r="P105" s="1137">
        <f t="shared" si="16"/>
        <v>0</v>
      </c>
      <c r="Q105" s="1131"/>
    </row>
    <row r="106" spans="2:17">
      <c r="B106" s="1132" t="s">
        <v>916</v>
      </c>
      <c r="C106" s="1133">
        <v>6.6059697501292466E-3</v>
      </c>
      <c r="D106" s="1134">
        <v>0</v>
      </c>
      <c r="E106" s="1134">
        <v>0</v>
      </c>
      <c r="F106" s="1133">
        <v>1.6087569999999999E-2</v>
      </c>
      <c r="G106" s="1133">
        <v>1.5618999999999999E-2</v>
      </c>
      <c r="H106" s="1135">
        <f t="shared" si="14"/>
        <v>-9.4816002498707523E-3</v>
      </c>
      <c r="J106" s="1136">
        <v>1.6290631678283843E-3</v>
      </c>
      <c r="K106" s="1135">
        <f t="shared" si="15"/>
        <v>-1.1110663417699137E-2</v>
      </c>
      <c r="M106" s="106">
        <f t="shared" si="17"/>
        <v>-0.62713176439612583</v>
      </c>
      <c r="N106" s="1133">
        <v>3.8433627973379916E-2</v>
      </c>
      <c r="O106" s="109">
        <f t="shared" si="13"/>
        <v>7.1831808520876007E-6</v>
      </c>
      <c r="P106" s="1137">
        <f t="shared" si="16"/>
        <v>2.8251037252226946E-4</v>
      </c>
      <c r="Q106" s="1131"/>
    </row>
    <row r="107" spans="2:17">
      <c r="B107" s="1132" t="s">
        <v>917</v>
      </c>
      <c r="C107" s="1133">
        <v>1.4999999999999999E-2</v>
      </c>
      <c r="D107" s="1134">
        <v>0</v>
      </c>
      <c r="E107" s="1134">
        <v>0</v>
      </c>
      <c r="F107" s="1133">
        <v>4.0324499999999999E-3</v>
      </c>
      <c r="G107" s="1133">
        <v>3.9150000000000001E-3</v>
      </c>
      <c r="H107" s="1135">
        <f t="shared" si="14"/>
        <v>1.096755E-2</v>
      </c>
      <c r="J107" s="1136">
        <v>3.2259600000000003E-4</v>
      </c>
      <c r="K107" s="1135">
        <f t="shared" si="15"/>
        <v>1.0644954E-2</v>
      </c>
      <c r="M107" s="106">
        <f t="shared" si="17"/>
        <v>2.444280496692802</v>
      </c>
      <c r="N107" s="1133">
        <v>1.9401563014936087E-2</v>
      </c>
      <c r="O107" s="109">
        <f t="shared" si="13"/>
        <v>0</v>
      </c>
      <c r="P107" s="1137">
        <f t="shared" si="16"/>
        <v>0</v>
      </c>
      <c r="Q107" s="1131"/>
    </row>
    <row r="108" spans="2:17">
      <c r="B108" s="1132" t="s">
        <v>918</v>
      </c>
      <c r="C108" s="1133">
        <v>1.3409399782874998</v>
      </c>
      <c r="D108" s="1134">
        <v>0</v>
      </c>
      <c r="E108" s="1134">
        <v>0</v>
      </c>
      <c r="F108" s="1133">
        <v>1.31327163</v>
      </c>
      <c r="G108" s="1133">
        <v>1.275021</v>
      </c>
      <c r="H108" s="1135">
        <f t="shared" si="14"/>
        <v>2.7668348287499756E-2</v>
      </c>
      <c r="J108" s="1136">
        <v>0.1050617304</v>
      </c>
      <c r="K108" s="1135">
        <f t="shared" si="15"/>
        <v>-7.7393382112500242E-2</v>
      </c>
      <c r="M108" s="106">
        <f t="shared" si="17"/>
        <v>-5.4566425830013379E-2</v>
      </c>
      <c r="N108" s="1133">
        <v>2.8776142908488387</v>
      </c>
      <c r="O108" s="109">
        <f t="shared" si="13"/>
        <v>5.3782130294948653E-4</v>
      </c>
      <c r="P108" s="1137">
        <f t="shared" si="16"/>
        <v>1.6013601478462869E-4</v>
      </c>
      <c r="Q108" s="1131"/>
    </row>
    <row r="109" spans="2:17">
      <c r="B109" s="1132" t="s">
        <v>919</v>
      </c>
      <c r="C109" s="1133">
        <v>0.52182125472291663</v>
      </c>
      <c r="D109" s="1134">
        <v>0</v>
      </c>
      <c r="E109" s="1134">
        <v>0</v>
      </c>
      <c r="F109" s="1133">
        <v>0.42517267000000003</v>
      </c>
      <c r="G109" s="1133">
        <v>0.41278900000000002</v>
      </c>
      <c r="H109" s="1135">
        <f t="shared" si="14"/>
        <v>9.6648584722916597E-2</v>
      </c>
      <c r="J109" s="1136">
        <v>3.4013813600000005E-2</v>
      </c>
      <c r="K109" s="1135">
        <f t="shared" si="15"/>
        <v>6.2634771122916599E-2</v>
      </c>
      <c r="M109" s="106">
        <f t="shared" si="17"/>
        <v>0.13640377789838889</v>
      </c>
      <c r="N109" s="1133">
        <v>0.49876488552697923</v>
      </c>
      <c r="O109" s="109">
        <f t="shared" si="13"/>
        <v>0</v>
      </c>
      <c r="P109" s="1137">
        <f t="shared" si="16"/>
        <v>0</v>
      </c>
      <c r="Q109" s="1131"/>
    </row>
    <row r="110" spans="2:17">
      <c r="B110" s="1132" t="s">
        <v>920</v>
      </c>
      <c r="C110" s="1133">
        <v>0.86233972952500004</v>
      </c>
      <c r="D110" s="1134">
        <v>0</v>
      </c>
      <c r="E110" s="1134">
        <v>0</v>
      </c>
      <c r="F110" s="1133">
        <v>0.34344732</v>
      </c>
      <c r="G110" s="1133">
        <v>0.33344400000000002</v>
      </c>
      <c r="H110" s="1135">
        <f t="shared" si="14"/>
        <v>0.51889240952500004</v>
      </c>
      <c r="J110" s="1136">
        <v>2.74757856E-2</v>
      </c>
      <c r="K110" s="1135">
        <f t="shared" si="15"/>
        <v>0.49141662392500002</v>
      </c>
      <c r="M110" s="106">
        <f t="shared" si="17"/>
        <v>1.3248477016013638</v>
      </c>
      <c r="N110" s="1133">
        <v>1.1400340240616669</v>
      </c>
      <c r="O110" s="109">
        <f t="shared" si="13"/>
        <v>0</v>
      </c>
      <c r="P110" s="1137">
        <f t="shared" si="16"/>
        <v>0</v>
      </c>
      <c r="Q110" s="1131"/>
    </row>
    <row r="111" spans="2:17">
      <c r="B111" s="1132" t="s">
        <v>921</v>
      </c>
      <c r="C111" s="1133">
        <v>5.8026287018608693</v>
      </c>
      <c r="D111" s="1134">
        <v>0</v>
      </c>
      <c r="E111" s="1134">
        <v>0</v>
      </c>
      <c r="F111" s="1133">
        <v>3.6318788799999999</v>
      </c>
      <c r="G111" s="1133">
        <v>3.5260959999999999</v>
      </c>
      <c r="H111" s="1135">
        <f t="shared" si="14"/>
        <v>2.1707498218608694</v>
      </c>
      <c r="J111" s="1136">
        <v>0.29055031040000001</v>
      </c>
      <c r="K111" s="1135">
        <f t="shared" si="15"/>
        <v>1.8801995114608694</v>
      </c>
      <c r="M111" s="106">
        <f t="shared" si="17"/>
        <v>0.47934568610252748</v>
      </c>
      <c r="N111" s="1133">
        <v>9.2475122744943921</v>
      </c>
      <c r="O111" s="109">
        <f t="shared" si="13"/>
        <v>0</v>
      </c>
      <c r="P111" s="1137">
        <f t="shared" si="16"/>
        <v>0</v>
      </c>
      <c r="Q111" s="1131"/>
    </row>
    <row r="112" spans="2:17">
      <c r="B112" s="1132" t="s">
        <v>922</v>
      </c>
      <c r="C112" s="1133">
        <v>2.1097685714583334</v>
      </c>
      <c r="D112" s="1134">
        <v>0</v>
      </c>
      <c r="E112" s="1134">
        <v>0</v>
      </c>
      <c r="F112" s="1133">
        <v>1.8242845000000001</v>
      </c>
      <c r="G112" s="1133">
        <v>1.77115</v>
      </c>
      <c r="H112" s="1135">
        <f t="shared" si="14"/>
        <v>0.28548407145833332</v>
      </c>
      <c r="J112" s="1136">
        <v>0.14594276</v>
      </c>
      <c r="K112" s="1135">
        <f t="shared" si="15"/>
        <v>0.13954131145833332</v>
      </c>
      <c r="M112" s="106">
        <f t="shared" si="17"/>
        <v>7.0824982625777549E-2</v>
      </c>
      <c r="N112" s="1133">
        <v>4.2743685604594965</v>
      </c>
      <c r="O112" s="109">
        <f t="shared" si="13"/>
        <v>0</v>
      </c>
      <c r="P112" s="1137">
        <f t="shared" si="16"/>
        <v>0</v>
      </c>
      <c r="Q112" s="1131"/>
    </row>
    <row r="113" spans="2:17">
      <c r="B113" s="1132" t="s">
        <v>923</v>
      </c>
      <c r="C113" s="1133">
        <v>2.9850000000000002E-3</v>
      </c>
      <c r="D113" s="1134">
        <v>0</v>
      </c>
      <c r="E113" s="1134">
        <v>0</v>
      </c>
      <c r="F113" s="1133">
        <v>1.5810499999999999E-3</v>
      </c>
      <c r="G113" s="1133">
        <v>1.5349999999999999E-3</v>
      </c>
      <c r="H113" s="1135">
        <f>+C113+D113-E113-F113</f>
        <v>1.4039500000000004E-3</v>
      </c>
      <c r="J113" s="1136">
        <v>1.26484E-4</v>
      </c>
      <c r="K113" s="1135">
        <f>+H113-J113</f>
        <v>1.2774660000000003E-3</v>
      </c>
      <c r="M113" s="106">
        <f>+IF(ISERROR(K113/(F113+J113)),0,K113/(F113+J113))</f>
        <v>0.7481350298149263</v>
      </c>
      <c r="N113" s="1133">
        <v>1.6193665114512312E-2</v>
      </c>
      <c r="O113" s="109">
        <f t="shared" si="13"/>
        <v>0</v>
      </c>
      <c r="P113" s="1137">
        <f>(M113^2*O113)*100</f>
        <v>0</v>
      </c>
      <c r="Q113" s="1131"/>
    </row>
    <row r="114" spans="2:17">
      <c r="B114" s="1132" t="s">
        <v>924</v>
      </c>
      <c r="C114" s="1133">
        <v>1.1940000000000001E-2</v>
      </c>
      <c r="D114" s="1134">
        <v>0</v>
      </c>
      <c r="E114" s="1134">
        <v>0</v>
      </c>
      <c r="F114" s="1133">
        <v>8.0875600000000006E-3</v>
      </c>
      <c r="G114" s="1133">
        <v>7.8519999999999996E-3</v>
      </c>
      <c r="H114" s="1135">
        <f t="shared" ref="H114:H137" si="18">+C114+D114-E114-F114</f>
        <v>3.8524400000000004E-3</v>
      </c>
      <c r="J114" s="1136">
        <v>6.4700480000000002E-4</v>
      </c>
      <c r="K114" s="1135">
        <f t="shared" ref="K114:K137" si="19">+H114-J114</f>
        <v>3.2054352000000005E-3</v>
      </c>
      <c r="M114" s="106">
        <f>+IF(ISERROR(K114/(F114+J114)),0,K114/(F114+J114))</f>
        <v>0.3669828175068322</v>
      </c>
      <c r="N114" s="1133">
        <v>2.7529230694670937E-2</v>
      </c>
      <c r="O114" s="109">
        <f t="shared" si="13"/>
        <v>0</v>
      </c>
      <c r="P114" s="1137">
        <f t="shared" ref="P114:P137" si="20">(M114^2*O114)*100</f>
        <v>0</v>
      </c>
      <c r="Q114" s="1131"/>
    </row>
    <row r="115" spans="2:17">
      <c r="B115" s="1132" t="s">
        <v>925</v>
      </c>
      <c r="C115" s="1133">
        <v>0.61292000000000002</v>
      </c>
      <c r="D115" s="1134">
        <v>0</v>
      </c>
      <c r="E115" s="1134">
        <v>0</v>
      </c>
      <c r="F115" s="1133">
        <v>0.50483595999999997</v>
      </c>
      <c r="G115" s="1133">
        <v>0.49013200000000001</v>
      </c>
      <c r="H115" s="1135">
        <f t="shared" si="18"/>
        <v>0.10808404000000005</v>
      </c>
      <c r="J115" s="1136">
        <v>4.3164788389231303E-2</v>
      </c>
      <c r="K115" s="1135">
        <f t="shared" si="19"/>
        <v>6.4919251610768752E-2</v>
      </c>
      <c r="M115" s="106">
        <f t="shared" ref="M115:M137" si="21">+IF(ISERROR(K115/(F115+J115)),0,K115/(F115+J115))</f>
        <v>0.11846562582549289</v>
      </c>
      <c r="N115" s="1133">
        <v>1.0234396352371784</v>
      </c>
      <c r="O115" s="109">
        <f t="shared" si="13"/>
        <v>0</v>
      </c>
      <c r="P115" s="1137">
        <f t="shared" si="20"/>
        <v>0</v>
      </c>
      <c r="Q115" s="1131"/>
    </row>
    <row r="116" spans="2:17">
      <c r="B116" s="1132" t="s">
        <v>926</v>
      </c>
      <c r="C116" s="1133">
        <v>2.9850000000000002E-3</v>
      </c>
      <c r="D116" s="1134">
        <v>0</v>
      </c>
      <c r="E116" s="1134">
        <v>0</v>
      </c>
      <c r="F116" s="1133">
        <v>1.43479E-3</v>
      </c>
      <c r="G116" s="1133">
        <v>1.3929999999999999E-3</v>
      </c>
      <c r="H116" s="1135">
        <f t="shared" si="18"/>
        <v>1.5502100000000002E-3</v>
      </c>
      <c r="J116" s="1136">
        <v>1.147832E-4</v>
      </c>
      <c r="K116" s="1135">
        <f t="shared" si="19"/>
        <v>1.4354268000000001E-3</v>
      </c>
      <c r="M116" s="106">
        <f t="shared" si="21"/>
        <v>0.92633687779318852</v>
      </c>
      <c r="N116" s="1133">
        <v>9.7161990687073888E-3</v>
      </c>
      <c r="O116" s="109">
        <f t="shared" si="13"/>
        <v>0</v>
      </c>
      <c r="P116" s="1137">
        <f t="shared" si="20"/>
        <v>0</v>
      </c>
      <c r="Q116" s="1131"/>
    </row>
    <row r="117" spans="2:17">
      <c r="B117" s="1132" t="s">
        <v>927</v>
      </c>
      <c r="C117" s="1133">
        <v>0.97</v>
      </c>
      <c r="D117" s="1134">
        <v>0</v>
      </c>
      <c r="E117" s="1134">
        <v>0</v>
      </c>
      <c r="F117" s="1133">
        <v>0.97615057000000005</v>
      </c>
      <c r="G117" s="1133">
        <v>0.94771899999999998</v>
      </c>
      <c r="H117" s="1135">
        <f t="shared" si="18"/>
        <v>-6.1505700000000774E-3</v>
      </c>
      <c r="J117" s="1136">
        <v>0.1198487107629182</v>
      </c>
      <c r="K117" s="1135">
        <f t="shared" si="19"/>
        <v>-0.12599928076291828</v>
      </c>
      <c r="M117" s="106">
        <f t="shared" si="21"/>
        <v>-0.11496292285448488</v>
      </c>
      <c r="N117" s="1133">
        <v>1.6889992714436344</v>
      </c>
      <c r="O117" s="109">
        <f t="shared" si="13"/>
        <v>3.1567114179871373E-4</v>
      </c>
      <c r="P117" s="1137">
        <f t="shared" si="20"/>
        <v>4.172059321728094E-4</v>
      </c>
      <c r="Q117" s="1131"/>
    </row>
    <row r="118" spans="2:17">
      <c r="B118" s="1132" t="s">
        <v>928</v>
      </c>
      <c r="C118" s="1133">
        <v>1.2513000000000001</v>
      </c>
      <c r="D118" s="1134">
        <v>0</v>
      </c>
      <c r="E118" s="1134">
        <v>0</v>
      </c>
      <c r="F118" s="1133">
        <v>0.91940272000000001</v>
      </c>
      <c r="G118" s="1133">
        <v>0.89262399999999997</v>
      </c>
      <c r="H118" s="1135">
        <f t="shared" si="18"/>
        <v>0.33189728000000007</v>
      </c>
      <c r="J118" s="1136">
        <v>7.3552217599999997E-2</v>
      </c>
      <c r="K118" s="1135">
        <f t="shared" si="19"/>
        <v>0.2583450624000001</v>
      </c>
      <c r="M118" s="106">
        <f t="shared" si="21"/>
        <v>0.26017803287672592</v>
      </c>
      <c r="N118" s="1133">
        <v>1.9009901515290071</v>
      </c>
      <c r="O118" s="109">
        <f t="shared" si="13"/>
        <v>0</v>
      </c>
      <c r="P118" s="1137">
        <f t="shared" si="20"/>
        <v>0</v>
      </c>
      <c r="Q118" s="1131"/>
    </row>
    <row r="119" spans="2:17">
      <c r="B119" s="1132" t="s">
        <v>929</v>
      </c>
      <c r="C119" s="1133">
        <v>0.36091364427078648</v>
      </c>
      <c r="D119" s="1134">
        <v>0</v>
      </c>
      <c r="E119" s="1134">
        <v>0</v>
      </c>
      <c r="F119" s="1133">
        <v>0.85654182000000012</v>
      </c>
      <c r="G119" s="1133">
        <v>0.83159400000000006</v>
      </c>
      <c r="H119" s="1135">
        <f t="shared" si="18"/>
        <v>-0.49562817572921364</v>
      </c>
      <c r="J119" s="1136">
        <v>8.8562616361831353E-2</v>
      </c>
      <c r="K119" s="1135">
        <f t="shared" si="19"/>
        <v>-0.58419079209104496</v>
      </c>
      <c r="M119" s="106">
        <f t="shared" si="21"/>
        <v>-0.61812300272325527</v>
      </c>
      <c r="N119" s="1133">
        <v>1.4137069644969251</v>
      </c>
      <c r="O119" s="109">
        <f t="shared" si="13"/>
        <v>2.6421946959758114E-4</v>
      </c>
      <c r="P119" s="1137">
        <f t="shared" si="20"/>
        <v>1.0095193035101174E-2</v>
      </c>
      <c r="Q119" s="1131"/>
    </row>
    <row r="120" spans="2:17">
      <c r="B120" s="1132" t="s">
        <v>930</v>
      </c>
      <c r="C120" s="1133">
        <v>121.70271718447253</v>
      </c>
      <c r="D120" s="1134">
        <v>0</v>
      </c>
      <c r="E120" s="1134">
        <v>0</v>
      </c>
      <c r="F120" s="1133">
        <v>132.67130990999999</v>
      </c>
      <c r="G120" s="1133">
        <v>128.807097</v>
      </c>
      <c r="H120" s="1135">
        <f t="shared" si="18"/>
        <v>-10.968592725527458</v>
      </c>
      <c r="J120" s="1136">
        <v>10.6137047928</v>
      </c>
      <c r="K120" s="1135">
        <f t="shared" si="19"/>
        <v>-21.582297518327458</v>
      </c>
      <c r="M120" s="106">
        <f t="shared" si="21"/>
        <v>-0.1506249454145166</v>
      </c>
      <c r="N120" s="1133">
        <v>373.08857065557686</v>
      </c>
      <c r="O120" s="109">
        <f t="shared" si="13"/>
        <v>6.9729630487188984E-2</v>
      </c>
      <c r="P120" s="1137">
        <f t="shared" si="20"/>
        <v>0.15820170831897584</v>
      </c>
      <c r="Q120" s="1131"/>
    </row>
    <row r="121" spans="2:17">
      <c r="B121" s="1132" t="s">
        <v>931</v>
      </c>
      <c r="C121" s="1133">
        <v>13.727049411121051</v>
      </c>
      <c r="D121" s="1134">
        <v>0</v>
      </c>
      <c r="E121" s="1134">
        <v>0</v>
      </c>
      <c r="F121" s="1133">
        <v>11.85546171</v>
      </c>
      <c r="G121" s="1133">
        <v>11.510157</v>
      </c>
      <c r="H121" s="1135">
        <f t="shared" si="18"/>
        <v>1.8715877011210509</v>
      </c>
      <c r="J121" s="1136">
        <v>1.0393912624784947</v>
      </c>
      <c r="K121" s="1135">
        <f t="shared" si="19"/>
        <v>0.83219643864255621</v>
      </c>
      <c r="M121" s="106">
        <f t="shared" si="21"/>
        <v>6.4537101773763095E-2</v>
      </c>
      <c r="N121" s="1133">
        <v>33.192832596494149</v>
      </c>
      <c r="O121" s="109">
        <f t="shared" si="13"/>
        <v>0</v>
      </c>
      <c r="P121" s="1137">
        <f t="shared" si="20"/>
        <v>0</v>
      </c>
      <c r="Q121" s="1131"/>
    </row>
    <row r="122" spans="2:17">
      <c r="B122" s="1132" t="s">
        <v>932</v>
      </c>
      <c r="C122" s="1133">
        <v>18.295454019845707</v>
      </c>
      <c r="D122" s="1134">
        <v>0</v>
      </c>
      <c r="E122" s="1134">
        <v>0</v>
      </c>
      <c r="F122" s="1133">
        <v>12.58742194</v>
      </c>
      <c r="G122" s="1133">
        <v>12.220798</v>
      </c>
      <c r="H122" s="1135">
        <f t="shared" si="18"/>
        <v>5.7080320798457063</v>
      </c>
      <c r="J122" s="1136">
        <v>1.0069937552000001</v>
      </c>
      <c r="K122" s="1135">
        <f t="shared" si="19"/>
        <v>4.7010383246457064</v>
      </c>
      <c r="M122" s="106">
        <f t="shared" si="21"/>
        <v>0.34580657455587283</v>
      </c>
      <c r="N122" s="1133">
        <v>35.477595447853652</v>
      </c>
      <c r="O122" s="109">
        <f t="shared" si="13"/>
        <v>0</v>
      </c>
      <c r="P122" s="1137">
        <f t="shared" si="20"/>
        <v>0</v>
      </c>
      <c r="Q122" s="1131"/>
    </row>
    <row r="123" spans="2:17">
      <c r="B123" s="1132" t="s">
        <v>933</v>
      </c>
      <c r="C123" s="1133">
        <v>1.94</v>
      </c>
      <c r="D123" s="1134">
        <v>0</v>
      </c>
      <c r="E123" s="1134">
        <v>0</v>
      </c>
      <c r="F123" s="1133">
        <v>1.6989953</v>
      </c>
      <c r="G123" s="1133">
        <v>1.64951</v>
      </c>
      <c r="H123" s="1135">
        <f t="shared" si="18"/>
        <v>0.24100469999999996</v>
      </c>
      <c r="J123" s="1136">
        <v>0.13591962399999999</v>
      </c>
      <c r="K123" s="1135">
        <f t="shared" si="19"/>
        <v>0.10508507599999997</v>
      </c>
      <c r="M123" s="106">
        <f t="shared" si="21"/>
        <v>5.7269726582702303E-2</v>
      </c>
      <c r="N123" s="1133">
        <v>4.3935730903278838</v>
      </c>
      <c r="O123" s="109">
        <f t="shared" si="13"/>
        <v>0</v>
      </c>
      <c r="P123" s="1137">
        <f t="shared" si="20"/>
        <v>0</v>
      </c>
      <c r="Q123" s="1131"/>
    </row>
    <row r="124" spans="2:17">
      <c r="B124" s="1132" t="s">
        <v>934</v>
      </c>
      <c r="C124" s="1133">
        <v>6.942970331852174</v>
      </c>
      <c r="D124" s="1134">
        <v>0</v>
      </c>
      <c r="E124" s="1134">
        <v>0</v>
      </c>
      <c r="F124" s="1133">
        <v>7.5748847100000001</v>
      </c>
      <c r="G124" s="1133">
        <v>7.3542569999999996</v>
      </c>
      <c r="H124" s="1135">
        <f t="shared" si="18"/>
        <v>-0.63191437814782603</v>
      </c>
      <c r="J124" s="1136">
        <v>0.60599077680000002</v>
      </c>
      <c r="K124" s="1135">
        <f t="shared" si="19"/>
        <v>-1.2379051549478262</v>
      </c>
      <c r="M124" s="106">
        <f t="shared" si="21"/>
        <v>-0.15131695341717522</v>
      </c>
      <c r="N124" s="1133">
        <v>18.241306644046343</v>
      </c>
      <c r="O124" s="109">
        <f t="shared" si="13"/>
        <v>3.4092697336126341E-3</v>
      </c>
      <c r="P124" s="1137">
        <f t="shared" si="20"/>
        <v>7.8061436756554073E-3</v>
      </c>
      <c r="Q124" s="1131"/>
    </row>
    <row r="125" spans="2:17">
      <c r="B125" s="1132" t="s">
        <v>935</v>
      </c>
      <c r="C125" s="1133">
        <v>0.44775000000000004</v>
      </c>
      <c r="D125" s="1134">
        <v>0</v>
      </c>
      <c r="E125" s="1134">
        <v>0</v>
      </c>
      <c r="F125" s="1133">
        <v>0.29743310000000006</v>
      </c>
      <c r="G125" s="1133">
        <v>0.28877000000000003</v>
      </c>
      <c r="H125" s="1135">
        <f t="shared" si="18"/>
        <v>0.15031689999999998</v>
      </c>
      <c r="J125" s="1136">
        <v>2.3794648000000005E-2</v>
      </c>
      <c r="K125" s="1135">
        <f t="shared" si="19"/>
        <v>0.12652225199999997</v>
      </c>
      <c r="M125" s="106">
        <f t="shared" si="21"/>
        <v>0.39387086821652761</v>
      </c>
      <c r="N125" s="1133">
        <v>0.79283861524570476</v>
      </c>
      <c r="O125" s="109">
        <f t="shared" si="13"/>
        <v>0</v>
      </c>
      <c r="P125" s="1137">
        <f t="shared" si="20"/>
        <v>0</v>
      </c>
      <c r="Q125" s="1131"/>
    </row>
    <row r="126" spans="2:17">
      <c r="B126" s="1132" t="s">
        <v>936</v>
      </c>
      <c r="C126" s="1133">
        <v>4.3370598315306125E-2</v>
      </c>
      <c r="D126" s="1134">
        <v>0</v>
      </c>
      <c r="E126" s="1134">
        <v>0</v>
      </c>
      <c r="F126" s="1133">
        <v>5.7585240000000003E-2</v>
      </c>
      <c r="G126" s="1133">
        <v>5.5907999999999999E-2</v>
      </c>
      <c r="H126" s="1135">
        <f t="shared" si="18"/>
        <v>-1.4214641684693878E-2</v>
      </c>
      <c r="J126" s="1136">
        <v>4.6068191999999999E-3</v>
      </c>
      <c r="K126" s="1135">
        <f t="shared" si="19"/>
        <v>-1.8821460884693879E-2</v>
      </c>
      <c r="M126" s="106">
        <f t="shared" si="21"/>
        <v>-0.30263447016872336</v>
      </c>
      <c r="N126" s="1133">
        <v>6.9484732572095462E-2</v>
      </c>
      <c r="O126" s="109">
        <f t="shared" si="13"/>
        <v>1.2986580420407035E-5</v>
      </c>
      <c r="P126" s="1137">
        <f t="shared" si="20"/>
        <v>1.1894100255556212E-4</v>
      </c>
      <c r="Q126" s="1131"/>
    </row>
    <row r="127" spans="2:17">
      <c r="B127" s="1132" t="s">
        <v>937</v>
      </c>
      <c r="C127" s="1133">
        <v>18.349639539193024</v>
      </c>
      <c r="D127" s="1134">
        <v>0</v>
      </c>
      <c r="E127" s="1134">
        <v>0</v>
      </c>
      <c r="F127" s="1133">
        <v>17.116309279999999</v>
      </c>
      <c r="G127" s="1133">
        <v>16.617775999999999</v>
      </c>
      <c r="H127" s="1135">
        <f t="shared" si="18"/>
        <v>1.2333302591930249</v>
      </c>
      <c r="J127" s="1136">
        <v>1.3962216718442837</v>
      </c>
      <c r="K127" s="1135">
        <f t="shared" si="19"/>
        <v>-0.16289141265125884</v>
      </c>
      <c r="M127" s="106">
        <f t="shared" si="21"/>
        <v>-8.7989812454590931E-3</v>
      </c>
      <c r="N127" s="1133">
        <v>26.38428840013022</v>
      </c>
      <c r="O127" s="109">
        <f t="shared" si="13"/>
        <v>4.9311794182698761E-3</v>
      </c>
      <c r="P127" s="1137">
        <f t="shared" si="20"/>
        <v>3.8178212282762785E-5</v>
      </c>
      <c r="Q127" s="1131"/>
    </row>
    <row r="128" spans="2:17">
      <c r="B128" s="1132" t="s">
        <v>938</v>
      </c>
      <c r="C128" s="1133">
        <v>32.288758965094658</v>
      </c>
      <c r="D128" s="1134">
        <v>0</v>
      </c>
      <c r="E128" s="1134">
        <v>0</v>
      </c>
      <c r="F128" s="1133">
        <v>31.35657531</v>
      </c>
      <c r="G128" s="1133">
        <v>30.443276999999998</v>
      </c>
      <c r="H128" s="1135">
        <f t="shared" si="18"/>
        <v>0.93218365509465784</v>
      </c>
      <c r="J128" s="1136">
        <v>2.5085260248000001</v>
      </c>
      <c r="K128" s="1135">
        <f t="shared" si="19"/>
        <v>-1.5763423697053423</v>
      </c>
      <c r="M128" s="106">
        <f t="shared" si="21"/>
        <v>-4.6547693866945038E-2</v>
      </c>
      <c r="N128" s="1133">
        <v>47.083304132127239</v>
      </c>
      <c r="O128" s="109">
        <f t="shared" si="13"/>
        <v>8.7997908740013973E-3</v>
      </c>
      <c r="P128" s="1137">
        <f t="shared" si="20"/>
        <v>1.906639956736059E-3</v>
      </c>
      <c r="Q128" s="1131"/>
    </row>
    <row r="129" spans="2:17">
      <c r="B129" s="1132" t="s">
        <v>939</v>
      </c>
      <c r="C129" s="1133">
        <v>9.9700000000000011E-2</v>
      </c>
      <c r="D129" s="1134">
        <v>0</v>
      </c>
      <c r="E129" s="1134">
        <v>0</v>
      </c>
      <c r="F129" s="1133">
        <v>2.3595240000000003E-2</v>
      </c>
      <c r="G129" s="1133">
        <v>2.2908000000000001E-2</v>
      </c>
      <c r="H129" s="1135">
        <f t="shared" si="18"/>
        <v>7.6104760000000007E-2</v>
      </c>
      <c r="J129" s="1136">
        <v>1.8876192000000004E-3</v>
      </c>
      <c r="K129" s="1135">
        <f t="shared" si="19"/>
        <v>7.4217140800000012E-2</v>
      </c>
      <c r="M129" s="106">
        <f t="shared" si="21"/>
        <v>2.9124338135494625</v>
      </c>
      <c r="N129" s="1133">
        <v>7.6867998545197949E-2</v>
      </c>
      <c r="O129" s="109">
        <f t="shared" si="13"/>
        <v>0</v>
      </c>
      <c r="P129" s="1137">
        <f t="shared" si="20"/>
        <v>0</v>
      </c>
      <c r="Q129" s="1131"/>
    </row>
    <row r="130" spans="2:17">
      <c r="B130" s="1132" t="s">
        <v>940</v>
      </c>
      <c r="C130" s="1133">
        <v>14.883282507714823</v>
      </c>
      <c r="D130" s="1134">
        <v>0</v>
      </c>
      <c r="E130" s="1134">
        <v>0</v>
      </c>
      <c r="F130" s="1133">
        <v>13.031081050000001</v>
      </c>
      <c r="G130" s="1133">
        <v>12.651535000000001</v>
      </c>
      <c r="H130" s="1135">
        <f t="shared" si="18"/>
        <v>1.8522014577148216</v>
      </c>
      <c r="J130" s="1136">
        <v>1.0424864840000001</v>
      </c>
      <c r="K130" s="1135">
        <f t="shared" si="19"/>
        <v>0.80971497371482148</v>
      </c>
      <c r="M130" s="106">
        <f t="shared" si="21"/>
        <v>5.7534450434024643E-2</v>
      </c>
      <c r="N130" s="1133">
        <v>20.759511291702005</v>
      </c>
      <c r="O130" s="109">
        <f t="shared" si="13"/>
        <v>0</v>
      </c>
      <c r="P130" s="1137">
        <f t="shared" si="20"/>
        <v>0</v>
      </c>
      <c r="Q130" s="1131"/>
    </row>
    <row r="131" spans="2:17">
      <c r="B131" s="1132" t="s">
        <v>941</v>
      </c>
      <c r="C131" s="1133">
        <v>18.204119713709215</v>
      </c>
      <c r="D131" s="1134">
        <v>0</v>
      </c>
      <c r="E131" s="1134">
        <v>0</v>
      </c>
      <c r="F131" s="1133">
        <v>15.55113467</v>
      </c>
      <c r="G131" s="1133">
        <v>15.098189</v>
      </c>
      <c r="H131" s="1135">
        <f t="shared" si="18"/>
        <v>2.6529850437092151</v>
      </c>
      <c r="J131" s="1136">
        <v>1.3726155004701004</v>
      </c>
      <c r="K131" s="1135">
        <f t="shared" si="19"/>
        <v>1.2803695432391147</v>
      </c>
      <c r="M131" s="106">
        <f t="shared" si="21"/>
        <v>7.5655190506960152E-2</v>
      </c>
      <c r="N131" s="1133">
        <v>35.010427729842021</v>
      </c>
      <c r="O131" s="109">
        <f t="shared" si="13"/>
        <v>0</v>
      </c>
      <c r="P131" s="1137">
        <f t="shared" si="20"/>
        <v>0</v>
      </c>
      <c r="Q131" s="1131"/>
    </row>
    <row r="132" spans="2:17">
      <c r="B132" s="1132" t="s">
        <v>942</v>
      </c>
      <c r="C132" s="1133">
        <v>0.4</v>
      </c>
      <c r="D132" s="1134">
        <v>0</v>
      </c>
      <c r="E132" s="1134">
        <v>0</v>
      </c>
      <c r="F132" s="1133">
        <v>0.19599972999999998</v>
      </c>
      <c r="G132" s="1133">
        <v>0.19029099999999999</v>
      </c>
      <c r="H132" s="1135">
        <f t="shared" si="18"/>
        <v>0.20400027000000004</v>
      </c>
      <c r="J132" s="1136">
        <v>1.5679978399999999E-2</v>
      </c>
      <c r="K132" s="1135">
        <f t="shared" si="19"/>
        <v>0.18832029160000005</v>
      </c>
      <c r="M132" s="106">
        <f t="shared" si="21"/>
        <v>0.88964734987323935</v>
      </c>
      <c r="N132" s="1133">
        <v>0.13570778598303795</v>
      </c>
      <c r="O132" s="109">
        <f t="shared" si="13"/>
        <v>0</v>
      </c>
      <c r="P132" s="1137">
        <f t="shared" si="20"/>
        <v>0</v>
      </c>
      <c r="Q132" s="1131"/>
    </row>
    <row r="133" spans="2:17">
      <c r="B133" s="1132" t="s">
        <v>943</v>
      </c>
      <c r="C133" s="1133">
        <v>0.39944000000000002</v>
      </c>
      <c r="D133" s="1134">
        <v>0</v>
      </c>
      <c r="E133" s="1134">
        <v>0</v>
      </c>
      <c r="F133" s="1133">
        <v>0.28340346999999999</v>
      </c>
      <c r="G133" s="1133">
        <v>0.27514899999999998</v>
      </c>
      <c r="H133" s="1135">
        <f t="shared" si="18"/>
        <v>0.11603653000000003</v>
      </c>
      <c r="J133" s="1136">
        <v>2.2672277599999999E-2</v>
      </c>
      <c r="K133" s="1135">
        <f t="shared" si="19"/>
        <v>9.3364252400000028E-2</v>
      </c>
      <c r="M133" s="106">
        <f t="shared" si="21"/>
        <v>0.30503642687173826</v>
      </c>
      <c r="N133" s="1133">
        <v>0.91364651741628777</v>
      </c>
      <c r="O133" s="109">
        <f t="shared" si="13"/>
        <v>0</v>
      </c>
      <c r="P133" s="1137">
        <f t="shared" si="20"/>
        <v>0</v>
      </c>
      <c r="Q133" s="1131"/>
    </row>
    <row r="134" spans="2:17">
      <c r="B134" s="1132" t="s">
        <v>944</v>
      </c>
      <c r="C134" s="1133">
        <v>0.25202911321281829</v>
      </c>
      <c r="D134" s="1134">
        <v>0</v>
      </c>
      <c r="E134" s="1134">
        <v>0</v>
      </c>
      <c r="F134" s="1133">
        <v>0.17809009000000001</v>
      </c>
      <c r="G134" s="1133">
        <v>0.172903</v>
      </c>
      <c r="H134" s="1135">
        <f t="shared" si="18"/>
        <v>7.3939023212818283E-2</v>
      </c>
      <c r="J134" s="1136">
        <v>1.4247207200000001E-2</v>
      </c>
      <c r="K134" s="1135">
        <f t="shared" si="19"/>
        <v>5.9691816012818283E-2</v>
      </c>
      <c r="M134" s="106">
        <f t="shared" si="21"/>
        <v>0.31034966635071487</v>
      </c>
      <c r="N134" s="1133">
        <v>0.34351033326956487</v>
      </c>
      <c r="O134" s="109">
        <f t="shared" si="13"/>
        <v>0</v>
      </c>
      <c r="P134" s="1137">
        <f t="shared" si="20"/>
        <v>0</v>
      </c>
      <c r="Q134" s="1131"/>
    </row>
    <row r="135" spans="2:17">
      <c r="B135" s="1132" t="s">
        <v>945</v>
      </c>
      <c r="C135" s="1133">
        <v>0.1164350785394366</v>
      </c>
      <c r="D135" s="1134">
        <v>0</v>
      </c>
      <c r="E135" s="1134">
        <v>0</v>
      </c>
      <c r="F135" s="1133">
        <v>6.9342689999999998E-2</v>
      </c>
      <c r="G135" s="1133">
        <v>6.7322999999999994E-2</v>
      </c>
      <c r="H135" s="1135">
        <f t="shared" si="18"/>
        <v>4.7092388539436605E-2</v>
      </c>
      <c r="J135" s="1136">
        <v>5.5474152000000001E-3</v>
      </c>
      <c r="K135" s="1135">
        <f t="shared" si="19"/>
        <v>4.1544973339436603E-2</v>
      </c>
      <c r="M135" s="106">
        <f t="shared" si="21"/>
        <v>0.55474582694853258</v>
      </c>
      <c r="N135" s="1133">
        <v>0.23112732300236152</v>
      </c>
      <c r="O135" s="109">
        <f t="shared" si="13"/>
        <v>0</v>
      </c>
      <c r="P135" s="1137">
        <f t="shared" si="20"/>
        <v>0</v>
      </c>
      <c r="Q135" s="1131"/>
    </row>
    <row r="136" spans="2:17">
      <c r="B136" s="1132" t="s">
        <v>946</v>
      </c>
      <c r="C136" s="1133">
        <v>9.9180000000000004E-2</v>
      </c>
      <c r="D136" s="1134">
        <v>0</v>
      </c>
      <c r="E136" s="1134">
        <v>0</v>
      </c>
      <c r="F136" s="1133">
        <v>4.813808E-2</v>
      </c>
      <c r="G136" s="1133">
        <v>4.6736E-2</v>
      </c>
      <c r="H136" s="1135">
        <f t="shared" si="18"/>
        <v>5.1041920000000005E-2</v>
      </c>
      <c r="J136" s="1136">
        <v>3.8510464E-3</v>
      </c>
      <c r="K136" s="1135">
        <f t="shared" si="19"/>
        <v>4.7190873600000002E-2</v>
      </c>
      <c r="M136" s="106">
        <f t="shared" si="21"/>
        <v>0.90770660843418216</v>
      </c>
      <c r="N136" s="1133">
        <v>5.9372156367579108E-2</v>
      </c>
      <c r="O136" s="109">
        <f t="shared" si="13"/>
        <v>0</v>
      </c>
      <c r="P136" s="1137">
        <f t="shared" si="20"/>
        <v>0</v>
      </c>
      <c r="Q136" s="1131"/>
    </row>
    <row r="137" spans="2:17">
      <c r="B137" s="1132" t="s">
        <v>947</v>
      </c>
      <c r="C137" s="1133">
        <v>9.919E-2</v>
      </c>
      <c r="D137" s="1134">
        <v>0</v>
      </c>
      <c r="E137" s="1134">
        <v>0</v>
      </c>
      <c r="F137" s="1133">
        <v>5.8752230000000003E-2</v>
      </c>
      <c r="G137" s="1133">
        <v>5.7041000000000001E-2</v>
      </c>
      <c r="H137" s="1135">
        <f t="shared" si="18"/>
        <v>4.0437769999999998E-2</v>
      </c>
      <c r="J137" s="1136">
        <v>4.7001784000000003E-3</v>
      </c>
      <c r="K137" s="1135">
        <f t="shared" si="19"/>
        <v>3.57375916E-2</v>
      </c>
      <c r="M137" s="106">
        <f t="shared" si="21"/>
        <v>0.56321883599299272</v>
      </c>
      <c r="N137" s="1133">
        <v>0.21204341559849682</v>
      </c>
      <c r="O137" s="109">
        <f t="shared" si="13"/>
        <v>0</v>
      </c>
      <c r="P137" s="1137">
        <f t="shared" si="20"/>
        <v>0</v>
      </c>
      <c r="Q137" s="1131"/>
    </row>
    <row r="138" spans="2:17">
      <c r="B138" s="1132" t="s">
        <v>948</v>
      </c>
      <c r="C138" s="1133">
        <v>9.938000000000001E-2</v>
      </c>
      <c r="D138" s="1134">
        <v>0</v>
      </c>
      <c r="E138" s="1134">
        <v>0</v>
      </c>
      <c r="F138" s="1133">
        <v>8.0857060000000008E-2</v>
      </c>
      <c r="G138" s="1133">
        <v>7.8502000000000002E-2</v>
      </c>
      <c r="H138" s="1135">
        <f>+C138+D138-E138-F138</f>
        <v>1.8522940000000002E-2</v>
      </c>
      <c r="J138" s="1136">
        <v>6.4685648000000007E-3</v>
      </c>
      <c r="K138" s="1135">
        <f>+H138-J138</f>
        <v>1.2054375200000002E-2</v>
      </c>
      <c r="M138" s="106">
        <f>+IF(ISERROR(K138/(F138+J138)),0,K138/(F138+J138))</f>
        <v>0.13803938108210362</v>
      </c>
      <c r="N138" s="1133">
        <v>0.12086474689114318</v>
      </c>
      <c r="O138" s="109">
        <f t="shared" si="13"/>
        <v>0</v>
      </c>
      <c r="P138" s="1137">
        <f>(M138^2*O138)*100</f>
        <v>0</v>
      </c>
      <c r="Q138" s="1131"/>
    </row>
    <row r="139" spans="2:17">
      <c r="B139" s="1132" t="s">
        <v>949</v>
      </c>
      <c r="C139" s="1133">
        <v>0.19878000000000001</v>
      </c>
      <c r="D139" s="1134">
        <v>0</v>
      </c>
      <c r="E139" s="1134">
        <v>0</v>
      </c>
      <c r="F139" s="1133">
        <v>9.6418299999999998E-2</v>
      </c>
      <c r="G139" s="1133">
        <v>9.3609999999999999E-2</v>
      </c>
      <c r="H139" s="1135">
        <f t="shared" ref="H139:H162" si="22">+C139+D139-E139-F139</f>
        <v>0.10236170000000001</v>
      </c>
      <c r="J139" s="1136">
        <v>7.7134639999999997E-3</v>
      </c>
      <c r="K139" s="1135">
        <f t="shared" ref="K139:K162" si="23">+H139-J139</f>
        <v>9.4648236000000011E-2</v>
      </c>
      <c r="M139" s="106">
        <f>+IF(ISERROR(K139/(F139+J139)),0,K139/(F139+J139))</f>
        <v>0.908927615977004</v>
      </c>
      <c r="N139" s="1133">
        <v>0.13782822013902293</v>
      </c>
      <c r="O139" s="109">
        <f t="shared" si="13"/>
        <v>0</v>
      </c>
      <c r="P139" s="1137">
        <f t="shared" ref="P139:P162" si="24">(M139^2*O139)*100</f>
        <v>0</v>
      </c>
      <c r="Q139" s="1131"/>
    </row>
    <row r="140" spans="2:17">
      <c r="B140" s="1132" t="s">
        <v>950</v>
      </c>
      <c r="C140" s="1133">
        <v>8.1677001308673471</v>
      </c>
      <c r="D140" s="1134">
        <v>0</v>
      </c>
      <c r="E140" s="1134">
        <v>0</v>
      </c>
      <c r="F140" s="1133">
        <v>6.2462547500000003</v>
      </c>
      <c r="G140" s="1133">
        <v>6.0643250000000002</v>
      </c>
      <c r="H140" s="1135">
        <f t="shared" si="22"/>
        <v>1.9214453808673468</v>
      </c>
      <c r="J140" s="1136">
        <v>0.49970038000000006</v>
      </c>
      <c r="K140" s="1135">
        <f t="shared" si="23"/>
        <v>1.4217450008673467</v>
      </c>
      <c r="M140" s="106">
        <f t="shared" ref="M140:M162" si="25">+IF(ISERROR(K140/(F140+J140)),0,K140/(F140+J140))</f>
        <v>0.21075518195261797</v>
      </c>
      <c r="N140" s="1133">
        <v>5.3154499762378054</v>
      </c>
      <c r="O140" s="109">
        <f t="shared" si="13"/>
        <v>0</v>
      </c>
      <c r="P140" s="1137">
        <f t="shared" si="24"/>
        <v>0</v>
      </c>
      <c r="Q140" s="1131"/>
    </row>
    <row r="141" spans="2:17">
      <c r="B141" s="1132" t="s">
        <v>951</v>
      </c>
      <c r="C141" s="1133">
        <v>0.14331378024999999</v>
      </c>
      <c r="D141" s="1134">
        <v>0</v>
      </c>
      <c r="E141" s="1134">
        <v>0</v>
      </c>
      <c r="F141" s="1133">
        <v>0.12163270000000001</v>
      </c>
      <c r="G141" s="1133">
        <v>0.11809</v>
      </c>
      <c r="H141" s="1135">
        <f t="shared" si="22"/>
        <v>2.1681080249999984E-2</v>
      </c>
      <c r="J141" s="1136">
        <v>9.730616000000001E-3</v>
      </c>
      <c r="K141" s="1135">
        <f t="shared" si="23"/>
        <v>1.1950464249999983E-2</v>
      </c>
      <c r="M141" s="106">
        <f t="shared" si="25"/>
        <v>9.0972614074388794E-2</v>
      </c>
      <c r="N141" s="1133">
        <v>0.2216668656186003</v>
      </c>
      <c r="O141" s="109">
        <f t="shared" si="13"/>
        <v>0</v>
      </c>
      <c r="P141" s="1137">
        <f t="shared" si="24"/>
        <v>0</v>
      </c>
      <c r="Q141" s="1131"/>
    </row>
    <row r="142" spans="2:17">
      <c r="B142" s="1132" t="s">
        <v>952</v>
      </c>
      <c r="C142" s="1133">
        <v>2.8685983478173913</v>
      </c>
      <c r="D142" s="1134">
        <v>0</v>
      </c>
      <c r="E142" s="1134">
        <v>0</v>
      </c>
      <c r="F142" s="1133">
        <v>2.3935768300000002</v>
      </c>
      <c r="G142" s="1133">
        <v>2.323861</v>
      </c>
      <c r="H142" s="1135">
        <f t="shared" si="22"/>
        <v>0.4750215178173911</v>
      </c>
      <c r="J142" s="1136">
        <v>0.19502525993902411</v>
      </c>
      <c r="K142" s="1135">
        <f t="shared" si="23"/>
        <v>0.27999625787836702</v>
      </c>
      <c r="M142" s="106">
        <f t="shared" si="25"/>
        <v>0.1081650435834124</v>
      </c>
      <c r="N142" s="1133">
        <v>5.7821952181283809</v>
      </c>
      <c r="O142" s="109">
        <f t="shared" ref="O142:O205" si="26">IF(K142&lt;0,N142/$N$263,0)</f>
        <v>0</v>
      </c>
      <c r="P142" s="1137">
        <f t="shared" si="24"/>
        <v>0</v>
      </c>
      <c r="Q142" s="1131"/>
    </row>
    <row r="143" spans="2:17">
      <c r="B143" s="1132" t="s">
        <v>953</v>
      </c>
      <c r="C143" s="1133">
        <v>6.2685000000000005E-2</v>
      </c>
      <c r="D143" s="1134">
        <v>0</v>
      </c>
      <c r="E143" s="1134">
        <v>0</v>
      </c>
      <c r="F143" s="1133">
        <v>2.6172299999999999E-2</v>
      </c>
      <c r="G143" s="1133">
        <v>2.5409999999999999E-2</v>
      </c>
      <c r="H143" s="1135">
        <f t="shared" si="22"/>
        <v>3.6512700000000009E-2</v>
      </c>
      <c r="J143" s="1136">
        <v>2.093784E-3</v>
      </c>
      <c r="K143" s="1135">
        <f t="shared" si="23"/>
        <v>3.4418916000000008E-2</v>
      </c>
      <c r="M143" s="106">
        <f t="shared" si="25"/>
        <v>1.2176754303850512</v>
      </c>
      <c r="N143" s="1133">
        <v>0.10476036799783163</v>
      </c>
      <c r="O143" s="109">
        <f t="shared" si="26"/>
        <v>0</v>
      </c>
      <c r="P143" s="1137">
        <f t="shared" si="24"/>
        <v>0</v>
      </c>
      <c r="Q143" s="1131"/>
    </row>
    <row r="144" spans="2:17">
      <c r="B144" s="1132" t="s">
        <v>954</v>
      </c>
      <c r="C144" s="1133">
        <v>0.13853851978953491</v>
      </c>
      <c r="D144" s="1134">
        <v>0</v>
      </c>
      <c r="E144" s="1134">
        <v>0</v>
      </c>
      <c r="F144" s="1133">
        <v>0.12127117</v>
      </c>
      <c r="G144" s="1133">
        <v>0.117739</v>
      </c>
      <c r="H144" s="1135">
        <f t="shared" si="22"/>
        <v>1.7267349789534911E-2</v>
      </c>
      <c r="J144" s="1136">
        <v>9.7016936000000002E-3</v>
      </c>
      <c r="K144" s="1135">
        <f t="shared" si="23"/>
        <v>7.5656561895349108E-3</v>
      </c>
      <c r="M144" s="106">
        <f t="shared" si="25"/>
        <v>5.7765066606781525E-2</v>
      </c>
      <c r="N144" s="1133">
        <v>0.21103900219853042</v>
      </c>
      <c r="O144" s="109">
        <f t="shared" si="26"/>
        <v>0</v>
      </c>
      <c r="P144" s="1137">
        <f t="shared" si="24"/>
        <v>0</v>
      </c>
      <c r="Q144" s="1131"/>
    </row>
    <row r="145" spans="2:17">
      <c r="B145" s="1132" t="s">
        <v>955</v>
      </c>
      <c r="C145" s="1133">
        <v>0.54725000000000001</v>
      </c>
      <c r="D145" s="1134">
        <v>0</v>
      </c>
      <c r="E145" s="1134">
        <v>0</v>
      </c>
      <c r="F145" s="1133">
        <v>0.44750616000000004</v>
      </c>
      <c r="G145" s="1133">
        <v>0.43447200000000002</v>
      </c>
      <c r="H145" s="1135">
        <f t="shared" si="22"/>
        <v>9.9743839999999973E-2</v>
      </c>
      <c r="J145" s="1136">
        <v>3.5800492800000007E-2</v>
      </c>
      <c r="K145" s="1135">
        <f t="shared" si="23"/>
        <v>6.3943347199999973E-2</v>
      </c>
      <c r="M145" s="106">
        <f t="shared" si="25"/>
        <v>0.13230388373416566</v>
      </c>
      <c r="N145" s="1133">
        <v>0.57694115708950766</v>
      </c>
      <c r="O145" s="109">
        <f t="shared" si="26"/>
        <v>0</v>
      </c>
      <c r="P145" s="1137">
        <f t="shared" si="24"/>
        <v>0</v>
      </c>
      <c r="Q145" s="1131"/>
    </row>
    <row r="146" spans="2:17">
      <c r="B146" s="1132" t="s">
        <v>956</v>
      </c>
      <c r="C146" s="1133">
        <v>2.7793989502250001</v>
      </c>
      <c r="D146" s="1134">
        <v>0</v>
      </c>
      <c r="E146" s="1134">
        <v>0</v>
      </c>
      <c r="F146" s="1133">
        <v>2.9886541800000002</v>
      </c>
      <c r="G146" s="1133">
        <v>2.9016060000000001</v>
      </c>
      <c r="H146" s="1135">
        <f t="shared" si="22"/>
        <v>-0.20925522977500011</v>
      </c>
      <c r="J146" s="1136">
        <v>0.24473079653543725</v>
      </c>
      <c r="K146" s="1135">
        <f t="shared" si="23"/>
        <v>-0.45398602631043738</v>
      </c>
      <c r="M146" s="106">
        <f t="shared" si="25"/>
        <v>-0.14040580679535478</v>
      </c>
      <c r="N146" s="1133">
        <v>5.8437453879346348</v>
      </c>
      <c r="O146" s="109">
        <f t="shared" si="26"/>
        <v>1.0921862490879443E-3</v>
      </c>
      <c r="P146" s="1137">
        <f t="shared" si="24"/>
        <v>2.1531130990900902E-3</v>
      </c>
      <c r="Q146" s="1131"/>
    </row>
    <row r="147" spans="2:17">
      <c r="B147" s="1132" t="s">
        <v>957</v>
      </c>
      <c r="C147" s="1133">
        <v>0.42785000000000001</v>
      </c>
      <c r="D147" s="1134">
        <v>0</v>
      </c>
      <c r="E147" s="1134">
        <v>0</v>
      </c>
      <c r="F147" s="1133">
        <v>0.16072944</v>
      </c>
      <c r="G147" s="1133">
        <v>0.15604799999999999</v>
      </c>
      <c r="H147" s="1135">
        <f t="shared" si="22"/>
        <v>0.26712056000000001</v>
      </c>
      <c r="J147" s="1136">
        <v>1.2858355200000001E-2</v>
      </c>
      <c r="K147" s="1135">
        <f t="shared" si="23"/>
        <v>0.2542622048</v>
      </c>
      <c r="M147" s="106">
        <f t="shared" si="25"/>
        <v>1.4647470146564774</v>
      </c>
      <c r="N147" s="1133">
        <v>0.47977212010601156</v>
      </c>
      <c r="O147" s="109">
        <f t="shared" si="26"/>
        <v>0</v>
      </c>
      <c r="P147" s="1137">
        <f t="shared" si="24"/>
        <v>0</v>
      </c>
      <c r="Q147" s="1131"/>
    </row>
    <row r="148" spans="2:17">
      <c r="B148" s="1132" t="s">
        <v>958</v>
      </c>
      <c r="C148" s="1133">
        <v>8.159000000000001E-2</v>
      </c>
      <c r="D148" s="1134">
        <v>0</v>
      </c>
      <c r="E148" s="1134">
        <v>0</v>
      </c>
      <c r="F148" s="1133">
        <v>1.202628E-2</v>
      </c>
      <c r="G148" s="1133">
        <v>1.1676000000000001E-2</v>
      </c>
      <c r="H148" s="1135">
        <f t="shared" si="22"/>
        <v>6.9563720000000009E-2</v>
      </c>
      <c r="J148" s="1136">
        <v>9.6210240000000008E-4</v>
      </c>
      <c r="K148" s="1135">
        <f t="shared" si="23"/>
        <v>6.8601617600000012E-2</v>
      </c>
      <c r="M148" s="106">
        <f t="shared" si="25"/>
        <v>5.2817676202696351</v>
      </c>
      <c r="N148" s="1133">
        <v>8.9577705969160384E-2</v>
      </c>
      <c r="O148" s="109">
        <f t="shared" si="26"/>
        <v>0</v>
      </c>
      <c r="P148" s="1137">
        <f t="shared" si="24"/>
        <v>0</v>
      </c>
      <c r="Q148" s="1131"/>
    </row>
    <row r="149" spans="2:17">
      <c r="B149" s="1132" t="s">
        <v>959</v>
      </c>
      <c r="C149" s="1133">
        <v>3.5323693999999993E-3</v>
      </c>
      <c r="D149" s="1134">
        <v>0</v>
      </c>
      <c r="E149" s="1134">
        <v>0</v>
      </c>
      <c r="F149" s="1133">
        <v>5.6299800000000006E-3</v>
      </c>
      <c r="G149" s="1133">
        <v>5.4660000000000004E-3</v>
      </c>
      <c r="H149" s="1135">
        <f t="shared" si="22"/>
        <v>-2.0976106000000013E-3</v>
      </c>
      <c r="J149" s="1136">
        <v>4.5039840000000005E-4</v>
      </c>
      <c r="K149" s="1135">
        <f t="shared" si="23"/>
        <v>-2.5480090000000013E-3</v>
      </c>
      <c r="M149" s="106">
        <f t="shared" si="25"/>
        <v>-0.41905434701235056</v>
      </c>
      <c r="N149" s="1133">
        <v>1.9737460637272629E-2</v>
      </c>
      <c r="O149" s="109">
        <f t="shared" si="26"/>
        <v>3.6888984151245954E-6</v>
      </c>
      <c r="P149" s="1137">
        <f t="shared" si="24"/>
        <v>6.477947083024862E-5</v>
      </c>
      <c r="Q149" s="1131"/>
    </row>
    <row r="150" spans="2:17">
      <c r="B150" s="1132" t="s">
        <v>960</v>
      </c>
      <c r="C150" s="1133">
        <v>0.20596499999999998</v>
      </c>
      <c r="D150" s="1134">
        <v>0</v>
      </c>
      <c r="E150" s="1134">
        <v>0</v>
      </c>
      <c r="F150" s="1133">
        <v>0.11569063</v>
      </c>
      <c r="G150" s="1133">
        <v>0.112321</v>
      </c>
      <c r="H150" s="1135">
        <f t="shared" si="22"/>
        <v>9.0274369999999979E-2</v>
      </c>
      <c r="J150" s="1136">
        <v>9.2552503999999997E-3</v>
      </c>
      <c r="K150" s="1135">
        <f t="shared" si="23"/>
        <v>8.1019119599999981E-2</v>
      </c>
      <c r="M150" s="106">
        <f t="shared" si="25"/>
        <v>0.64843370058001515</v>
      </c>
      <c r="N150" s="1133">
        <v>0.1563814188953139</v>
      </c>
      <c r="O150" s="109">
        <f t="shared" si="26"/>
        <v>0</v>
      </c>
      <c r="P150" s="1137">
        <f t="shared" si="24"/>
        <v>0</v>
      </c>
      <c r="Q150" s="1131"/>
    </row>
    <row r="151" spans="2:17">
      <c r="B151" s="1132" t="s">
        <v>961</v>
      </c>
      <c r="C151" s="1133">
        <v>7.9600000000000004E-2</v>
      </c>
      <c r="D151" s="1134">
        <v>0</v>
      </c>
      <c r="E151" s="1134">
        <v>0</v>
      </c>
      <c r="F151" s="1133">
        <v>4.329914E-2</v>
      </c>
      <c r="G151" s="1133">
        <v>4.2037999999999999E-2</v>
      </c>
      <c r="H151" s="1135">
        <f t="shared" si="22"/>
        <v>3.6300860000000004E-2</v>
      </c>
      <c r="J151" s="1136">
        <v>5.3841876372445569E-3</v>
      </c>
      <c r="K151" s="1135">
        <f t="shared" si="23"/>
        <v>3.0916672362755446E-2</v>
      </c>
      <c r="M151" s="106">
        <f t="shared" si="25"/>
        <v>0.63505667881057182</v>
      </c>
      <c r="N151" s="1133">
        <v>0.15334488648957964</v>
      </c>
      <c r="O151" s="109">
        <f t="shared" si="26"/>
        <v>0</v>
      </c>
      <c r="P151" s="1137">
        <f t="shared" si="24"/>
        <v>0</v>
      </c>
      <c r="Q151" s="1131"/>
    </row>
    <row r="152" spans="2:17">
      <c r="B152" s="1132" t="s">
        <v>962</v>
      </c>
      <c r="C152" s="1133">
        <v>0.46764999999999995</v>
      </c>
      <c r="D152" s="1134">
        <v>0</v>
      </c>
      <c r="E152" s="1134">
        <v>0</v>
      </c>
      <c r="F152" s="1133">
        <v>0.27986336000000001</v>
      </c>
      <c r="G152" s="1133">
        <v>0.27171200000000001</v>
      </c>
      <c r="H152" s="1135">
        <f t="shared" si="22"/>
        <v>0.18778663999999995</v>
      </c>
      <c r="J152" s="1136">
        <v>2.2389068800000002E-2</v>
      </c>
      <c r="K152" s="1135">
        <f t="shared" si="23"/>
        <v>0.16539757119999995</v>
      </c>
      <c r="M152" s="106">
        <f t="shared" si="25"/>
        <v>0.54721668195243278</v>
      </c>
      <c r="N152" s="1133">
        <v>0.39323094654258545</v>
      </c>
      <c r="O152" s="109">
        <f t="shared" si="26"/>
        <v>0</v>
      </c>
      <c r="P152" s="1137">
        <f t="shared" si="24"/>
        <v>0</v>
      </c>
      <c r="Q152" s="1131"/>
    </row>
    <row r="153" spans="2:17">
      <c r="B153" s="1132" t="s">
        <v>963</v>
      </c>
      <c r="C153" s="1133">
        <v>0.14924999999999999</v>
      </c>
      <c r="D153" s="1134">
        <v>0</v>
      </c>
      <c r="E153" s="1134">
        <v>0</v>
      </c>
      <c r="F153" s="1133">
        <v>6.4750950000000002E-2</v>
      </c>
      <c r="G153" s="1133">
        <v>6.2865000000000004E-2</v>
      </c>
      <c r="H153" s="1135">
        <f t="shared" si="22"/>
        <v>8.4499049999999992E-2</v>
      </c>
      <c r="J153" s="1136">
        <v>5.1800760000000005E-3</v>
      </c>
      <c r="K153" s="1135">
        <f t="shared" si="23"/>
        <v>7.9318973999999987E-2</v>
      </c>
      <c r="M153" s="106">
        <f t="shared" si="25"/>
        <v>1.134245821017984</v>
      </c>
      <c r="N153" s="1133">
        <v>0.17611887953258654</v>
      </c>
      <c r="O153" s="109">
        <f t="shared" si="26"/>
        <v>0</v>
      </c>
      <c r="P153" s="1137">
        <f t="shared" si="24"/>
        <v>0</v>
      </c>
      <c r="Q153" s="1131"/>
    </row>
    <row r="154" spans="2:17">
      <c r="B154" s="1132" t="s">
        <v>964</v>
      </c>
      <c r="C154" s="1133">
        <v>0.13930000000000001</v>
      </c>
      <c r="D154" s="1134">
        <v>0</v>
      </c>
      <c r="E154" s="1134">
        <v>0</v>
      </c>
      <c r="F154" s="1133">
        <v>0.12711744999999999</v>
      </c>
      <c r="G154" s="1133">
        <v>0.123415</v>
      </c>
      <c r="H154" s="1135">
        <f t="shared" si="22"/>
        <v>1.2182550000000014E-2</v>
      </c>
      <c r="J154" s="1136">
        <v>1.0169395999999999E-2</v>
      </c>
      <c r="K154" s="1135">
        <f t="shared" si="23"/>
        <v>2.0131540000000153E-3</v>
      </c>
      <c r="M154" s="106">
        <f t="shared" si="25"/>
        <v>1.4663852063438149E-2</v>
      </c>
      <c r="N154" s="1133">
        <v>0.13816222446090839</v>
      </c>
      <c r="O154" s="109">
        <f t="shared" si="26"/>
        <v>0</v>
      </c>
      <c r="P154" s="1137">
        <f t="shared" si="24"/>
        <v>0</v>
      </c>
      <c r="Q154" s="1131"/>
    </row>
    <row r="155" spans="2:17">
      <c r="B155" s="1132" t="s">
        <v>965</v>
      </c>
      <c r="C155" s="1133">
        <v>0.92185781302608694</v>
      </c>
      <c r="D155" s="1134">
        <v>0</v>
      </c>
      <c r="E155" s="1134">
        <v>0</v>
      </c>
      <c r="F155" s="1133">
        <v>0.75889576000000003</v>
      </c>
      <c r="G155" s="1133">
        <v>0.736792</v>
      </c>
      <c r="H155" s="1135">
        <f t="shared" si="22"/>
        <v>0.16296205302608691</v>
      </c>
      <c r="J155" s="1136">
        <v>7.3652568490545536E-2</v>
      </c>
      <c r="K155" s="1135">
        <f t="shared" si="23"/>
        <v>8.930948453554137E-2</v>
      </c>
      <c r="M155" s="106">
        <f t="shared" si="25"/>
        <v>0.10727243269764797</v>
      </c>
      <c r="N155" s="1133">
        <v>0.99598262908083413</v>
      </c>
      <c r="O155" s="109">
        <f t="shared" si="26"/>
        <v>0</v>
      </c>
      <c r="P155" s="1137">
        <f t="shared" si="24"/>
        <v>0</v>
      </c>
      <c r="Q155" s="1131"/>
    </row>
    <row r="156" spans="2:17">
      <c r="B156" s="1132" t="s">
        <v>966</v>
      </c>
      <c r="C156" s="1133">
        <v>0</v>
      </c>
      <c r="D156" s="1134">
        <v>0</v>
      </c>
      <c r="E156" s="1134">
        <v>0</v>
      </c>
      <c r="F156" s="1133">
        <v>2.2973120000000003E-2</v>
      </c>
      <c r="G156" s="1133">
        <v>2.2304000000000001E-2</v>
      </c>
      <c r="H156" s="1135">
        <f t="shared" si="22"/>
        <v>-2.2973120000000003E-2</v>
      </c>
      <c r="J156" s="1136">
        <v>1.8378496000000003E-3</v>
      </c>
      <c r="K156" s="1135">
        <f t="shared" si="23"/>
        <v>-2.4810969600000003E-2</v>
      </c>
      <c r="M156" s="106">
        <f t="shared" si="25"/>
        <v>-1</v>
      </c>
      <c r="N156" s="1133">
        <v>1.6700928231538376E-2</v>
      </c>
      <c r="O156" s="109">
        <f t="shared" si="26"/>
        <v>3.1213755820285031E-6</v>
      </c>
      <c r="P156" s="1137">
        <f t="shared" si="24"/>
        <v>3.121375582028503E-4</v>
      </c>
      <c r="Q156" s="1131"/>
    </row>
    <row r="157" spans="2:17">
      <c r="B157" s="1132" t="s">
        <v>967</v>
      </c>
      <c r="C157" s="1133">
        <v>0.46112005456538468</v>
      </c>
      <c r="D157" s="1134">
        <v>0</v>
      </c>
      <c r="E157" s="1134">
        <v>0</v>
      </c>
      <c r="F157" s="1133">
        <v>0.59304515999999996</v>
      </c>
      <c r="G157" s="1133">
        <v>0.57577199999999995</v>
      </c>
      <c r="H157" s="1135">
        <f t="shared" si="22"/>
        <v>-0.13192510543461528</v>
      </c>
      <c r="J157" s="1136">
        <v>6.6875663543270181E-2</v>
      </c>
      <c r="K157" s="1135">
        <f t="shared" si="23"/>
        <v>-0.19880076897788546</v>
      </c>
      <c r="M157" s="106">
        <f t="shared" si="25"/>
        <v>-0.30124942551513584</v>
      </c>
      <c r="N157" s="1133">
        <v>1.0142018235152397</v>
      </c>
      <c r="O157" s="109">
        <f t="shared" si="26"/>
        <v>1.8955262625409459E-4</v>
      </c>
      <c r="P157" s="1137">
        <f t="shared" si="24"/>
        <v>1.720213139929353E-3</v>
      </c>
      <c r="Q157" s="1131"/>
    </row>
    <row r="158" spans="2:17">
      <c r="B158" s="1132" t="s">
        <v>968</v>
      </c>
      <c r="C158" s="1133">
        <v>9.0545E-2</v>
      </c>
      <c r="D158" s="1134">
        <v>0</v>
      </c>
      <c r="E158" s="1134">
        <v>0</v>
      </c>
      <c r="F158" s="1133">
        <v>6.0791629999999999E-2</v>
      </c>
      <c r="G158" s="1133">
        <v>5.9020999999999997E-2</v>
      </c>
      <c r="H158" s="1135">
        <f t="shared" si="22"/>
        <v>2.9753370000000001E-2</v>
      </c>
      <c r="J158" s="1136">
        <v>4.8633304E-3</v>
      </c>
      <c r="K158" s="1135">
        <f t="shared" si="23"/>
        <v>2.48900396E-2</v>
      </c>
      <c r="M158" s="106">
        <f t="shared" si="25"/>
        <v>0.37910371810992666</v>
      </c>
      <c r="N158" s="1133">
        <v>0.13208915964943993</v>
      </c>
      <c r="O158" s="109">
        <f t="shared" si="26"/>
        <v>0</v>
      </c>
      <c r="P158" s="1137">
        <f t="shared" si="24"/>
        <v>0</v>
      </c>
      <c r="Q158" s="1131"/>
    </row>
    <row r="159" spans="2:17">
      <c r="B159" s="1132" t="s">
        <v>969</v>
      </c>
      <c r="C159" s="1133">
        <v>0.16318000000000002</v>
      </c>
      <c r="D159" s="1134">
        <v>0</v>
      </c>
      <c r="E159" s="1134">
        <v>0</v>
      </c>
      <c r="F159" s="1133">
        <v>0.15106701</v>
      </c>
      <c r="G159" s="1133">
        <v>0.14666699999999999</v>
      </c>
      <c r="H159" s="1135">
        <f t="shared" si="22"/>
        <v>1.2112990000000018E-2</v>
      </c>
      <c r="J159" s="1136">
        <v>1.20853608E-2</v>
      </c>
      <c r="K159" s="1135">
        <f t="shared" si="23"/>
        <v>2.7629200000017784E-5</v>
      </c>
      <c r="M159" s="106">
        <f t="shared" si="25"/>
        <v>1.6934599150806692E-4</v>
      </c>
      <c r="N159" s="1133">
        <v>0.28998884474762093</v>
      </c>
      <c r="O159" s="109">
        <f t="shared" si="26"/>
        <v>0</v>
      </c>
      <c r="P159" s="1137">
        <f t="shared" si="24"/>
        <v>0</v>
      </c>
      <c r="Q159" s="1131"/>
    </row>
    <row r="160" spans="2:17">
      <c r="B160" s="1132" t="s">
        <v>970</v>
      </c>
      <c r="C160" s="1133">
        <v>0.6169</v>
      </c>
      <c r="D160" s="1134">
        <v>0</v>
      </c>
      <c r="E160" s="1134">
        <v>0</v>
      </c>
      <c r="F160" s="1133">
        <v>0.38376461000000001</v>
      </c>
      <c r="G160" s="1133">
        <v>0.372587</v>
      </c>
      <c r="H160" s="1135">
        <f t="shared" si="22"/>
        <v>0.23313539</v>
      </c>
      <c r="J160" s="1136">
        <v>3.8221382504659229E-2</v>
      </c>
      <c r="K160" s="1135">
        <f t="shared" si="23"/>
        <v>0.19491400749534077</v>
      </c>
      <c r="M160" s="106">
        <f t="shared" si="25"/>
        <v>0.46189686614583225</v>
      </c>
      <c r="N160" s="1133">
        <v>0.82138201575111491</v>
      </c>
      <c r="O160" s="109">
        <f t="shared" si="26"/>
        <v>0</v>
      </c>
      <c r="P160" s="1137">
        <f t="shared" si="24"/>
        <v>0</v>
      </c>
      <c r="Q160" s="1131"/>
    </row>
    <row r="161" spans="2:17">
      <c r="B161" s="1132" t="s">
        <v>971</v>
      </c>
      <c r="C161" s="1133">
        <v>4.0795000000000005E-2</v>
      </c>
      <c r="D161" s="1134">
        <v>0</v>
      </c>
      <c r="E161" s="1134">
        <v>0</v>
      </c>
      <c r="F161" s="1133">
        <v>7.7723799999999997E-3</v>
      </c>
      <c r="G161" s="1133">
        <v>7.5459999999999998E-3</v>
      </c>
      <c r="H161" s="1135">
        <f t="shared" si="22"/>
        <v>3.3022620000000003E-2</v>
      </c>
      <c r="J161" s="1136">
        <v>6.2179040000000002E-4</v>
      </c>
      <c r="K161" s="1135">
        <f t="shared" si="23"/>
        <v>3.24008296E-2</v>
      </c>
      <c r="M161" s="106">
        <f t="shared" si="25"/>
        <v>3.8599204038078621</v>
      </c>
      <c r="N161" s="1133">
        <v>3.0365324057342505E-2</v>
      </c>
      <c r="O161" s="109">
        <f t="shared" si="26"/>
        <v>0</v>
      </c>
      <c r="P161" s="1137">
        <f t="shared" si="24"/>
        <v>0</v>
      </c>
      <c r="Q161" s="1131"/>
    </row>
    <row r="162" spans="2:17">
      <c r="B162" s="1132" t="s">
        <v>972</v>
      </c>
      <c r="C162" s="1133">
        <v>1.1639999999999999</v>
      </c>
      <c r="D162" s="1134">
        <v>0</v>
      </c>
      <c r="E162" s="1134">
        <v>0</v>
      </c>
      <c r="F162" s="1133">
        <v>0.69848007999999995</v>
      </c>
      <c r="G162" s="1133">
        <v>0.67813599999999996</v>
      </c>
      <c r="H162" s="1135">
        <f t="shared" si="22"/>
        <v>0.46551991999999998</v>
      </c>
      <c r="J162" s="1136">
        <v>5.5878406399999997E-2</v>
      </c>
      <c r="K162" s="1135">
        <f t="shared" si="23"/>
        <v>0.40964151360000001</v>
      </c>
      <c r="M162" s="106">
        <f t="shared" si="25"/>
        <v>0.54303294916839695</v>
      </c>
      <c r="N162" s="1133">
        <v>1.4560172885495732</v>
      </c>
      <c r="O162" s="109">
        <f t="shared" si="26"/>
        <v>0</v>
      </c>
      <c r="P162" s="1137">
        <f t="shared" si="24"/>
        <v>0</v>
      </c>
      <c r="Q162" s="1131"/>
    </row>
    <row r="163" spans="2:17">
      <c r="B163" s="1132" t="s">
        <v>973</v>
      </c>
      <c r="C163" s="1133">
        <v>0.55232798758085089</v>
      </c>
      <c r="D163" s="1134">
        <v>0</v>
      </c>
      <c r="E163" s="1134">
        <v>0</v>
      </c>
      <c r="F163" s="1133">
        <v>0.48179692000000002</v>
      </c>
      <c r="G163" s="1133">
        <v>0.46776400000000001</v>
      </c>
      <c r="H163" s="1135">
        <f>+C163+D163-E163-F163</f>
        <v>7.053106758085087E-2</v>
      </c>
      <c r="J163" s="1136">
        <v>3.9702956897017951E-2</v>
      </c>
      <c r="K163" s="1135">
        <f>+H163-J163</f>
        <v>3.082811068383292E-2</v>
      </c>
      <c r="M163" s="106">
        <f>+IF(ISERROR(K163/(F163+J163)),0,K163/(F163+J163))</f>
        <v>5.9114320155286698E-2</v>
      </c>
      <c r="N163" s="1133">
        <v>0.85782040461992581</v>
      </c>
      <c r="O163" s="109">
        <f t="shared" si="26"/>
        <v>0</v>
      </c>
      <c r="P163" s="1137">
        <f>(M163^2*O163)*100</f>
        <v>0</v>
      </c>
      <c r="Q163" s="1131"/>
    </row>
    <row r="164" spans="2:17">
      <c r="B164" s="1132" t="s">
        <v>974</v>
      </c>
      <c r="C164" s="1133">
        <v>0.95449580157710834</v>
      </c>
      <c r="D164" s="1134">
        <v>0</v>
      </c>
      <c r="E164" s="1134">
        <v>0</v>
      </c>
      <c r="F164" s="1133">
        <v>0.92217753999999996</v>
      </c>
      <c r="G164" s="1133">
        <v>0.89531799999999995</v>
      </c>
      <c r="H164" s="1135">
        <f t="shared" ref="H164:H187" si="27">+C164+D164-E164-F164</f>
        <v>3.2318261577108376E-2</v>
      </c>
      <c r="J164" s="1136">
        <v>7.3774203199999999E-2</v>
      </c>
      <c r="K164" s="1135">
        <f t="shared" ref="K164:K187" si="28">+H164-J164</f>
        <v>-4.1455941622891623E-2</v>
      </c>
      <c r="M164" s="106">
        <f>+IF(ISERROR(K164/(F164+J164)),0,K164/(F164+J164))</f>
        <v>-4.1624448077869101E-2</v>
      </c>
      <c r="N164" s="1133">
        <v>1.4803095477954471</v>
      </c>
      <c r="O164" s="109">
        <f t="shared" si="26"/>
        <v>2.7666738113434465E-4</v>
      </c>
      <c r="P164" s="1137">
        <f t="shared" ref="P164:P187" si="29">(M164^2*O164)*100</f>
        <v>4.7935243207069407E-5</v>
      </c>
      <c r="Q164" s="1131"/>
    </row>
    <row r="165" spans="2:17">
      <c r="B165" s="1132" t="s">
        <v>975</v>
      </c>
      <c r="C165" s="1133">
        <v>0.86565000000000003</v>
      </c>
      <c r="D165" s="1134">
        <v>0</v>
      </c>
      <c r="E165" s="1134">
        <v>0</v>
      </c>
      <c r="F165" s="1133">
        <v>0.77349807000000004</v>
      </c>
      <c r="G165" s="1133">
        <v>0.750969</v>
      </c>
      <c r="H165" s="1135">
        <f t="shared" si="27"/>
        <v>9.2151929999999993E-2</v>
      </c>
      <c r="J165" s="1136">
        <v>6.1879845600000004E-2</v>
      </c>
      <c r="K165" s="1135">
        <f t="shared" si="28"/>
        <v>3.0272084399999989E-2</v>
      </c>
      <c r="M165" s="106">
        <f t="shared" ref="M165:M187" si="30">+IF(ISERROR(K165/(F165+J165)),0,K165/(F165+J165))</f>
        <v>3.6237592393446781E-2</v>
      </c>
      <c r="N165" s="1133">
        <v>1.6531707750499731</v>
      </c>
      <c r="O165" s="109">
        <f t="shared" si="26"/>
        <v>0</v>
      </c>
      <c r="P165" s="1137">
        <f t="shared" si="29"/>
        <v>0</v>
      </c>
      <c r="Q165" s="1131"/>
    </row>
    <row r="166" spans="2:17">
      <c r="B166" s="1132" t="s">
        <v>976</v>
      </c>
      <c r="C166" s="1133">
        <v>9.9046112322947373</v>
      </c>
      <c r="D166" s="1134">
        <v>0</v>
      </c>
      <c r="E166" s="1134">
        <v>0</v>
      </c>
      <c r="F166" s="1133">
        <v>7.0029741200000002</v>
      </c>
      <c r="G166" s="1133">
        <v>6.799004</v>
      </c>
      <c r="H166" s="1135">
        <f t="shared" si="27"/>
        <v>2.9016371122947371</v>
      </c>
      <c r="J166" s="1136">
        <v>0.56023792960000007</v>
      </c>
      <c r="K166" s="1135">
        <f t="shared" si="28"/>
        <v>2.3413991826947371</v>
      </c>
      <c r="M166" s="106">
        <f t="shared" si="30"/>
        <v>0.30957735514219359</v>
      </c>
      <c r="N166" s="1133">
        <v>10.768146383407066</v>
      </c>
      <c r="O166" s="109">
        <f t="shared" si="26"/>
        <v>0</v>
      </c>
      <c r="P166" s="1137">
        <f t="shared" si="29"/>
        <v>0</v>
      </c>
      <c r="Q166" s="1131"/>
    </row>
    <row r="167" spans="2:17">
      <c r="B167" s="1132" t="s">
        <v>977</v>
      </c>
      <c r="C167" s="1133">
        <v>3.474548831672251</v>
      </c>
      <c r="D167" s="1134">
        <v>0</v>
      </c>
      <c r="E167" s="1134">
        <v>0</v>
      </c>
      <c r="F167" s="1133">
        <v>3.75319022</v>
      </c>
      <c r="G167" s="1133">
        <v>3.6438739999999998</v>
      </c>
      <c r="H167" s="1135">
        <f t="shared" si="27"/>
        <v>-0.27864138832774898</v>
      </c>
      <c r="J167" s="1136">
        <v>0.30025521760000001</v>
      </c>
      <c r="K167" s="1135">
        <f t="shared" si="28"/>
        <v>-0.57889660592774894</v>
      </c>
      <c r="M167" s="106">
        <f t="shared" si="30"/>
        <v>-0.14281593642728474</v>
      </c>
      <c r="N167" s="1133">
        <v>5.2218733776364701</v>
      </c>
      <c r="O167" s="109">
        <f t="shared" si="26"/>
        <v>9.7595940940689802E-4</v>
      </c>
      <c r="P167" s="1137">
        <f t="shared" si="29"/>
        <v>1.9906050395223636E-3</v>
      </c>
      <c r="Q167" s="1131"/>
    </row>
    <row r="168" spans="2:17">
      <c r="B168" s="1132" t="s">
        <v>978</v>
      </c>
      <c r="C168" s="1133">
        <v>0.18905</v>
      </c>
      <c r="D168" s="1134">
        <v>0</v>
      </c>
      <c r="E168" s="1134">
        <v>0</v>
      </c>
      <c r="F168" s="1133">
        <v>0.11440828</v>
      </c>
      <c r="G168" s="1133">
        <v>0.11107599999999999</v>
      </c>
      <c r="H168" s="1135">
        <f t="shared" si="27"/>
        <v>7.4641719999999995E-2</v>
      </c>
      <c r="J168" s="1136">
        <v>9.1526624000000008E-3</v>
      </c>
      <c r="K168" s="1135">
        <f t="shared" si="28"/>
        <v>6.5489057599999997E-2</v>
      </c>
      <c r="M168" s="106">
        <f t="shared" si="30"/>
        <v>0.53001422883288074</v>
      </c>
      <c r="N168" s="1133">
        <v>0.31234579893214726</v>
      </c>
      <c r="O168" s="109">
        <f t="shared" si="26"/>
        <v>0</v>
      </c>
      <c r="P168" s="1137">
        <f t="shared" si="29"/>
        <v>0</v>
      </c>
      <c r="Q168" s="1131"/>
    </row>
    <row r="169" spans="2:17">
      <c r="B169" s="1132" t="s">
        <v>979</v>
      </c>
      <c r="C169" s="1133">
        <v>2.7702893611164643</v>
      </c>
      <c r="D169" s="1134">
        <v>0</v>
      </c>
      <c r="E169" s="1134">
        <v>0</v>
      </c>
      <c r="F169" s="1133">
        <v>2.8715771700000001</v>
      </c>
      <c r="G169" s="1133">
        <v>2.7879390000000002</v>
      </c>
      <c r="H169" s="1135">
        <f t="shared" si="27"/>
        <v>-0.10128780888353583</v>
      </c>
      <c r="J169" s="1136">
        <v>0.63657199665083908</v>
      </c>
      <c r="K169" s="1135">
        <f t="shared" si="28"/>
        <v>-0.73785980553437491</v>
      </c>
      <c r="M169" s="106">
        <f t="shared" si="30"/>
        <v>-0.21032737505822624</v>
      </c>
      <c r="N169" s="1133">
        <v>6.9099504086184655</v>
      </c>
      <c r="O169" s="109">
        <f t="shared" si="26"/>
        <v>1.2914581860042403E-3</v>
      </c>
      <c r="P169" s="1137">
        <f t="shared" si="29"/>
        <v>5.7131016717593087E-3</v>
      </c>
      <c r="Q169" s="1131"/>
    </row>
    <row r="170" spans="2:17">
      <c r="B170" s="1132" t="s">
        <v>980</v>
      </c>
      <c r="C170" s="1133">
        <v>9.873794889034782</v>
      </c>
      <c r="D170" s="1134">
        <v>0</v>
      </c>
      <c r="E170" s="1134">
        <v>0</v>
      </c>
      <c r="F170" s="1133">
        <v>8.2651536300000004</v>
      </c>
      <c r="G170" s="1133">
        <v>8.0244210000000002</v>
      </c>
      <c r="H170" s="1135">
        <f t="shared" si="27"/>
        <v>1.6086412590347816</v>
      </c>
      <c r="J170" s="1136">
        <v>0.66121229040000007</v>
      </c>
      <c r="K170" s="1135">
        <f t="shared" si="28"/>
        <v>0.94742896863478154</v>
      </c>
      <c r="M170" s="106">
        <f t="shared" si="30"/>
        <v>0.10613826243326649</v>
      </c>
      <c r="N170" s="1133">
        <v>12.771245387568648</v>
      </c>
      <c r="O170" s="109">
        <f t="shared" si="26"/>
        <v>0</v>
      </c>
      <c r="P170" s="1137">
        <f t="shared" si="29"/>
        <v>0</v>
      </c>
      <c r="Q170" s="1131"/>
    </row>
    <row r="171" spans="2:17">
      <c r="B171" s="1132" t="s">
        <v>981</v>
      </c>
      <c r="C171" s="1133">
        <v>0.3497945129142857</v>
      </c>
      <c r="D171" s="1134">
        <v>0</v>
      </c>
      <c r="E171" s="1134">
        <v>0</v>
      </c>
      <c r="F171" s="1133">
        <v>0.53061685999999997</v>
      </c>
      <c r="G171" s="1133">
        <v>0.51516200000000001</v>
      </c>
      <c r="H171" s="1135">
        <f t="shared" si="27"/>
        <v>-0.18082234708571426</v>
      </c>
      <c r="J171" s="1136">
        <v>4.2449348800000002E-2</v>
      </c>
      <c r="K171" s="1135">
        <f t="shared" si="28"/>
        <v>-0.22327169588571427</v>
      </c>
      <c r="M171" s="106">
        <f t="shared" si="30"/>
        <v>-0.3896089011307175</v>
      </c>
      <c r="N171" s="1133">
        <v>1.0533348070350139</v>
      </c>
      <c r="O171" s="109">
        <f t="shared" si="26"/>
        <v>1.9686651548929762E-4</v>
      </c>
      <c r="P171" s="1137">
        <f t="shared" si="29"/>
        <v>2.9883371586440924E-3</v>
      </c>
      <c r="Q171" s="1131"/>
    </row>
    <row r="172" spans="2:17">
      <c r="B172" s="1132" t="s">
        <v>982</v>
      </c>
      <c r="C172" s="1133">
        <v>0.29176295057605639</v>
      </c>
      <c r="D172" s="1134">
        <v>0</v>
      </c>
      <c r="E172" s="1134">
        <v>0</v>
      </c>
      <c r="F172" s="1133">
        <v>0.23258841999999999</v>
      </c>
      <c r="G172" s="1133">
        <v>0.22581399999999999</v>
      </c>
      <c r="H172" s="1135">
        <f t="shared" si="27"/>
        <v>5.91745305760564E-2</v>
      </c>
      <c r="J172" s="1136">
        <v>1.8607073599999999E-2</v>
      </c>
      <c r="K172" s="1135">
        <f t="shared" si="28"/>
        <v>4.0567456976056404E-2</v>
      </c>
      <c r="M172" s="106">
        <f t="shared" si="30"/>
        <v>0.16149755075087224</v>
      </c>
      <c r="N172" s="1133">
        <v>0.42218168427092434</v>
      </c>
      <c r="O172" s="109">
        <f t="shared" si="26"/>
        <v>0</v>
      </c>
      <c r="P172" s="1137">
        <f t="shared" si="29"/>
        <v>0</v>
      </c>
      <c r="Q172" s="1131"/>
    </row>
    <row r="173" spans="2:17">
      <c r="B173" s="1132" t="s">
        <v>983</v>
      </c>
      <c r="C173" s="1133">
        <v>1.0029305356157896</v>
      </c>
      <c r="D173" s="1134">
        <v>0</v>
      </c>
      <c r="E173" s="1134">
        <v>0</v>
      </c>
      <c r="F173" s="1133">
        <v>0.52639489000000006</v>
      </c>
      <c r="G173" s="1133">
        <v>0.51106300000000005</v>
      </c>
      <c r="H173" s="1135">
        <f t="shared" si="27"/>
        <v>0.47653564561578954</v>
      </c>
      <c r="J173" s="1136">
        <v>5.0074322370879151E-2</v>
      </c>
      <c r="K173" s="1135">
        <f t="shared" si="28"/>
        <v>0.42646132324491037</v>
      </c>
      <c r="M173" s="106">
        <f t="shared" si="30"/>
        <v>0.7397816120846723</v>
      </c>
      <c r="N173" s="1133">
        <v>0.96724887125184911</v>
      </c>
      <c r="O173" s="109">
        <f t="shared" si="26"/>
        <v>0</v>
      </c>
      <c r="P173" s="1137">
        <f t="shared" si="29"/>
        <v>0</v>
      </c>
      <c r="Q173" s="1131"/>
    </row>
    <row r="174" spans="2:17">
      <c r="B174" s="1132" t="s">
        <v>984</v>
      </c>
      <c r="C174" s="1133">
        <v>0.19900000000000001</v>
      </c>
      <c r="D174" s="1134">
        <v>0</v>
      </c>
      <c r="E174" s="1134">
        <v>0</v>
      </c>
      <c r="F174" s="1133">
        <v>0.18663291000000001</v>
      </c>
      <c r="G174" s="1133">
        <v>0.181197</v>
      </c>
      <c r="H174" s="1135">
        <f t="shared" si="27"/>
        <v>1.2367089999999997E-2</v>
      </c>
      <c r="J174" s="1136">
        <v>1.4930632800000001E-2</v>
      </c>
      <c r="K174" s="1135">
        <f t="shared" si="28"/>
        <v>-2.563542800000004E-3</v>
      </c>
      <c r="M174" s="106">
        <f t="shared" si="30"/>
        <v>-1.2718286076880782E-2</v>
      </c>
      <c r="N174" s="1133">
        <v>0.37340199414719044</v>
      </c>
      <c r="O174" s="109">
        <f t="shared" si="26"/>
        <v>6.9788208814093556E-5</v>
      </c>
      <c r="P174" s="1137">
        <f t="shared" si="29"/>
        <v>1.1288577810263185E-6</v>
      </c>
      <c r="Q174" s="1131"/>
    </row>
    <row r="175" spans="2:17">
      <c r="B175" s="1132" t="s">
        <v>985</v>
      </c>
      <c r="C175" s="1133">
        <v>2.5869999999999997E-2</v>
      </c>
      <c r="D175" s="1134">
        <v>0</v>
      </c>
      <c r="E175" s="1134">
        <v>0</v>
      </c>
      <c r="F175" s="1133">
        <v>1.868626E-2</v>
      </c>
      <c r="G175" s="1133">
        <v>1.8141999999999998E-2</v>
      </c>
      <c r="H175" s="1135">
        <f t="shared" si="27"/>
        <v>7.1837399999999975E-3</v>
      </c>
      <c r="J175" s="1136">
        <v>1.4949008E-3</v>
      </c>
      <c r="K175" s="1135">
        <f t="shared" si="28"/>
        <v>5.6888391999999977E-3</v>
      </c>
      <c r="M175" s="106">
        <f t="shared" si="30"/>
        <v>0.28188860176962655</v>
      </c>
      <c r="N175" s="1133">
        <v>3.7307209751798E-2</v>
      </c>
      <c r="O175" s="109">
        <f t="shared" si="26"/>
        <v>0</v>
      </c>
      <c r="P175" s="1137">
        <f t="shared" si="29"/>
        <v>0</v>
      </c>
      <c r="Q175" s="1131"/>
    </row>
    <row r="176" spans="2:17">
      <c r="B176" s="1132" t="s">
        <v>986</v>
      </c>
      <c r="C176" s="1133">
        <v>6.905786795610525</v>
      </c>
      <c r="D176" s="1134">
        <v>0</v>
      </c>
      <c r="E176" s="1134">
        <v>0</v>
      </c>
      <c r="F176" s="1133">
        <v>6.7671762200000005</v>
      </c>
      <c r="G176" s="1133">
        <v>6.570074</v>
      </c>
      <c r="H176" s="1135">
        <f t="shared" si="27"/>
        <v>0.13861057561052448</v>
      </c>
      <c r="J176" s="1136">
        <v>0.5413740976000001</v>
      </c>
      <c r="K176" s="1135">
        <f t="shared" si="28"/>
        <v>-0.40276352198947563</v>
      </c>
      <c r="M176" s="106">
        <f t="shared" si="30"/>
        <v>-5.510853787509204E-2</v>
      </c>
      <c r="N176" s="1133">
        <v>13.428302707712934</v>
      </c>
      <c r="O176" s="109">
        <f t="shared" si="26"/>
        <v>2.5097273396331144E-3</v>
      </c>
      <c r="P176" s="1137">
        <f t="shared" si="29"/>
        <v>7.6219188201340899E-4</v>
      </c>
      <c r="Q176" s="1131"/>
    </row>
    <row r="177" spans="2:17">
      <c r="B177" s="1132" t="s">
        <v>987</v>
      </c>
      <c r="C177" s="1133">
        <v>3.98E-3</v>
      </c>
      <c r="D177" s="1134">
        <v>0</v>
      </c>
      <c r="E177" s="1134">
        <v>0</v>
      </c>
      <c r="F177" s="1133">
        <v>3.5143600000000002E-3</v>
      </c>
      <c r="G177" s="1133">
        <v>3.4120000000000001E-3</v>
      </c>
      <c r="H177" s="1135">
        <f t="shared" si="27"/>
        <v>4.656399999999998E-4</v>
      </c>
      <c r="J177" s="1136">
        <v>2.811488E-4</v>
      </c>
      <c r="K177" s="1135">
        <f t="shared" si="28"/>
        <v>1.844911999999998E-4</v>
      </c>
      <c r="M177" s="106">
        <f t="shared" si="30"/>
        <v>4.8607765051157249E-2</v>
      </c>
      <c r="N177" s="1133">
        <v>1.1335565580158621E-2</v>
      </c>
      <c r="O177" s="109">
        <f t="shared" si="26"/>
        <v>0</v>
      </c>
      <c r="P177" s="1137">
        <f t="shared" si="29"/>
        <v>0</v>
      </c>
      <c r="Q177" s="1131"/>
    </row>
    <row r="178" spans="2:17">
      <c r="B178" s="1132" t="s">
        <v>988</v>
      </c>
      <c r="C178" s="1133">
        <v>7.600002256111113E-2</v>
      </c>
      <c r="D178" s="1134">
        <v>0</v>
      </c>
      <c r="E178" s="1134">
        <v>0</v>
      </c>
      <c r="F178" s="1133">
        <v>0.19702046000000001</v>
      </c>
      <c r="G178" s="1133">
        <v>0.19128200000000001</v>
      </c>
      <c r="H178" s="1135">
        <f t="shared" si="27"/>
        <v>-0.12102043743888888</v>
      </c>
      <c r="J178" s="1136">
        <v>1.6679144866960833E-2</v>
      </c>
      <c r="K178" s="1135">
        <f t="shared" si="28"/>
        <v>-0.13769958230584972</v>
      </c>
      <c r="M178" s="106">
        <f t="shared" si="30"/>
        <v>-0.64436049094042491</v>
      </c>
      <c r="N178" s="1133">
        <v>0.37484863131568463</v>
      </c>
      <c r="O178" s="109">
        <f t="shared" si="26"/>
        <v>7.005858288379738E-5</v>
      </c>
      <c r="P178" s="1137">
        <f t="shared" si="29"/>
        <v>2.9088354599211982E-3</v>
      </c>
      <c r="Q178" s="1131"/>
    </row>
    <row r="179" spans="2:17">
      <c r="B179" s="1132" t="s">
        <v>989</v>
      </c>
      <c r="C179" s="1133">
        <v>13.871</v>
      </c>
      <c r="D179" s="1134">
        <v>0</v>
      </c>
      <c r="E179" s="1134">
        <v>0</v>
      </c>
      <c r="F179" s="1133">
        <v>9.4855038100000009</v>
      </c>
      <c r="G179" s="1133">
        <v>9.2092270000000003</v>
      </c>
      <c r="H179" s="1135">
        <f t="shared" si="27"/>
        <v>4.3854961899999996</v>
      </c>
      <c r="J179" s="1136">
        <v>2.6686847407587622</v>
      </c>
      <c r="K179" s="1135">
        <f t="shared" si="28"/>
        <v>1.7168114492412374</v>
      </c>
      <c r="M179" s="106">
        <f t="shared" si="30"/>
        <v>0.14125265887322935</v>
      </c>
      <c r="N179" s="1133">
        <v>19.492369952116569</v>
      </c>
      <c r="O179" s="109">
        <f t="shared" si="26"/>
        <v>0</v>
      </c>
      <c r="P179" s="1137">
        <f t="shared" si="29"/>
        <v>0</v>
      </c>
      <c r="Q179" s="1131"/>
    </row>
    <row r="180" spans="2:17">
      <c r="B180" s="1132" t="s">
        <v>990</v>
      </c>
      <c r="C180" s="1133">
        <v>215.36160507378835</v>
      </c>
      <c r="D180" s="1134">
        <v>0</v>
      </c>
      <c r="E180" s="1134">
        <v>0</v>
      </c>
      <c r="F180" s="1133">
        <v>192.55564278</v>
      </c>
      <c r="G180" s="1133">
        <v>186.947226</v>
      </c>
      <c r="H180" s="1135">
        <f t="shared" si="27"/>
        <v>22.805962293788355</v>
      </c>
      <c r="J180" s="1136">
        <v>15.926355660097768</v>
      </c>
      <c r="K180" s="1135">
        <f t="shared" si="28"/>
        <v>6.879606633690587</v>
      </c>
      <c r="M180" s="106">
        <f t="shared" si="30"/>
        <v>3.299856431329861E-2</v>
      </c>
      <c r="N180" s="1133">
        <v>729.47394211002882</v>
      </c>
      <c r="O180" s="109">
        <f t="shared" si="26"/>
        <v>0</v>
      </c>
      <c r="P180" s="1137">
        <f t="shared" si="29"/>
        <v>0</v>
      </c>
      <c r="Q180" s="1131"/>
    </row>
    <row r="181" spans="2:17">
      <c r="B181" s="1132" t="s">
        <v>991</v>
      </c>
      <c r="C181" s="1133">
        <v>624.21310599999993</v>
      </c>
      <c r="D181" s="1134">
        <v>0</v>
      </c>
      <c r="E181" s="1134">
        <v>0</v>
      </c>
      <c r="F181" s="1133">
        <v>411.51198497000001</v>
      </c>
      <c r="G181" s="1133">
        <v>399.52619900000002</v>
      </c>
      <c r="H181" s="1135">
        <f t="shared" si="27"/>
        <v>212.70112102999991</v>
      </c>
      <c r="J181" s="1136">
        <v>32.920958797600001</v>
      </c>
      <c r="K181" s="1135">
        <f t="shared" si="28"/>
        <v>179.7801622323999</v>
      </c>
      <c r="M181" s="106">
        <f t="shared" si="30"/>
        <v>0.40451583248610251</v>
      </c>
      <c r="N181" s="1133">
        <v>1303.0578526212225</v>
      </c>
      <c r="O181" s="109">
        <f t="shared" si="26"/>
        <v>0</v>
      </c>
      <c r="P181" s="1137">
        <f t="shared" si="29"/>
        <v>0</v>
      </c>
      <c r="Q181" s="1131"/>
    </row>
    <row r="182" spans="2:17">
      <c r="B182" s="1132" t="s">
        <v>992</v>
      </c>
      <c r="C182" s="1133">
        <v>7.9559245043408175</v>
      </c>
      <c r="D182" s="1134">
        <v>0</v>
      </c>
      <c r="E182" s="1134">
        <v>0</v>
      </c>
      <c r="F182" s="1133">
        <v>8.8115912899999991</v>
      </c>
      <c r="G182" s="1133">
        <v>8.5549429999999997</v>
      </c>
      <c r="H182" s="1135">
        <f t="shared" si="27"/>
        <v>-0.85566678565918153</v>
      </c>
      <c r="J182" s="1136">
        <v>0.80911540393951076</v>
      </c>
      <c r="K182" s="1135">
        <f t="shared" si="28"/>
        <v>-1.6647821895986923</v>
      </c>
      <c r="M182" s="106">
        <f t="shared" si="30"/>
        <v>-0.17304156987213931</v>
      </c>
      <c r="N182" s="1133">
        <v>34.887784663302128</v>
      </c>
      <c r="O182" s="109">
        <f t="shared" si="26"/>
        <v>6.5204686619426801E-3</v>
      </c>
      <c r="P182" s="1137">
        <f t="shared" si="29"/>
        <v>1.9524490289780979E-2</v>
      </c>
      <c r="Q182" s="1131"/>
    </row>
    <row r="183" spans="2:17">
      <c r="B183" s="1132" t="s">
        <v>993</v>
      </c>
      <c r="C183" s="1133">
        <v>18.262708909220404</v>
      </c>
      <c r="D183" s="1134">
        <v>0</v>
      </c>
      <c r="E183" s="1134">
        <v>0</v>
      </c>
      <c r="F183" s="1133">
        <v>11.72418306</v>
      </c>
      <c r="G183" s="1133">
        <v>11.382702</v>
      </c>
      <c r="H183" s="1135">
        <f t="shared" si="27"/>
        <v>6.5385258492204041</v>
      </c>
      <c r="J183" s="1136">
        <v>1.0034855607384914</v>
      </c>
      <c r="K183" s="1135">
        <f t="shared" si="28"/>
        <v>5.5350402884819125</v>
      </c>
      <c r="M183" s="106">
        <f t="shared" si="30"/>
        <v>0.43488249524843109</v>
      </c>
      <c r="N183" s="1133">
        <v>49.591012738273157</v>
      </c>
      <c r="O183" s="109">
        <f t="shared" si="26"/>
        <v>0</v>
      </c>
      <c r="P183" s="1137">
        <f t="shared" si="29"/>
        <v>0</v>
      </c>
      <c r="Q183" s="1131"/>
    </row>
    <row r="184" spans="2:17">
      <c r="B184" s="1132" t="s">
        <v>994</v>
      </c>
      <c r="C184" s="1133">
        <v>22.795000000000002</v>
      </c>
      <c r="D184" s="1134">
        <v>0</v>
      </c>
      <c r="E184" s="1134">
        <v>0</v>
      </c>
      <c r="F184" s="1133">
        <v>15.661245790000001</v>
      </c>
      <c r="G184" s="1133">
        <v>15.205093</v>
      </c>
      <c r="H184" s="1135">
        <f t="shared" si="27"/>
        <v>7.1337542100000011</v>
      </c>
      <c r="J184" s="1136">
        <v>1.5498528709703898</v>
      </c>
      <c r="K184" s="1135">
        <f t="shared" si="28"/>
        <v>5.5839013390296115</v>
      </c>
      <c r="M184" s="106">
        <f t="shared" si="30"/>
        <v>0.32443607749993469</v>
      </c>
      <c r="N184" s="1133">
        <v>50.412683836291016</v>
      </c>
      <c r="O184" s="109">
        <f t="shared" si="26"/>
        <v>0</v>
      </c>
      <c r="P184" s="1137">
        <f t="shared" si="29"/>
        <v>0</v>
      </c>
      <c r="Q184" s="1131"/>
    </row>
    <row r="185" spans="2:17">
      <c r="B185" s="1132" t="s">
        <v>995</v>
      </c>
      <c r="C185" s="1133">
        <v>1.8717994826530611E-3</v>
      </c>
      <c r="D185" s="1134">
        <v>0</v>
      </c>
      <c r="E185" s="1134">
        <v>0</v>
      </c>
      <c r="F185" s="1133">
        <v>9.3318000000000003E-4</v>
      </c>
      <c r="G185" s="1133">
        <v>9.0600000000000001E-4</v>
      </c>
      <c r="H185" s="1135">
        <f t="shared" si="27"/>
        <v>9.3861948265306109E-4</v>
      </c>
      <c r="J185" s="1136">
        <v>7.4654400000000008E-5</v>
      </c>
      <c r="K185" s="1135">
        <f t="shared" si="28"/>
        <v>8.6396508265306111E-4</v>
      </c>
      <c r="M185" s="106">
        <f t="shared" si="30"/>
        <v>0.85724905069033264</v>
      </c>
      <c r="N185" s="1133">
        <v>1.5182662028671251E-3</v>
      </c>
      <c r="O185" s="109">
        <f t="shared" si="26"/>
        <v>0</v>
      </c>
      <c r="P185" s="1137">
        <f t="shared" si="29"/>
        <v>0</v>
      </c>
      <c r="Q185" s="1131"/>
    </row>
    <row r="186" spans="2:17">
      <c r="B186" s="1132" t="s">
        <v>996</v>
      </c>
      <c r="C186" s="1133">
        <v>1.4924999999999999E-2</v>
      </c>
      <c r="D186" s="1134">
        <v>0</v>
      </c>
      <c r="E186" s="1134">
        <v>0</v>
      </c>
      <c r="F186" s="1133">
        <v>7.8207899999999993E-3</v>
      </c>
      <c r="G186" s="1133">
        <v>7.5929999999999999E-3</v>
      </c>
      <c r="H186" s="1135">
        <f t="shared" si="27"/>
        <v>7.1042099999999997E-3</v>
      </c>
      <c r="J186" s="1136">
        <v>6.256632E-4</v>
      </c>
      <c r="K186" s="1135">
        <f t="shared" si="28"/>
        <v>6.4785467999999994E-3</v>
      </c>
      <c r="M186" s="106">
        <f t="shared" si="30"/>
        <v>0.76701387512571551</v>
      </c>
      <c r="N186" s="1133">
        <v>3.3401856463076751E-2</v>
      </c>
      <c r="O186" s="109">
        <f t="shared" si="26"/>
        <v>0</v>
      </c>
      <c r="P186" s="1137">
        <f t="shared" si="29"/>
        <v>0</v>
      </c>
      <c r="Q186" s="1131"/>
    </row>
    <row r="187" spans="2:17">
      <c r="B187" s="1132" t="s">
        <v>997</v>
      </c>
      <c r="C187" s="1133">
        <v>3.8768432242424237E-3</v>
      </c>
      <c r="D187" s="1134">
        <v>0</v>
      </c>
      <c r="E187" s="1134">
        <v>0</v>
      </c>
      <c r="F187" s="1133">
        <v>9.2370400000000002E-3</v>
      </c>
      <c r="G187" s="1133">
        <v>8.9680000000000003E-3</v>
      </c>
      <c r="H187" s="1135">
        <f t="shared" si="27"/>
        <v>-5.3601967757575765E-3</v>
      </c>
      <c r="J187" s="1136">
        <v>7.3896319999999999E-4</v>
      </c>
      <c r="K187" s="1135">
        <f t="shared" si="28"/>
        <v>-6.0991599757575761E-3</v>
      </c>
      <c r="M187" s="106">
        <f t="shared" si="30"/>
        <v>-0.61138312142457774</v>
      </c>
      <c r="N187" s="1133">
        <v>2.2671131160317243E-2</v>
      </c>
      <c r="O187" s="109">
        <f t="shared" si="26"/>
        <v>4.2371965342109233E-6</v>
      </c>
      <c r="P187" s="1137">
        <f t="shared" si="29"/>
        <v>1.5838188161563241E-4</v>
      </c>
      <c r="Q187" s="1131"/>
    </row>
    <row r="188" spans="2:17">
      <c r="B188" s="1132" t="s">
        <v>998</v>
      </c>
      <c r="C188" s="1133">
        <v>16.155005904680849</v>
      </c>
      <c r="D188" s="1134">
        <v>0</v>
      </c>
      <c r="E188" s="1134">
        <v>0</v>
      </c>
      <c r="F188" s="1133">
        <v>16.414608390000001</v>
      </c>
      <c r="G188" s="1133">
        <v>15.936513</v>
      </c>
      <c r="H188" s="1135">
        <f>+C188+D188-E188-F188</f>
        <v>-0.25960248531915298</v>
      </c>
      <c r="J188" s="1136">
        <v>1.4820302400930345</v>
      </c>
      <c r="K188" s="1135">
        <f>+H188-J188</f>
        <v>-1.7416327254121875</v>
      </c>
      <c r="M188" s="106">
        <f>+IF(ISERROR(K188/(F188+J188)),0,K188/(F188+J188))</f>
        <v>-9.7316192242025146E-2</v>
      </c>
      <c r="N188" s="1133">
        <v>37.840311136462503</v>
      </c>
      <c r="O188" s="109">
        <f t="shared" si="26"/>
        <v>7.0722909266005187E-3</v>
      </c>
      <c r="P188" s="1137">
        <f>(M188^2*O188)*100</f>
        <v>6.6977715882311434E-3</v>
      </c>
      <c r="Q188" s="1131"/>
    </row>
    <row r="189" spans="2:17">
      <c r="B189" s="1132" t="s">
        <v>999</v>
      </c>
      <c r="C189" s="1133">
        <v>84.275710408571427</v>
      </c>
      <c r="D189" s="1134">
        <v>0</v>
      </c>
      <c r="E189" s="1134">
        <v>0</v>
      </c>
      <c r="F189" s="1133">
        <v>81.120889349999999</v>
      </c>
      <c r="G189" s="1133">
        <v>78.758144999999999</v>
      </c>
      <c r="H189" s="1135">
        <f t="shared" ref="H189:H212" si="31">+C189+D189-E189-F189</f>
        <v>3.1548210585714287</v>
      </c>
      <c r="J189" s="1136">
        <v>7.3241839380818137</v>
      </c>
      <c r="K189" s="1135">
        <f t="shared" ref="K189:K212" si="32">+H189-J189</f>
        <v>-4.169362879510385</v>
      </c>
      <c r="M189" s="106">
        <f>+IF(ISERROR(K189/(F189+J189)),0,K189/(F189+J189))</f>
        <v>-4.7140702410071005E-2</v>
      </c>
      <c r="N189" s="1133">
        <v>206.30542773566557</v>
      </c>
      <c r="O189" s="109">
        <f t="shared" si="26"/>
        <v>3.8558139742076808E-2</v>
      </c>
      <c r="P189" s="1137">
        <f t="shared" ref="P189:P212" si="33">(M189^2*O189)*100</f>
        <v>8.5685665012044717E-3</v>
      </c>
      <c r="Q189" s="1131"/>
    </row>
    <row r="190" spans="2:17">
      <c r="B190" s="1132" t="s">
        <v>1000</v>
      </c>
      <c r="C190" s="1133">
        <v>4.5364113081632649</v>
      </c>
      <c r="D190" s="1134">
        <v>0</v>
      </c>
      <c r="E190" s="1134">
        <v>0</v>
      </c>
      <c r="F190" s="1133">
        <v>4.7069248999999997</v>
      </c>
      <c r="G190" s="1133">
        <v>4.5698299999999996</v>
      </c>
      <c r="H190" s="1135">
        <f t="shared" si="31"/>
        <v>-0.17051359183673487</v>
      </c>
      <c r="J190" s="1136">
        <v>0.42497541664756594</v>
      </c>
      <c r="K190" s="1135">
        <f t="shared" si="32"/>
        <v>-0.59548900848430075</v>
      </c>
      <c r="M190" s="106">
        <f t="shared" ref="M190:M212" si="34">+IF(ISERROR(K190/(F190+J190)),0,K190/(F190+J190))</f>
        <v>-0.11603674501481866</v>
      </c>
      <c r="N190" s="1133">
        <v>8.4294647328487589</v>
      </c>
      <c r="O190" s="109">
        <f t="shared" si="26"/>
        <v>1.575452874349661E-3</v>
      </c>
      <c r="P190" s="1137">
        <f t="shared" si="33"/>
        <v>2.1212726493517052E-3</v>
      </c>
      <c r="Q190" s="1131"/>
    </row>
    <row r="191" spans="2:17">
      <c r="B191" s="1132" t="s">
        <v>1001</v>
      </c>
      <c r="C191" s="1133">
        <v>51.451255591898871</v>
      </c>
      <c r="D191" s="1134">
        <v>0</v>
      </c>
      <c r="E191" s="1134">
        <v>0</v>
      </c>
      <c r="F191" s="1133">
        <v>48.429378419999999</v>
      </c>
      <c r="G191" s="1133">
        <v>47.018813999999999</v>
      </c>
      <c r="H191" s="1135">
        <f t="shared" si="31"/>
        <v>3.0218771718988719</v>
      </c>
      <c r="J191" s="1136">
        <v>4.3725565436623262</v>
      </c>
      <c r="K191" s="1135">
        <f t="shared" si="32"/>
        <v>-1.3506793717634542</v>
      </c>
      <c r="M191" s="106">
        <f t="shared" si="34"/>
        <v>-2.5580111272304244E-2</v>
      </c>
      <c r="N191" s="1133">
        <v>119.58020785065303</v>
      </c>
      <c r="O191" s="109">
        <f t="shared" si="26"/>
        <v>2.2349341048844194E-2</v>
      </c>
      <c r="P191" s="1137">
        <f t="shared" si="33"/>
        <v>1.4624114592444201E-3</v>
      </c>
      <c r="Q191" s="1131"/>
    </row>
    <row r="192" spans="2:17">
      <c r="B192" s="1132" t="s">
        <v>1002</v>
      </c>
      <c r="C192" s="1133">
        <v>51.210230931020732</v>
      </c>
      <c r="D192" s="1134">
        <v>0</v>
      </c>
      <c r="E192" s="1134">
        <v>0</v>
      </c>
      <c r="F192" s="1133">
        <v>52.227996789999999</v>
      </c>
      <c r="G192" s="1133">
        <v>50.706792999999998</v>
      </c>
      <c r="H192" s="1135">
        <f t="shared" si="31"/>
        <v>-1.0177658589792671</v>
      </c>
      <c r="J192" s="1136">
        <v>4.1782397431999998</v>
      </c>
      <c r="K192" s="1135">
        <f t="shared" si="32"/>
        <v>-5.1960056021792669</v>
      </c>
      <c r="M192" s="106">
        <f t="shared" si="34"/>
        <v>-9.2117572834715958E-2</v>
      </c>
      <c r="N192" s="1133">
        <v>141.34059984897613</v>
      </c>
      <c r="O192" s="109">
        <f t="shared" si="26"/>
        <v>2.6416321955370584E-2</v>
      </c>
      <c r="P192" s="1137">
        <f t="shared" si="33"/>
        <v>2.2415958909421919E-2</v>
      </c>
      <c r="Q192" s="1131"/>
    </row>
    <row r="193" spans="2:17">
      <c r="B193" s="1132" t="s">
        <v>1003</v>
      </c>
      <c r="C193" s="1133">
        <v>16.782399999999999</v>
      </c>
      <c r="D193" s="1134">
        <v>0</v>
      </c>
      <c r="E193" s="1134">
        <v>0</v>
      </c>
      <c r="F193" s="1133">
        <v>15.43110259</v>
      </c>
      <c r="G193" s="1133">
        <v>14.981653</v>
      </c>
      <c r="H193" s="1135">
        <f t="shared" si="31"/>
        <v>1.351297409999999</v>
      </c>
      <c r="J193" s="1136">
        <v>1.2344882072000001</v>
      </c>
      <c r="K193" s="1135">
        <f t="shared" si="32"/>
        <v>0.11680920279999896</v>
      </c>
      <c r="M193" s="106">
        <f t="shared" si="34"/>
        <v>7.0090046144433218E-3</v>
      </c>
      <c r="N193" s="1133">
        <v>32.089021329767704</v>
      </c>
      <c r="O193" s="109">
        <f t="shared" si="26"/>
        <v>0</v>
      </c>
      <c r="P193" s="1137">
        <f t="shared" si="33"/>
        <v>0</v>
      </c>
      <c r="Q193" s="1131"/>
    </row>
    <row r="194" spans="2:17">
      <c r="B194" s="1132" t="s">
        <v>1004</v>
      </c>
      <c r="C194" s="1133">
        <v>8.8124453138061227</v>
      </c>
      <c r="D194" s="1134">
        <v>0</v>
      </c>
      <c r="E194" s="1134">
        <v>0</v>
      </c>
      <c r="F194" s="1133">
        <v>14.69302622</v>
      </c>
      <c r="G194" s="1133">
        <v>14.265074</v>
      </c>
      <c r="H194" s="1135">
        <f t="shared" si="31"/>
        <v>-5.8805809061938774</v>
      </c>
      <c r="J194" s="1136">
        <v>1.1754420976</v>
      </c>
      <c r="K194" s="1135">
        <f t="shared" si="32"/>
        <v>-7.0560230037938769</v>
      </c>
      <c r="M194" s="106">
        <f t="shared" si="34"/>
        <v>-0.44465684164160424</v>
      </c>
      <c r="N194" s="1133">
        <v>30.960304454754311</v>
      </c>
      <c r="O194" s="109">
        <f t="shared" si="26"/>
        <v>5.7864291731248695E-3</v>
      </c>
      <c r="P194" s="1137">
        <f t="shared" si="33"/>
        <v>0.11440910796373449</v>
      </c>
      <c r="Q194" s="1131"/>
    </row>
    <row r="195" spans="2:17">
      <c r="B195" s="1132" t="s">
        <v>1005</v>
      </c>
      <c r="C195" s="1133">
        <v>9.0913109999999993</v>
      </c>
      <c r="D195" s="1134">
        <v>0</v>
      </c>
      <c r="E195" s="1134">
        <v>0</v>
      </c>
      <c r="F195" s="1133">
        <v>5.3076610700000009</v>
      </c>
      <c r="G195" s="1133">
        <v>5.1530690000000003</v>
      </c>
      <c r="H195" s="1135">
        <f t="shared" si="31"/>
        <v>3.7836499299999984</v>
      </c>
      <c r="J195" s="1136">
        <v>0.4246128856000001</v>
      </c>
      <c r="K195" s="1135">
        <f t="shared" si="32"/>
        <v>3.3590370443999982</v>
      </c>
      <c r="M195" s="106">
        <f t="shared" si="34"/>
        <v>0.58598683008136265</v>
      </c>
      <c r="N195" s="1133">
        <v>12.818806878062656</v>
      </c>
      <c r="O195" s="109">
        <f t="shared" si="26"/>
        <v>0</v>
      </c>
      <c r="P195" s="1137">
        <f t="shared" si="33"/>
        <v>0</v>
      </c>
      <c r="Q195" s="1131"/>
    </row>
    <row r="196" spans="2:17">
      <c r="B196" s="1132" t="s">
        <v>1006</v>
      </c>
      <c r="C196" s="1133">
        <v>4.2162318196999991</v>
      </c>
      <c r="D196" s="1134">
        <v>0</v>
      </c>
      <c r="E196" s="1134">
        <v>0</v>
      </c>
      <c r="F196" s="1133">
        <v>3.7946096100000002</v>
      </c>
      <c r="G196" s="1133">
        <v>3.6840869999999999</v>
      </c>
      <c r="H196" s="1135">
        <f t="shared" si="31"/>
        <v>0.42162220969999886</v>
      </c>
      <c r="J196" s="1136">
        <v>0.3035687688</v>
      </c>
      <c r="K196" s="1135">
        <f t="shared" si="32"/>
        <v>0.11805344089999886</v>
      </c>
      <c r="M196" s="106">
        <f t="shared" si="34"/>
        <v>2.8806320757215658E-2</v>
      </c>
      <c r="N196" s="1133">
        <v>4.853231370812936</v>
      </c>
      <c r="O196" s="109">
        <f t="shared" si="26"/>
        <v>0</v>
      </c>
      <c r="P196" s="1137">
        <f t="shared" si="33"/>
        <v>0</v>
      </c>
      <c r="Q196" s="1131"/>
    </row>
    <row r="197" spans="2:17">
      <c r="B197" s="1132" t="s">
        <v>1007</v>
      </c>
      <c r="C197" s="1133">
        <v>5.4320409999999999</v>
      </c>
      <c r="D197" s="1134">
        <v>0</v>
      </c>
      <c r="E197" s="1134">
        <v>0</v>
      </c>
      <c r="F197" s="1133">
        <v>5.3469926499999998</v>
      </c>
      <c r="G197" s="1133">
        <v>5.191255</v>
      </c>
      <c r="H197" s="1135">
        <f t="shared" si="31"/>
        <v>8.5048350000000106E-2</v>
      </c>
      <c r="J197" s="1136">
        <v>0.42775941200000001</v>
      </c>
      <c r="K197" s="1135">
        <f t="shared" si="32"/>
        <v>-0.3427110619999999</v>
      </c>
      <c r="M197" s="106">
        <f t="shared" si="34"/>
        <v>-5.9346454760398314E-2</v>
      </c>
      <c r="N197" s="1133">
        <v>12.458452009542109</v>
      </c>
      <c r="O197" s="109">
        <f t="shared" si="26"/>
        <v>2.3284638646026098E-3</v>
      </c>
      <c r="P197" s="1137">
        <f t="shared" si="33"/>
        <v>8.2008536723535347E-4</v>
      </c>
      <c r="Q197" s="1131"/>
    </row>
    <row r="198" spans="2:17">
      <c r="B198" s="1132" t="s">
        <v>1008</v>
      </c>
      <c r="C198" s="1133">
        <v>112.79054718064759</v>
      </c>
      <c r="D198" s="1134">
        <v>0</v>
      </c>
      <c r="E198" s="1134">
        <v>0</v>
      </c>
      <c r="F198" s="1133">
        <v>102.04025115</v>
      </c>
      <c r="G198" s="1133">
        <v>99.068205000000006</v>
      </c>
      <c r="H198" s="1135">
        <f t="shared" si="31"/>
        <v>10.75029603064759</v>
      </c>
      <c r="J198" s="1136">
        <v>8.1632200919999995</v>
      </c>
      <c r="K198" s="1135">
        <f t="shared" si="32"/>
        <v>2.5870759386475903</v>
      </c>
      <c r="M198" s="106">
        <f t="shared" si="34"/>
        <v>2.3475448726715073E-2</v>
      </c>
      <c r="N198" s="1133">
        <v>160.95081743237122</v>
      </c>
      <c r="O198" s="109">
        <f t="shared" si="26"/>
        <v>0</v>
      </c>
      <c r="P198" s="1137">
        <f t="shared" si="33"/>
        <v>0</v>
      </c>
      <c r="Q198" s="1131"/>
    </row>
    <row r="199" spans="2:17">
      <c r="B199" s="1132" t="s">
        <v>1009</v>
      </c>
      <c r="C199" s="1133">
        <v>59.344867800307476</v>
      </c>
      <c r="D199" s="1134">
        <v>0</v>
      </c>
      <c r="E199" s="1134">
        <v>0</v>
      </c>
      <c r="F199" s="1133">
        <v>68.64802195</v>
      </c>
      <c r="G199" s="1133">
        <v>66.648565000000005</v>
      </c>
      <c r="H199" s="1135">
        <f t="shared" si="31"/>
        <v>-9.3031541496925243</v>
      </c>
      <c r="J199" s="1136">
        <v>5.4918417560000004</v>
      </c>
      <c r="K199" s="1135">
        <f t="shared" si="32"/>
        <v>-14.794995905692524</v>
      </c>
      <c r="M199" s="106">
        <f t="shared" si="34"/>
        <v>-0.19955520776733224</v>
      </c>
      <c r="N199" s="1133">
        <v>175.56084826144158</v>
      </c>
      <c r="O199" s="109">
        <f t="shared" si="26"/>
        <v>3.2812029207372848E-2</v>
      </c>
      <c r="P199" s="1137">
        <f t="shared" si="33"/>
        <v>0.13066498455392431</v>
      </c>
      <c r="Q199" s="1131"/>
    </row>
    <row r="200" spans="2:17">
      <c r="B200" s="1132" t="s">
        <v>1010</v>
      </c>
      <c r="C200" s="1133">
        <v>139.94778024685601</v>
      </c>
      <c r="D200" s="1134">
        <v>0</v>
      </c>
      <c r="E200" s="1134">
        <v>0</v>
      </c>
      <c r="F200" s="1133">
        <v>131.90580360999999</v>
      </c>
      <c r="G200" s="1133">
        <v>128.06388699999999</v>
      </c>
      <c r="H200" s="1135">
        <f t="shared" si="31"/>
        <v>8.0419766368560204</v>
      </c>
      <c r="J200" s="1136">
        <v>10.852722205358493</v>
      </c>
      <c r="K200" s="1135">
        <f t="shared" si="32"/>
        <v>-2.8107455685024725</v>
      </c>
      <c r="M200" s="106">
        <f t="shared" si="34"/>
        <v>-1.9688810545282907E-2</v>
      </c>
      <c r="N200" s="1133">
        <v>383.54787997240538</v>
      </c>
      <c r="O200" s="109">
        <f t="shared" si="26"/>
        <v>7.1684457922755088E-2</v>
      </c>
      <c r="P200" s="1137">
        <f t="shared" si="33"/>
        <v>2.7788427116579163E-3</v>
      </c>
      <c r="Q200" s="1131"/>
    </row>
    <row r="201" spans="2:17">
      <c r="B201" s="1132" t="s">
        <v>1011</v>
      </c>
      <c r="C201" s="1133">
        <v>13.993</v>
      </c>
      <c r="D201" s="1134">
        <v>0</v>
      </c>
      <c r="E201" s="1134">
        <v>0</v>
      </c>
      <c r="F201" s="1133">
        <v>10.83975193</v>
      </c>
      <c r="G201" s="1133">
        <v>10.524031000000001</v>
      </c>
      <c r="H201" s="1135">
        <f t="shared" si="31"/>
        <v>3.1532480700000001</v>
      </c>
      <c r="J201" s="1136">
        <v>0.89185474218489991</v>
      </c>
      <c r="K201" s="1135">
        <f t="shared" si="32"/>
        <v>2.2613933278151004</v>
      </c>
      <c r="M201" s="106">
        <f t="shared" si="34"/>
        <v>0.19276075229974765</v>
      </c>
      <c r="N201" s="1133">
        <v>17.985919201128109</v>
      </c>
      <c r="O201" s="109">
        <f t="shared" si="26"/>
        <v>0</v>
      </c>
      <c r="P201" s="1137">
        <f t="shared" si="33"/>
        <v>0</v>
      </c>
      <c r="Q201" s="1131"/>
    </row>
    <row r="202" spans="2:17">
      <c r="B202" s="1132"/>
      <c r="C202" s="1133"/>
      <c r="D202" s="1134"/>
      <c r="E202" s="1134"/>
      <c r="F202" s="1133"/>
      <c r="G202" s="1133"/>
      <c r="H202" s="1135">
        <f t="shared" si="31"/>
        <v>0</v>
      </c>
      <c r="J202" s="1136"/>
      <c r="K202" s="1135">
        <f t="shared" si="32"/>
        <v>0</v>
      </c>
      <c r="M202" s="106">
        <f t="shared" si="34"/>
        <v>0</v>
      </c>
      <c r="N202" s="1133"/>
      <c r="O202" s="109">
        <f t="shared" si="26"/>
        <v>0</v>
      </c>
      <c r="P202" s="1137">
        <f t="shared" si="33"/>
        <v>0</v>
      </c>
      <c r="Q202" s="1131"/>
    </row>
    <row r="203" spans="2:17">
      <c r="B203" s="1132"/>
      <c r="C203" s="1133"/>
      <c r="D203" s="1134"/>
      <c r="E203" s="1134"/>
      <c r="F203" s="1133"/>
      <c r="G203" s="1133"/>
      <c r="H203" s="1135">
        <f t="shared" si="31"/>
        <v>0</v>
      </c>
      <c r="J203" s="1136"/>
      <c r="K203" s="1135">
        <f t="shared" si="32"/>
        <v>0</v>
      </c>
      <c r="M203" s="106">
        <f t="shared" si="34"/>
        <v>0</v>
      </c>
      <c r="N203" s="1133"/>
      <c r="O203" s="109">
        <f t="shared" si="26"/>
        <v>0</v>
      </c>
      <c r="P203" s="1137">
        <f t="shared" si="33"/>
        <v>0</v>
      </c>
      <c r="Q203" s="1131"/>
    </row>
    <row r="204" spans="2:17">
      <c r="B204" s="1132"/>
      <c r="C204" s="1134"/>
      <c r="D204" s="1134"/>
      <c r="E204" s="1134"/>
      <c r="F204" s="1134"/>
      <c r="G204" s="1134"/>
      <c r="H204" s="1135">
        <f t="shared" si="31"/>
        <v>0</v>
      </c>
      <c r="J204" s="1144"/>
      <c r="K204" s="1135">
        <f t="shared" si="32"/>
        <v>0</v>
      </c>
      <c r="M204" s="106">
        <f t="shared" si="34"/>
        <v>0</v>
      </c>
      <c r="N204" s="1133"/>
      <c r="O204" s="109">
        <f t="shared" si="26"/>
        <v>0</v>
      </c>
      <c r="P204" s="1137">
        <f t="shared" si="33"/>
        <v>0</v>
      </c>
      <c r="Q204" s="1131"/>
    </row>
    <row r="205" spans="2:17">
      <c r="B205" s="1132"/>
      <c r="C205" s="1134"/>
      <c r="D205" s="1134"/>
      <c r="E205" s="1134"/>
      <c r="F205" s="1134"/>
      <c r="G205" s="1134"/>
      <c r="H205" s="1135">
        <f t="shared" si="31"/>
        <v>0</v>
      </c>
      <c r="J205" s="1144"/>
      <c r="K205" s="1135">
        <f t="shared" si="32"/>
        <v>0</v>
      </c>
      <c r="M205" s="106">
        <f t="shared" si="34"/>
        <v>0</v>
      </c>
      <c r="N205" s="1133"/>
      <c r="O205" s="109">
        <f t="shared" si="26"/>
        <v>0</v>
      </c>
      <c r="P205" s="1137">
        <f t="shared" si="33"/>
        <v>0</v>
      </c>
      <c r="Q205" s="1131"/>
    </row>
    <row r="206" spans="2:17">
      <c r="B206" s="1132"/>
      <c r="C206" s="1134"/>
      <c r="D206" s="1134"/>
      <c r="E206" s="1134"/>
      <c r="F206" s="1134"/>
      <c r="G206" s="1134"/>
      <c r="H206" s="1135">
        <f t="shared" si="31"/>
        <v>0</v>
      </c>
      <c r="J206" s="1144"/>
      <c r="K206" s="1135">
        <f t="shared" si="32"/>
        <v>0</v>
      </c>
      <c r="M206" s="106">
        <f t="shared" si="34"/>
        <v>0</v>
      </c>
      <c r="N206" s="1133"/>
      <c r="O206" s="109">
        <f t="shared" ref="O206:O262" si="35">IF(K206&lt;0,N206/$N$263,0)</f>
        <v>0</v>
      </c>
      <c r="P206" s="1137">
        <f t="shared" si="33"/>
        <v>0</v>
      </c>
      <c r="Q206" s="1131"/>
    </row>
    <row r="207" spans="2:17">
      <c r="B207" s="1132"/>
      <c r="C207" s="1134"/>
      <c r="D207" s="1134"/>
      <c r="E207" s="1134"/>
      <c r="F207" s="1134"/>
      <c r="G207" s="1134"/>
      <c r="H207" s="1135">
        <f t="shared" si="31"/>
        <v>0</v>
      </c>
      <c r="J207" s="1144"/>
      <c r="K207" s="1135">
        <f t="shared" si="32"/>
        <v>0</v>
      </c>
      <c r="M207" s="106">
        <f t="shared" si="34"/>
        <v>0</v>
      </c>
      <c r="N207" s="1133"/>
      <c r="O207" s="109">
        <f t="shared" si="35"/>
        <v>0</v>
      </c>
      <c r="P207" s="1137">
        <f t="shared" si="33"/>
        <v>0</v>
      </c>
      <c r="Q207" s="1131"/>
    </row>
    <row r="208" spans="2:17">
      <c r="B208" s="1132"/>
      <c r="C208" s="1134"/>
      <c r="D208" s="1134"/>
      <c r="E208" s="1134"/>
      <c r="F208" s="1134"/>
      <c r="G208" s="1134"/>
      <c r="H208" s="1135">
        <f t="shared" si="31"/>
        <v>0</v>
      </c>
      <c r="J208" s="1144"/>
      <c r="K208" s="1135">
        <f t="shared" si="32"/>
        <v>0</v>
      </c>
      <c r="M208" s="106">
        <f t="shared" si="34"/>
        <v>0</v>
      </c>
      <c r="N208" s="1133"/>
      <c r="O208" s="109">
        <f t="shared" si="35"/>
        <v>0</v>
      </c>
      <c r="P208" s="1137">
        <f t="shared" si="33"/>
        <v>0</v>
      </c>
      <c r="Q208" s="1131"/>
    </row>
    <row r="209" spans="2:17">
      <c r="B209" s="1132"/>
      <c r="C209" s="1134"/>
      <c r="D209" s="1134"/>
      <c r="E209" s="1134"/>
      <c r="F209" s="1134"/>
      <c r="G209" s="1134"/>
      <c r="H209" s="1135">
        <f t="shared" si="31"/>
        <v>0</v>
      </c>
      <c r="J209" s="1144"/>
      <c r="K209" s="1135">
        <f t="shared" si="32"/>
        <v>0</v>
      </c>
      <c r="M209" s="106">
        <f t="shared" si="34"/>
        <v>0</v>
      </c>
      <c r="N209" s="1133"/>
      <c r="O209" s="109">
        <f t="shared" si="35"/>
        <v>0</v>
      </c>
      <c r="P209" s="1137">
        <f t="shared" si="33"/>
        <v>0</v>
      </c>
      <c r="Q209" s="1131"/>
    </row>
    <row r="210" spans="2:17">
      <c r="B210" s="1132"/>
      <c r="C210" s="1134"/>
      <c r="D210" s="1134"/>
      <c r="E210" s="1134"/>
      <c r="F210" s="1134"/>
      <c r="G210" s="1134"/>
      <c r="H210" s="1135">
        <f t="shared" si="31"/>
        <v>0</v>
      </c>
      <c r="J210" s="1144"/>
      <c r="K210" s="1135">
        <f t="shared" si="32"/>
        <v>0</v>
      </c>
      <c r="M210" s="106">
        <f t="shared" si="34"/>
        <v>0</v>
      </c>
      <c r="N210" s="1133"/>
      <c r="O210" s="109">
        <f t="shared" si="35"/>
        <v>0</v>
      </c>
      <c r="P210" s="1137">
        <f t="shared" si="33"/>
        <v>0</v>
      </c>
      <c r="Q210" s="1131"/>
    </row>
    <row r="211" spans="2:17">
      <c r="B211" s="1132"/>
      <c r="C211" s="1134"/>
      <c r="D211" s="1134"/>
      <c r="E211" s="1134"/>
      <c r="F211" s="1134"/>
      <c r="G211" s="1134"/>
      <c r="H211" s="1135">
        <f t="shared" si="31"/>
        <v>0</v>
      </c>
      <c r="J211" s="1144"/>
      <c r="K211" s="1135">
        <f t="shared" si="32"/>
        <v>0</v>
      </c>
      <c r="M211" s="106">
        <f t="shared" si="34"/>
        <v>0</v>
      </c>
      <c r="N211" s="1133"/>
      <c r="O211" s="109">
        <f t="shared" si="35"/>
        <v>0</v>
      </c>
      <c r="P211" s="1137">
        <f t="shared" si="33"/>
        <v>0</v>
      </c>
      <c r="Q211" s="1131"/>
    </row>
    <row r="212" spans="2:17">
      <c r="B212" s="1132"/>
      <c r="C212" s="1134"/>
      <c r="D212" s="1134"/>
      <c r="E212" s="1134"/>
      <c r="F212" s="1134"/>
      <c r="G212" s="1134"/>
      <c r="H212" s="1135">
        <f t="shared" si="31"/>
        <v>0</v>
      </c>
      <c r="J212" s="1144"/>
      <c r="K212" s="1135">
        <f t="shared" si="32"/>
        <v>0</v>
      </c>
      <c r="M212" s="106">
        <f t="shared" si="34"/>
        <v>0</v>
      </c>
      <c r="N212" s="1133"/>
      <c r="O212" s="109">
        <f t="shared" si="35"/>
        <v>0</v>
      </c>
      <c r="P212" s="1137">
        <f t="shared" si="33"/>
        <v>0</v>
      </c>
      <c r="Q212" s="1131"/>
    </row>
    <row r="213" spans="2:17">
      <c r="B213" s="1132"/>
      <c r="C213" s="1134"/>
      <c r="D213" s="1134"/>
      <c r="E213" s="1134"/>
      <c r="F213" s="1134"/>
      <c r="G213" s="1134"/>
      <c r="H213" s="1135">
        <f>+C213+D213-E213-F213</f>
        <v>0</v>
      </c>
      <c r="J213" s="1144"/>
      <c r="K213" s="1135">
        <f>+H213-J213</f>
        <v>0</v>
      </c>
      <c r="M213" s="106">
        <f>+IF(ISERROR(K213/(F213+J213)),0,K213/(F213+J213))</f>
        <v>0</v>
      </c>
      <c r="N213" s="1133"/>
      <c r="O213" s="109">
        <f t="shared" si="35"/>
        <v>0</v>
      </c>
      <c r="P213" s="1137">
        <f>(M213^2*O213)*100</f>
        <v>0</v>
      </c>
      <c r="Q213" s="1131"/>
    </row>
    <row r="214" spans="2:17">
      <c r="B214" s="1132"/>
      <c r="C214" s="1134"/>
      <c r="D214" s="1134"/>
      <c r="E214" s="1134"/>
      <c r="F214" s="1134"/>
      <c r="G214" s="1134"/>
      <c r="H214" s="1135">
        <f t="shared" ref="H214:H237" si="36">+C214+D214-E214-F214</f>
        <v>0</v>
      </c>
      <c r="J214" s="1144"/>
      <c r="K214" s="1135">
        <f t="shared" ref="K214:K237" si="37">+H214-J214</f>
        <v>0</v>
      </c>
      <c r="M214" s="106">
        <f>+IF(ISERROR(K214/(F214+J214)),0,K214/(F214+J214))</f>
        <v>0</v>
      </c>
      <c r="N214" s="1133"/>
      <c r="O214" s="109">
        <f t="shared" si="35"/>
        <v>0</v>
      </c>
      <c r="P214" s="1137">
        <f t="shared" ref="P214:P237" si="38">(M214^2*O214)*100</f>
        <v>0</v>
      </c>
      <c r="Q214" s="1131"/>
    </row>
    <row r="215" spans="2:17">
      <c r="B215" s="1132"/>
      <c r="C215" s="1134"/>
      <c r="D215" s="1134"/>
      <c r="E215" s="1134"/>
      <c r="F215" s="1134"/>
      <c r="G215" s="1134"/>
      <c r="H215" s="1135">
        <f t="shared" si="36"/>
        <v>0</v>
      </c>
      <c r="J215" s="1144"/>
      <c r="K215" s="1135">
        <f t="shared" si="37"/>
        <v>0</v>
      </c>
      <c r="M215" s="106">
        <f t="shared" ref="M215:M237" si="39">+IF(ISERROR(K215/(F215+J215)),0,K215/(F215+J215))</f>
        <v>0</v>
      </c>
      <c r="N215" s="1133"/>
      <c r="O215" s="109">
        <f t="shared" si="35"/>
        <v>0</v>
      </c>
      <c r="P215" s="1137">
        <f t="shared" si="38"/>
        <v>0</v>
      </c>
      <c r="Q215" s="1131"/>
    </row>
    <row r="216" spans="2:17">
      <c r="B216" s="1132"/>
      <c r="C216" s="1134"/>
      <c r="D216" s="1134"/>
      <c r="E216" s="1134"/>
      <c r="F216" s="1134"/>
      <c r="G216" s="1134"/>
      <c r="H216" s="1135">
        <f t="shared" si="36"/>
        <v>0</v>
      </c>
      <c r="J216" s="1144"/>
      <c r="K216" s="1135">
        <f t="shared" si="37"/>
        <v>0</v>
      </c>
      <c r="M216" s="106">
        <f t="shared" si="39"/>
        <v>0</v>
      </c>
      <c r="N216" s="1133"/>
      <c r="O216" s="109">
        <f t="shared" si="35"/>
        <v>0</v>
      </c>
      <c r="P216" s="1137">
        <f t="shared" si="38"/>
        <v>0</v>
      </c>
      <c r="Q216" s="1131"/>
    </row>
    <row r="217" spans="2:17">
      <c r="B217" s="1132"/>
      <c r="C217" s="1134"/>
      <c r="D217" s="1134"/>
      <c r="E217" s="1134"/>
      <c r="F217" s="1134"/>
      <c r="G217" s="1134"/>
      <c r="H217" s="1135">
        <f t="shared" si="36"/>
        <v>0</v>
      </c>
      <c r="J217" s="1144"/>
      <c r="K217" s="1135">
        <f t="shared" si="37"/>
        <v>0</v>
      </c>
      <c r="M217" s="106">
        <f t="shared" si="39"/>
        <v>0</v>
      </c>
      <c r="N217" s="1133"/>
      <c r="O217" s="109">
        <f t="shared" si="35"/>
        <v>0</v>
      </c>
      <c r="P217" s="1137">
        <f t="shared" si="38"/>
        <v>0</v>
      </c>
      <c r="Q217" s="1131"/>
    </row>
    <row r="218" spans="2:17">
      <c r="B218" s="1132"/>
      <c r="C218" s="1134"/>
      <c r="D218" s="1134"/>
      <c r="E218" s="1134"/>
      <c r="F218" s="1134"/>
      <c r="G218" s="1134"/>
      <c r="H218" s="1135">
        <f t="shared" si="36"/>
        <v>0</v>
      </c>
      <c r="J218" s="1144"/>
      <c r="K218" s="1135">
        <f t="shared" si="37"/>
        <v>0</v>
      </c>
      <c r="M218" s="106">
        <f t="shared" si="39"/>
        <v>0</v>
      </c>
      <c r="N218" s="1133"/>
      <c r="O218" s="109">
        <f t="shared" si="35"/>
        <v>0</v>
      </c>
      <c r="P218" s="1137">
        <f t="shared" si="38"/>
        <v>0</v>
      </c>
      <c r="Q218" s="1131"/>
    </row>
    <row r="219" spans="2:17">
      <c r="B219" s="1132"/>
      <c r="C219" s="1134"/>
      <c r="D219" s="1134"/>
      <c r="E219" s="1134"/>
      <c r="F219" s="1134"/>
      <c r="G219" s="1134"/>
      <c r="H219" s="1135">
        <f t="shared" si="36"/>
        <v>0</v>
      </c>
      <c r="J219" s="1144"/>
      <c r="K219" s="1135">
        <f t="shared" si="37"/>
        <v>0</v>
      </c>
      <c r="M219" s="106">
        <f t="shared" si="39"/>
        <v>0</v>
      </c>
      <c r="N219" s="1133"/>
      <c r="O219" s="109">
        <f t="shared" si="35"/>
        <v>0</v>
      </c>
      <c r="P219" s="1137">
        <f t="shared" si="38"/>
        <v>0</v>
      </c>
      <c r="Q219" s="1131"/>
    </row>
    <row r="220" spans="2:17">
      <c r="B220" s="1132"/>
      <c r="C220" s="1134"/>
      <c r="D220" s="1134"/>
      <c r="E220" s="1134"/>
      <c r="F220" s="1134"/>
      <c r="G220" s="1134"/>
      <c r="H220" s="1135">
        <f t="shared" si="36"/>
        <v>0</v>
      </c>
      <c r="J220" s="1144"/>
      <c r="K220" s="1135">
        <f t="shared" si="37"/>
        <v>0</v>
      </c>
      <c r="M220" s="106">
        <f t="shared" si="39"/>
        <v>0</v>
      </c>
      <c r="N220" s="1133"/>
      <c r="O220" s="109">
        <f t="shared" si="35"/>
        <v>0</v>
      </c>
      <c r="P220" s="1137">
        <f t="shared" si="38"/>
        <v>0</v>
      </c>
      <c r="Q220" s="1131"/>
    </row>
    <row r="221" spans="2:17">
      <c r="B221" s="1132"/>
      <c r="C221" s="1134"/>
      <c r="D221" s="1134"/>
      <c r="E221" s="1134"/>
      <c r="F221" s="1134"/>
      <c r="G221" s="1134"/>
      <c r="H221" s="1135">
        <f t="shared" si="36"/>
        <v>0</v>
      </c>
      <c r="J221" s="1144"/>
      <c r="K221" s="1135">
        <f t="shared" si="37"/>
        <v>0</v>
      </c>
      <c r="M221" s="106">
        <f t="shared" si="39"/>
        <v>0</v>
      </c>
      <c r="N221" s="1133"/>
      <c r="O221" s="109">
        <f t="shared" si="35"/>
        <v>0</v>
      </c>
      <c r="P221" s="1137">
        <f t="shared" si="38"/>
        <v>0</v>
      </c>
      <c r="Q221" s="1131"/>
    </row>
    <row r="222" spans="2:17">
      <c r="B222" s="1132"/>
      <c r="C222" s="1134"/>
      <c r="D222" s="1134"/>
      <c r="E222" s="1134"/>
      <c r="F222" s="1134"/>
      <c r="G222" s="1134"/>
      <c r="H222" s="1135">
        <f t="shared" si="36"/>
        <v>0</v>
      </c>
      <c r="J222" s="1144"/>
      <c r="K222" s="1135">
        <f t="shared" si="37"/>
        <v>0</v>
      </c>
      <c r="M222" s="106">
        <f t="shared" si="39"/>
        <v>0</v>
      </c>
      <c r="N222" s="1133"/>
      <c r="O222" s="109">
        <f t="shared" si="35"/>
        <v>0</v>
      </c>
      <c r="P222" s="1137">
        <f t="shared" si="38"/>
        <v>0</v>
      </c>
      <c r="Q222" s="1131"/>
    </row>
    <row r="223" spans="2:17">
      <c r="B223" s="1132"/>
      <c r="C223" s="1134"/>
      <c r="D223" s="1134"/>
      <c r="E223" s="1134"/>
      <c r="F223" s="1134"/>
      <c r="G223" s="1134"/>
      <c r="H223" s="1135">
        <f t="shared" si="36"/>
        <v>0</v>
      </c>
      <c r="J223" s="1144"/>
      <c r="K223" s="1135">
        <f t="shared" si="37"/>
        <v>0</v>
      </c>
      <c r="M223" s="106">
        <f t="shared" si="39"/>
        <v>0</v>
      </c>
      <c r="N223" s="1133"/>
      <c r="O223" s="109">
        <f t="shared" si="35"/>
        <v>0</v>
      </c>
      <c r="P223" s="1137">
        <f t="shared" si="38"/>
        <v>0</v>
      </c>
      <c r="Q223" s="1131"/>
    </row>
    <row r="224" spans="2:17">
      <c r="B224" s="1132"/>
      <c r="C224" s="1134"/>
      <c r="D224" s="1134"/>
      <c r="E224" s="1134"/>
      <c r="F224" s="1134"/>
      <c r="G224" s="1134"/>
      <c r="H224" s="1135">
        <f t="shared" si="36"/>
        <v>0</v>
      </c>
      <c r="J224" s="1144"/>
      <c r="K224" s="1135">
        <f t="shared" si="37"/>
        <v>0</v>
      </c>
      <c r="M224" s="106">
        <f t="shared" si="39"/>
        <v>0</v>
      </c>
      <c r="N224" s="1133"/>
      <c r="O224" s="109">
        <f t="shared" si="35"/>
        <v>0</v>
      </c>
      <c r="P224" s="1137">
        <f t="shared" si="38"/>
        <v>0</v>
      </c>
      <c r="Q224" s="1131"/>
    </row>
    <row r="225" spans="2:17">
      <c r="B225" s="1132"/>
      <c r="C225" s="1134"/>
      <c r="D225" s="1134"/>
      <c r="E225" s="1134"/>
      <c r="F225" s="1134"/>
      <c r="G225" s="1134"/>
      <c r="H225" s="1135">
        <f t="shared" si="36"/>
        <v>0</v>
      </c>
      <c r="J225" s="1144"/>
      <c r="K225" s="1135">
        <f t="shared" si="37"/>
        <v>0</v>
      </c>
      <c r="M225" s="106">
        <f t="shared" si="39"/>
        <v>0</v>
      </c>
      <c r="N225" s="1133"/>
      <c r="O225" s="109">
        <f t="shared" si="35"/>
        <v>0</v>
      </c>
      <c r="P225" s="1137">
        <f t="shared" si="38"/>
        <v>0</v>
      </c>
      <c r="Q225" s="1131"/>
    </row>
    <row r="226" spans="2:17">
      <c r="B226" s="1132"/>
      <c r="C226" s="1134"/>
      <c r="D226" s="1134"/>
      <c r="E226" s="1134"/>
      <c r="F226" s="1134"/>
      <c r="G226" s="1134"/>
      <c r="H226" s="1135">
        <f t="shared" si="36"/>
        <v>0</v>
      </c>
      <c r="J226" s="1144"/>
      <c r="K226" s="1135">
        <f t="shared" si="37"/>
        <v>0</v>
      </c>
      <c r="M226" s="106">
        <f t="shared" si="39"/>
        <v>0</v>
      </c>
      <c r="N226" s="1133"/>
      <c r="O226" s="109">
        <f t="shared" si="35"/>
        <v>0</v>
      </c>
      <c r="P226" s="1137">
        <f t="shared" si="38"/>
        <v>0</v>
      </c>
      <c r="Q226" s="1131"/>
    </row>
    <row r="227" spans="2:17">
      <c r="B227" s="1132"/>
      <c r="C227" s="1134"/>
      <c r="D227" s="1134"/>
      <c r="E227" s="1134"/>
      <c r="F227" s="1134"/>
      <c r="G227" s="1134"/>
      <c r="H227" s="1135">
        <f t="shared" si="36"/>
        <v>0</v>
      </c>
      <c r="J227" s="1144"/>
      <c r="K227" s="1135">
        <f t="shared" si="37"/>
        <v>0</v>
      </c>
      <c r="M227" s="106">
        <f t="shared" si="39"/>
        <v>0</v>
      </c>
      <c r="N227" s="1133"/>
      <c r="O227" s="109">
        <f t="shared" si="35"/>
        <v>0</v>
      </c>
      <c r="P227" s="1137">
        <f t="shared" si="38"/>
        <v>0</v>
      </c>
      <c r="Q227" s="1131"/>
    </row>
    <row r="228" spans="2:17">
      <c r="B228" s="1132"/>
      <c r="C228" s="1134"/>
      <c r="D228" s="1134"/>
      <c r="E228" s="1134"/>
      <c r="F228" s="1134"/>
      <c r="G228" s="1134"/>
      <c r="H228" s="1135">
        <f t="shared" si="36"/>
        <v>0</v>
      </c>
      <c r="J228" s="1144"/>
      <c r="K228" s="1135">
        <f t="shared" si="37"/>
        <v>0</v>
      </c>
      <c r="M228" s="106">
        <f t="shared" si="39"/>
        <v>0</v>
      </c>
      <c r="N228" s="1133"/>
      <c r="O228" s="109">
        <f t="shared" si="35"/>
        <v>0</v>
      </c>
      <c r="P228" s="1137">
        <f t="shared" si="38"/>
        <v>0</v>
      </c>
      <c r="Q228" s="1131"/>
    </row>
    <row r="229" spans="2:17">
      <c r="B229" s="1132"/>
      <c r="C229" s="1134"/>
      <c r="D229" s="1134"/>
      <c r="E229" s="1134"/>
      <c r="F229" s="1134"/>
      <c r="G229" s="1134"/>
      <c r="H229" s="1135">
        <f t="shared" si="36"/>
        <v>0</v>
      </c>
      <c r="J229" s="1144"/>
      <c r="K229" s="1135">
        <f t="shared" si="37"/>
        <v>0</v>
      </c>
      <c r="M229" s="106">
        <f t="shared" si="39"/>
        <v>0</v>
      </c>
      <c r="N229" s="1133"/>
      <c r="O229" s="109">
        <f t="shared" si="35"/>
        <v>0</v>
      </c>
      <c r="P229" s="1137">
        <f t="shared" si="38"/>
        <v>0</v>
      </c>
      <c r="Q229" s="1131"/>
    </row>
    <row r="230" spans="2:17">
      <c r="B230" s="1132"/>
      <c r="C230" s="1134"/>
      <c r="D230" s="1134"/>
      <c r="E230" s="1134"/>
      <c r="F230" s="1134"/>
      <c r="G230" s="1134"/>
      <c r="H230" s="1135">
        <f t="shared" si="36"/>
        <v>0</v>
      </c>
      <c r="J230" s="1144"/>
      <c r="K230" s="1135">
        <f t="shared" si="37"/>
        <v>0</v>
      </c>
      <c r="M230" s="106">
        <f t="shared" si="39"/>
        <v>0</v>
      </c>
      <c r="N230" s="1133"/>
      <c r="O230" s="109">
        <f t="shared" si="35"/>
        <v>0</v>
      </c>
      <c r="P230" s="1137">
        <f t="shared" si="38"/>
        <v>0</v>
      </c>
      <c r="Q230" s="1131"/>
    </row>
    <row r="231" spans="2:17">
      <c r="B231" s="1132"/>
      <c r="C231" s="1134"/>
      <c r="D231" s="1134"/>
      <c r="E231" s="1134"/>
      <c r="F231" s="1134"/>
      <c r="G231" s="1134"/>
      <c r="H231" s="1135">
        <f t="shared" si="36"/>
        <v>0</v>
      </c>
      <c r="J231" s="1144"/>
      <c r="K231" s="1135">
        <f t="shared" si="37"/>
        <v>0</v>
      </c>
      <c r="M231" s="106">
        <f t="shared" si="39"/>
        <v>0</v>
      </c>
      <c r="N231" s="1133"/>
      <c r="O231" s="109">
        <f t="shared" si="35"/>
        <v>0</v>
      </c>
      <c r="P231" s="1137">
        <f t="shared" si="38"/>
        <v>0</v>
      </c>
      <c r="Q231" s="1131"/>
    </row>
    <row r="232" spans="2:17">
      <c r="B232" s="1132"/>
      <c r="C232" s="1134"/>
      <c r="D232" s="1134"/>
      <c r="E232" s="1134"/>
      <c r="F232" s="1134"/>
      <c r="G232" s="1134"/>
      <c r="H232" s="1135">
        <f t="shared" si="36"/>
        <v>0</v>
      </c>
      <c r="J232" s="1144"/>
      <c r="K232" s="1135">
        <f t="shared" si="37"/>
        <v>0</v>
      </c>
      <c r="M232" s="106">
        <f t="shared" si="39"/>
        <v>0</v>
      </c>
      <c r="N232" s="1133"/>
      <c r="O232" s="109">
        <f t="shared" si="35"/>
        <v>0</v>
      </c>
      <c r="P232" s="1137">
        <f t="shared" si="38"/>
        <v>0</v>
      </c>
      <c r="Q232" s="1131"/>
    </row>
    <row r="233" spans="2:17">
      <c r="B233" s="1132"/>
      <c r="C233" s="1134"/>
      <c r="D233" s="1134"/>
      <c r="E233" s="1134"/>
      <c r="F233" s="1134"/>
      <c r="G233" s="1134"/>
      <c r="H233" s="1135">
        <f t="shared" si="36"/>
        <v>0</v>
      </c>
      <c r="J233" s="1144"/>
      <c r="K233" s="1135">
        <f t="shared" si="37"/>
        <v>0</v>
      </c>
      <c r="M233" s="106">
        <f t="shared" si="39"/>
        <v>0</v>
      </c>
      <c r="N233" s="1133"/>
      <c r="O233" s="109">
        <f t="shared" si="35"/>
        <v>0</v>
      </c>
      <c r="P233" s="1137">
        <f t="shared" si="38"/>
        <v>0</v>
      </c>
      <c r="Q233" s="1131"/>
    </row>
    <row r="234" spans="2:17">
      <c r="B234" s="1132"/>
      <c r="C234" s="1134"/>
      <c r="D234" s="1134"/>
      <c r="E234" s="1134"/>
      <c r="F234" s="1134"/>
      <c r="G234" s="1134"/>
      <c r="H234" s="1135">
        <f t="shared" si="36"/>
        <v>0</v>
      </c>
      <c r="J234" s="1144"/>
      <c r="K234" s="1135">
        <f t="shared" si="37"/>
        <v>0</v>
      </c>
      <c r="M234" s="106">
        <f t="shared" si="39"/>
        <v>0</v>
      </c>
      <c r="N234" s="1133"/>
      <c r="O234" s="109">
        <f t="shared" si="35"/>
        <v>0</v>
      </c>
      <c r="P234" s="1137">
        <f t="shared" si="38"/>
        <v>0</v>
      </c>
      <c r="Q234" s="1131"/>
    </row>
    <row r="235" spans="2:17">
      <c r="B235" s="1132"/>
      <c r="C235" s="1134"/>
      <c r="D235" s="1134"/>
      <c r="E235" s="1134"/>
      <c r="F235" s="1134"/>
      <c r="G235" s="1134"/>
      <c r="H235" s="1135">
        <f t="shared" si="36"/>
        <v>0</v>
      </c>
      <c r="J235" s="1144"/>
      <c r="K235" s="1135">
        <f t="shared" si="37"/>
        <v>0</v>
      </c>
      <c r="M235" s="106">
        <f t="shared" si="39"/>
        <v>0</v>
      </c>
      <c r="N235" s="1133"/>
      <c r="O235" s="109">
        <f t="shared" si="35"/>
        <v>0</v>
      </c>
      <c r="P235" s="1137">
        <f t="shared" si="38"/>
        <v>0</v>
      </c>
      <c r="Q235" s="1131"/>
    </row>
    <row r="236" spans="2:17">
      <c r="B236" s="1132"/>
      <c r="C236" s="1134"/>
      <c r="D236" s="1134"/>
      <c r="E236" s="1134"/>
      <c r="F236" s="1134"/>
      <c r="G236" s="1134"/>
      <c r="H236" s="1135">
        <f t="shared" si="36"/>
        <v>0</v>
      </c>
      <c r="J236" s="1144"/>
      <c r="K236" s="1135">
        <f t="shared" si="37"/>
        <v>0</v>
      </c>
      <c r="M236" s="106">
        <f t="shared" si="39"/>
        <v>0</v>
      </c>
      <c r="N236" s="1133"/>
      <c r="O236" s="109">
        <f t="shared" si="35"/>
        <v>0</v>
      </c>
      <c r="P236" s="1137">
        <f t="shared" si="38"/>
        <v>0</v>
      </c>
      <c r="Q236" s="1131"/>
    </row>
    <row r="237" spans="2:17">
      <c r="B237" s="1132"/>
      <c r="C237" s="1134"/>
      <c r="D237" s="1134"/>
      <c r="E237" s="1134"/>
      <c r="F237" s="1134"/>
      <c r="G237" s="1134"/>
      <c r="H237" s="1135">
        <f t="shared" si="36"/>
        <v>0</v>
      </c>
      <c r="J237" s="1144"/>
      <c r="K237" s="1135">
        <f t="shared" si="37"/>
        <v>0</v>
      </c>
      <c r="M237" s="106">
        <f t="shared" si="39"/>
        <v>0</v>
      </c>
      <c r="N237" s="1133"/>
      <c r="O237" s="109">
        <f t="shared" si="35"/>
        <v>0</v>
      </c>
      <c r="P237" s="1137">
        <f t="shared" si="38"/>
        <v>0</v>
      </c>
      <c r="Q237" s="1131"/>
    </row>
    <row r="238" spans="2:17">
      <c r="B238" s="1132"/>
      <c r="C238" s="1134"/>
      <c r="D238" s="1134"/>
      <c r="E238" s="1134"/>
      <c r="F238" s="1134"/>
      <c r="G238" s="1134"/>
      <c r="H238" s="1135">
        <f>+C238+D238-E238-F238</f>
        <v>0</v>
      </c>
      <c r="J238" s="1144"/>
      <c r="K238" s="1135">
        <f>+H238-J238</f>
        <v>0</v>
      </c>
      <c r="M238" s="106">
        <f>+IF(ISERROR(K238/(F238+J238)),0,K238/(F238+J238))</f>
        <v>0</v>
      </c>
      <c r="N238" s="1133"/>
      <c r="O238" s="109">
        <f t="shared" si="35"/>
        <v>0</v>
      </c>
      <c r="P238" s="1137">
        <f>(M238^2*O238)*100</f>
        <v>0</v>
      </c>
      <c r="Q238" s="1131"/>
    </row>
    <row r="239" spans="2:17">
      <c r="B239" s="1132"/>
      <c r="C239" s="1134"/>
      <c r="D239" s="1134"/>
      <c r="E239" s="1134"/>
      <c r="F239" s="1134"/>
      <c r="G239" s="1134"/>
      <c r="H239" s="1135">
        <f t="shared" ref="H239:H262" si="40">+C239+D239-E239-F239</f>
        <v>0</v>
      </c>
      <c r="J239" s="1144"/>
      <c r="K239" s="1135">
        <f t="shared" ref="K239:K262" si="41">+H239-J239</f>
        <v>0</v>
      </c>
      <c r="M239" s="106">
        <f>+IF(ISERROR(K239/(F239+J239)),0,K239/(F239+J239))</f>
        <v>0</v>
      </c>
      <c r="N239" s="1133"/>
      <c r="O239" s="109">
        <f t="shared" si="35"/>
        <v>0</v>
      </c>
      <c r="P239" s="1137">
        <f t="shared" ref="P239:P261" si="42">(M239^2*O239)*100</f>
        <v>0</v>
      </c>
      <c r="Q239" s="1131"/>
    </row>
    <row r="240" spans="2:17">
      <c r="B240" s="1132"/>
      <c r="C240" s="1134"/>
      <c r="D240" s="1134"/>
      <c r="E240" s="1134"/>
      <c r="F240" s="1134"/>
      <c r="G240" s="1134"/>
      <c r="H240" s="1135">
        <f t="shared" si="40"/>
        <v>0</v>
      </c>
      <c r="J240" s="1144"/>
      <c r="K240" s="1135">
        <f t="shared" si="41"/>
        <v>0</v>
      </c>
      <c r="M240" s="106">
        <f t="shared" ref="M240:M262" si="43">+IF(ISERROR(K240/(F240+J240)),0,K240/(F240+J240))</f>
        <v>0</v>
      </c>
      <c r="N240" s="1133"/>
      <c r="O240" s="109">
        <f t="shared" si="35"/>
        <v>0</v>
      </c>
      <c r="P240" s="1137">
        <f t="shared" si="42"/>
        <v>0</v>
      </c>
      <c r="Q240" s="1131"/>
    </row>
    <row r="241" spans="2:17">
      <c r="B241" s="1132"/>
      <c r="C241" s="1134"/>
      <c r="D241" s="1134"/>
      <c r="E241" s="1134"/>
      <c r="F241" s="1134"/>
      <c r="G241" s="1134"/>
      <c r="H241" s="1135">
        <f t="shared" si="40"/>
        <v>0</v>
      </c>
      <c r="J241" s="1144"/>
      <c r="K241" s="1135">
        <f t="shared" si="41"/>
        <v>0</v>
      </c>
      <c r="M241" s="106">
        <f t="shared" si="43"/>
        <v>0</v>
      </c>
      <c r="N241" s="1133"/>
      <c r="O241" s="109">
        <f t="shared" si="35"/>
        <v>0</v>
      </c>
      <c r="P241" s="1137">
        <f t="shared" si="42"/>
        <v>0</v>
      </c>
      <c r="Q241" s="1131"/>
    </row>
    <row r="242" spans="2:17">
      <c r="B242" s="1132"/>
      <c r="C242" s="1134"/>
      <c r="D242" s="1134"/>
      <c r="E242" s="1134"/>
      <c r="F242" s="1134"/>
      <c r="G242" s="1134"/>
      <c r="H242" s="1135">
        <f t="shared" si="40"/>
        <v>0</v>
      </c>
      <c r="J242" s="1144"/>
      <c r="K242" s="1135">
        <f t="shared" si="41"/>
        <v>0</v>
      </c>
      <c r="M242" s="106">
        <f t="shared" si="43"/>
        <v>0</v>
      </c>
      <c r="N242" s="1133"/>
      <c r="O242" s="109">
        <f t="shared" si="35"/>
        <v>0</v>
      </c>
      <c r="P242" s="1137">
        <f t="shared" si="42"/>
        <v>0</v>
      </c>
      <c r="Q242" s="1131"/>
    </row>
    <row r="243" spans="2:17">
      <c r="B243" s="1132"/>
      <c r="C243" s="1134"/>
      <c r="D243" s="1134"/>
      <c r="E243" s="1134"/>
      <c r="F243" s="1134"/>
      <c r="G243" s="1134"/>
      <c r="H243" s="1135">
        <f t="shared" si="40"/>
        <v>0</v>
      </c>
      <c r="J243" s="1144"/>
      <c r="K243" s="1135">
        <f t="shared" si="41"/>
        <v>0</v>
      </c>
      <c r="M243" s="106">
        <f t="shared" si="43"/>
        <v>0</v>
      </c>
      <c r="N243" s="1133"/>
      <c r="O243" s="109">
        <f t="shared" si="35"/>
        <v>0</v>
      </c>
      <c r="P243" s="1137">
        <f t="shared" si="42"/>
        <v>0</v>
      </c>
      <c r="Q243" s="1131"/>
    </row>
    <row r="244" spans="2:17">
      <c r="B244" s="1132"/>
      <c r="C244" s="1134"/>
      <c r="D244" s="1134"/>
      <c r="E244" s="1134"/>
      <c r="F244" s="1134"/>
      <c r="G244" s="1134"/>
      <c r="H244" s="1135">
        <f t="shared" si="40"/>
        <v>0</v>
      </c>
      <c r="J244" s="1144"/>
      <c r="K244" s="1135">
        <f t="shared" si="41"/>
        <v>0</v>
      </c>
      <c r="M244" s="106">
        <f t="shared" si="43"/>
        <v>0</v>
      </c>
      <c r="N244" s="1133"/>
      <c r="O244" s="109">
        <f t="shared" si="35"/>
        <v>0</v>
      </c>
      <c r="P244" s="1137">
        <f t="shared" si="42"/>
        <v>0</v>
      </c>
      <c r="Q244" s="1131"/>
    </row>
    <row r="245" spans="2:17">
      <c r="B245" s="1132"/>
      <c r="C245" s="1134"/>
      <c r="D245" s="1134"/>
      <c r="E245" s="1134"/>
      <c r="F245" s="1134"/>
      <c r="G245" s="1134"/>
      <c r="H245" s="1135">
        <f t="shared" si="40"/>
        <v>0</v>
      </c>
      <c r="J245" s="1144"/>
      <c r="K245" s="1135">
        <f t="shared" si="41"/>
        <v>0</v>
      </c>
      <c r="M245" s="106">
        <f t="shared" si="43"/>
        <v>0</v>
      </c>
      <c r="N245" s="1133"/>
      <c r="O245" s="109">
        <f t="shared" si="35"/>
        <v>0</v>
      </c>
      <c r="P245" s="1137">
        <f t="shared" si="42"/>
        <v>0</v>
      </c>
      <c r="Q245" s="1131"/>
    </row>
    <row r="246" spans="2:17">
      <c r="B246" s="1132"/>
      <c r="C246" s="1134"/>
      <c r="D246" s="1134"/>
      <c r="E246" s="1134"/>
      <c r="F246" s="1134"/>
      <c r="G246" s="1134"/>
      <c r="H246" s="1135">
        <f t="shared" si="40"/>
        <v>0</v>
      </c>
      <c r="J246" s="1144"/>
      <c r="K246" s="1135">
        <f t="shared" si="41"/>
        <v>0</v>
      </c>
      <c r="M246" s="106">
        <f t="shared" si="43"/>
        <v>0</v>
      </c>
      <c r="N246" s="1133"/>
      <c r="O246" s="109">
        <f t="shared" si="35"/>
        <v>0</v>
      </c>
      <c r="P246" s="1137">
        <f t="shared" si="42"/>
        <v>0</v>
      </c>
      <c r="Q246" s="1131"/>
    </row>
    <row r="247" spans="2:17">
      <c r="B247" s="1132"/>
      <c r="C247" s="1134"/>
      <c r="D247" s="1134"/>
      <c r="E247" s="1134"/>
      <c r="F247" s="1134"/>
      <c r="G247" s="1134"/>
      <c r="H247" s="1135">
        <f t="shared" si="40"/>
        <v>0</v>
      </c>
      <c r="J247" s="1144"/>
      <c r="K247" s="1135">
        <f t="shared" si="41"/>
        <v>0</v>
      </c>
      <c r="M247" s="106">
        <f t="shared" si="43"/>
        <v>0</v>
      </c>
      <c r="N247" s="1133"/>
      <c r="O247" s="109">
        <f t="shared" si="35"/>
        <v>0</v>
      </c>
      <c r="P247" s="1137">
        <f t="shared" si="42"/>
        <v>0</v>
      </c>
      <c r="Q247" s="1131"/>
    </row>
    <row r="248" spans="2:17">
      <c r="B248" s="1132"/>
      <c r="C248" s="1134"/>
      <c r="D248" s="1134"/>
      <c r="E248" s="1134"/>
      <c r="F248" s="1134"/>
      <c r="G248" s="1134"/>
      <c r="H248" s="1135">
        <f t="shared" si="40"/>
        <v>0</v>
      </c>
      <c r="J248" s="1144"/>
      <c r="K248" s="1135">
        <f t="shared" si="41"/>
        <v>0</v>
      </c>
      <c r="M248" s="106">
        <f t="shared" si="43"/>
        <v>0</v>
      </c>
      <c r="N248" s="1133"/>
      <c r="O248" s="109">
        <f t="shared" si="35"/>
        <v>0</v>
      </c>
      <c r="P248" s="1137">
        <f t="shared" si="42"/>
        <v>0</v>
      </c>
      <c r="Q248" s="1131"/>
    </row>
    <row r="249" spans="2:17">
      <c r="B249" s="1132"/>
      <c r="C249" s="1134"/>
      <c r="D249" s="1134"/>
      <c r="E249" s="1134"/>
      <c r="F249" s="1134"/>
      <c r="G249" s="1134"/>
      <c r="H249" s="1135">
        <f t="shared" si="40"/>
        <v>0</v>
      </c>
      <c r="J249" s="1144"/>
      <c r="K249" s="1135">
        <f t="shared" si="41"/>
        <v>0</v>
      </c>
      <c r="M249" s="106">
        <f t="shared" si="43"/>
        <v>0</v>
      </c>
      <c r="N249" s="1133"/>
      <c r="O249" s="109">
        <f t="shared" si="35"/>
        <v>0</v>
      </c>
      <c r="P249" s="1137">
        <f t="shared" si="42"/>
        <v>0</v>
      </c>
      <c r="Q249" s="1131"/>
    </row>
    <row r="250" spans="2:17">
      <c r="B250" s="1132"/>
      <c r="C250" s="1134"/>
      <c r="D250" s="1134"/>
      <c r="E250" s="1134"/>
      <c r="F250" s="1134"/>
      <c r="G250" s="1134"/>
      <c r="H250" s="1135">
        <f t="shared" si="40"/>
        <v>0</v>
      </c>
      <c r="J250" s="1144"/>
      <c r="K250" s="1135">
        <f t="shared" si="41"/>
        <v>0</v>
      </c>
      <c r="M250" s="106">
        <f t="shared" si="43"/>
        <v>0</v>
      </c>
      <c r="N250" s="1133"/>
      <c r="O250" s="109">
        <f t="shared" si="35"/>
        <v>0</v>
      </c>
      <c r="P250" s="1137">
        <f t="shared" si="42"/>
        <v>0</v>
      </c>
      <c r="Q250" s="1131"/>
    </row>
    <row r="251" spans="2:17">
      <c r="B251" s="1132"/>
      <c r="C251" s="1134"/>
      <c r="D251" s="1134"/>
      <c r="E251" s="1134"/>
      <c r="F251" s="1134"/>
      <c r="G251" s="1134"/>
      <c r="H251" s="1135">
        <f t="shared" si="40"/>
        <v>0</v>
      </c>
      <c r="J251" s="1144"/>
      <c r="K251" s="1135">
        <f t="shared" si="41"/>
        <v>0</v>
      </c>
      <c r="M251" s="106">
        <f t="shared" si="43"/>
        <v>0</v>
      </c>
      <c r="N251" s="1133"/>
      <c r="O251" s="109">
        <f t="shared" si="35"/>
        <v>0</v>
      </c>
      <c r="P251" s="1137">
        <f t="shared" si="42"/>
        <v>0</v>
      </c>
      <c r="Q251" s="1131"/>
    </row>
    <row r="252" spans="2:17">
      <c r="B252" s="1132"/>
      <c r="C252" s="1134"/>
      <c r="D252" s="1134"/>
      <c r="E252" s="1134"/>
      <c r="F252" s="1134"/>
      <c r="G252" s="1134"/>
      <c r="H252" s="1135">
        <f t="shared" si="40"/>
        <v>0</v>
      </c>
      <c r="J252" s="1144"/>
      <c r="K252" s="1135">
        <f t="shared" si="41"/>
        <v>0</v>
      </c>
      <c r="M252" s="106">
        <f t="shared" si="43"/>
        <v>0</v>
      </c>
      <c r="N252" s="1133"/>
      <c r="O252" s="109">
        <f t="shared" si="35"/>
        <v>0</v>
      </c>
      <c r="P252" s="1137">
        <f t="shared" si="42"/>
        <v>0</v>
      </c>
      <c r="Q252" s="1131"/>
    </row>
    <row r="253" spans="2:17">
      <c r="B253" s="1132"/>
      <c r="C253" s="1134"/>
      <c r="D253" s="1134"/>
      <c r="E253" s="1134"/>
      <c r="F253" s="1134"/>
      <c r="G253" s="1134"/>
      <c r="H253" s="1135">
        <f t="shared" si="40"/>
        <v>0</v>
      </c>
      <c r="J253" s="1144"/>
      <c r="K253" s="1135">
        <f t="shared" si="41"/>
        <v>0</v>
      </c>
      <c r="M253" s="106">
        <f t="shared" si="43"/>
        <v>0</v>
      </c>
      <c r="N253" s="1133"/>
      <c r="O253" s="109">
        <f t="shared" si="35"/>
        <v>0</v>
      </c>
      <c r="P253" s="1137">
        <f t="shared" si="42"/>
        <v>0</v>
      </c>
      <c r="Q253" s="1131"/>
    </row>
    <row r="254" spans="2:17">
      <c r="B254" s="1132"/>
      <c r="C254" s="1134"/>
      <c r="D254" s="1134"/>
      <c r="E254" s="1134"/>
      <c r="F254" s="1134"/>
      <c r="G254" s="1134"/>
      <c r="H254" s="1135">
        <f t="shared" si="40"/>
        <v>0</v>
      </c>
      <c r="J254" s="1144"/>
      <c r="K254" s="1135">
        <f t="shared" si="41"/>
        <v>0</v>
      </c>
      <c r="M254" s="106">
        <f t="shared" si="43"/>
        <v>0</v>
      </c>
      <c r="N254" s="1133"/>
      <c r="O254" s="109">
        <f t="shared" si="35"/>
        <v>0</v>
      </c>
      <c r="P254" s="1137">
        <f t="shared" si="42"/>
        <v>0</v>
      </c>
      <c r="Q254" s="1131"/>
    </row>
    <row r="255" spans="2:17">
      <c r="B255" s="1132"/>
      <c r="C255" s="1134"/>
      <c r="D255" s="1134"/>
      <c r="E255" s="1134"/>
      <c r="F255" s="1134"/>
      <c r="G255" s="1134"/>
      <c r="H255" s="1135">
        <f t="shared" si="40"/>
        <v>0</v>
      </c>
      <c r="J255" s="1144"/>
      <c r="K255" s="1135">
        <f t="shared" si="41"/>
        <v>0</v>
      </c>
      <c r="M255" s="106">
        <f t="shared" si="43"/>
        <v>0</v>
      </c>
      <c r="N255" s="1133"/>
      <c r="O255" s="109">
        <f t="shared" si="35"/>
        <v>0</v>
      </c>
      <c r="P255" s="1137">
        <f t="shared" si="42"/>
        <v>0</v>
      </c>
      <c r="Q255" s="1131"/>
    </row>
    <row r="256" spans="2:17">
      <c r="B256" s="1132"/>
      <c r="C256" s="1134"/>
      <c r="D256" s="1134"/>
      <c r="E256" s="1134"/>
      <c r="F256" s="1134"/>
      <c r="G256" s="1134"/>
      <c r="H256" s="1135">
        <f t="shared" si="40"/>
        <v>0</v>
      </c>
      <c r="J256" s="1144"/>
      <c r="K256" s="1135">
        <f t="shared" si="41"/>
        <v>0</v>
      </c>
      <c r="M256" s="106">
        <f t="shared" si="43"/>
        <v>0</v>
      </c>
      <c r="N256" s="1133"/>
      <c r="O256" s="109">
        <f t="shared" si="35"/>
        <v>0</v>
      </c>
      <c r="P256" s="1137">
        <f t="shared" si="42"/>
        <v>0</v>
      </c>
      <c r="Q256" s="1131"/>
    </row>
    <row r="257" spans="1:18">
      <c r="B257" s="1132"/>
      <c r="C257" s="1134"/>
      <c r="D257" s="1134"/>
      <c r="E257" s="1134"/>
      <c r="F257" s="1134"/>
      <c r="G257" s="1134"/>
      <c r="H257" s="1135">
        <f t="shared" si="40"/>
        <v>0</v>
      </c>
      <c r="J257" s="1144"/>
      <c r="K257" s="1135">
        <f t="shared" si="41"/>
        <v>0</v>
      </c>
      <c r="M257" s="106">
        <f t="shared" si="43"/>
        <v>0</v>
      </c>
      <c r="N257" s="1133"/>
      <c r="O257" s="109">
        <f t="shared" si="35"/>
        <v>0</v>
      </c>
      <c r="P257" s="1137">
        <f t="shared" si="42"/>
        <v>0</v>
      </c>
      <c r="Q257" s="1131"/>
    </row>
    <row r="258" spans="1:18">
      <c r="B258" s="1132"/>
      <c r="C258" s="1134"/>
      <c r="D258" s="1134"/>
      <c r="E258" s="1134"/>
      <c r="F258" s="1134"/>
      <c r="G258" s="1134"/>
      <c r="H258" s="1135">
        <f t="shared" si="40"/>
        <v>0</v>
      </c>
      <c r="J258" s="1144"/>
      <c r="K258" s="1135">
        <f t="shared" si="41"/>
        <v>0</v>
      </c>
      <c r="M258" s="106">
        <f t="shared" si="43"/>
        <v>0</v>
      </c>
      <c r="N258" s="1133"/>
      <c r="O258" s="109">
        <f t="shared" si="35"/>
        <v>0</v>
      </c>
      <c r="P258" s="1137">
        <f t="shared" si="42"/>
        <v>0</v>
      </c>
      <c r="Q258" s="1131"/>
    </row>
    <row r="259" spans="1:18">
      <c r="B259" s="1132"/>
      <c r="C259" s="1134"/>
      <c r="D259" s="1134"/>
      <c r="E259" s="1134"/>
      <c r="F259" s="1134"/>
      <c r="G259" s="1134"/>
      <c r="H259" s="1135">
        <f t="shared" si="40"/>
        <v>0</v>
      </c>
      <c r="J259" s="1144"/>
      <c r="K259" s="1135">
        <f t="shared" si="41"/>
        <v>0</v>
      </c>
      <c r="M259" s="106">
        <f t="shared" si="43"/>
        <v>0</v>
      </c>
      <c r="N259" s="1133"/>
      <c r="O259" s="109">
        <f t="shared" si="35"/>
        <v>0</v>
      </c>
      <c r="P259" s="1137">
        <f t="shared" si="42"/>
        <v>0</v>
      </c>
      <c r="Q259" s="1131"/>
    </row>
    <row r="260" spans="1:18">
      <c r="B260" s="1132"/>
      <c r="C260" s="1134"/>
      <c r="D260" s="1134"/>
      <c r="E260" s="1134"/>
      <c r="F260" s="1134"/>
      <c r="G260" s="1134"/>
      <c r="H260" s="1135">
        <f t="shared" si="40"/>
        <v>0</v>
      </c>
      <c r="J260" s="1144"/>
      <c r="K260" s="1135">
        <f t="shared" si="41"/>
        <v>0</v>
      </c>
      <c r="M260" s="106">
        <f t="shared" si="43"/>
        <v>0</v>
      </c>
      <c r="N260" s="1133"/>
      <c r="O260" s="109">
        <f t="shared" si="35"/>
        <v>0</v>
      </c>
      <c r="P260" s="1137">
        <f t="shared" si="42"/>
        <v>0</v>
      </c>
      <c r="Q260" s="1131"/>
    </row>
    <row r="261" spans="1:18">
      <c r="B261" s="1132"/>
      <c r="C261" s="1134"/>
      <c r="D261" s="1134"/>
      <c r="E261" s="1134"/>
      <c r="F261" s="1134"/>
      <c r="G261" s="1134"/>
      <c r="H261" s="1135">
        <f t="shared" si="40"/>
        <v>0</v>
      </c>
      <c r="J261" s="1144"/>
      <c r="K261" s="1135">
        <f t="shared" si="41"/>
        <v>0</v>
      </c>
      <c r="M261" s="106">
        <f t="shared" si="43"/>
        <v>0</v>
      </c>
      <c r="N261" s="1133"/>
      <c r="O261" s="109">
        <f t="shared" si="35"/>
        <v>0</v>
      </c>
      <c r="P261" s="1137">
        <f t="shared" si="42"/>
        <v>0</v>
      </c>
      <c r="Q261" s="1131"/>
    </row>
    <row r="262" spans="1:18" ht="12.95" thickBot="1">
      <c r="B262" s="1145"/>
      <c r="C262" s="1146"/>
      <c r="D262" s="1146"/>
      <c r="E262" s="1146"/>
      <c r="F262" s="1146"/>
      <c r="G262" s="1146"/>
      <c r="H262" s="1147">
        <f t="shared" si="40"/>
        <v>0</v>
      </c>
      <c r="J262" s="1148"/>
      <c r="K262" s="1147">
        <f t="shared" si="41"/>
        <v>0</v>
      </c>
      <c r="M262" s="107">
        <f t="shared" si="43"/>
        <v>0</v>
      </c>
      <c r="N262" s="1149"/>
      <c r="O262" s="110">
        <f t="shared" si="35"/>
        <v>0</v>
      </c>
      <c r="P262" s="1150">
        <f>(M262^2*O262)*100</f>
        <v>0</v>
      </c>
      <c r="Q262" s="1131"/>
    </row>
    <row r="263" spans="1:18" ht="13.5" thickBot="1">
      <c r="B263" s="1151" t="s">
        <v>1012</v>
      </c>
      <c r="C263" s="1152">
        <f>SUM(C13:C262)</f>
        <v>2204.5195018162653</v>
      </c>
      <c r="D263" s="1152">
        <f>SUM(D13:D262)</f>
        <v>0</v>
      </c>
      <c r="E263" s="1152">
        <f>SUM(E13:E262)</f>
        <v>0</v>
      </c>
      <c r="F263" s="1152">
        <f>SUM(F13:F262)</f>
        <v>1892.8658284199994</v>
      </c>
      <c r="G263" s="1153">
        <f>SUM(G13:G262)</f>
        <v>1837.7338140000006</v>
      </c>
      <c r="H263" s="1131"/>
      <c r="I263" s="1154"/>
      <c r="J263" s="1154"/>
      <c r="K263" s="1131"/>
      <c r="L263" s="1154"/>
      <c r="M263" s="97"/>
      <c r="N263" s="1155">
        <f>SUM(N13:N262)</f>
        <v>5350.5026206057728</v>
      </c>
      <c r="O263" s="98"/>
      <c r="P263" s="1155">
        <f>SUM(P13:P262)</f>
        <v>0.81369240000257503</v>
      </c>
      <c r="Q263" s="1156">
        <f>(1-P263)*100</f>
        <v>18.630759999742498</v>
      </c>
      <c r="R263" s="1157">
        <f>1-SUM(O13:O262)</f>
        <v>0.59402040011976731</v>
      </c>
    </row>
    <row r="267" spans="1:18" ht="12.95" thickBot="1"/>
    <row r="268" spans="1:18" customFormat="1">
      <c r="A268" s="13" t="s">
        <v>145</v>
      </c>
      <c r="B268" s="3"/>
      <c r="C268" s="197" t="s">
        <v>40</v>
      </c>
      <c r="D268" s="3"/>
      <c r="E268" s="3"/>
      <c r="F268" s="14"/>
    </row>
    <row r="269" spans="1:18" customFormat="1">
      <c r="A269" s="8"/>
      <c r="B269" s="1269"/>
      <c r="C269" s="1269"/>
      <c r="D269" s="1269"/>
      <c r="E269" s="1269"/>
      <c r="F269" s="15"/>
    </row>
    <row r="270" spans="1:18" customFormat="1">
      <c r="A270" s="6" t="s">
        <v>41</v>
      </c>
      <c r="B270" s="1269"/>
      <c r="C270" s="207" t="s">
        <v>40</v>
      </c>
      <c r="D270" s="1269"/>
      <c r="E270" s="1269"/>
      <c r="F270" s="15"/>
    </row>
    <row r="271" spans="1:18" customFormat="1">
      <c r="A271" s="8"/>
      <c r="B271" s="1269"/>
      <c r="C271" s="1269"/>
      <c r="D271" s="1269"/>
      <c r="E271" s="1269"/>
      <c r="F271" s="15"/>
    </row>
    <row r="272" spans="1:18" customFormat="1" ht="12.95" thickBot="1">
      <c r="A272" s="9" t="s">
        <v>42</v>
      </c>
      <c r="B272" s="10"/>
      <c r="C272" s="10" t="s">
        <v>146</v>
      </c>
      <c r="D272" s="10"/>
      <c r="E272" s="10"/>
      <c r="F272" s="16"/>
    </row>
    <row r="273" spans="2:3" customFormat="1"/>
    <row r="275" spans="2:3">
      <c r="B275" s="17"/>
      <c r="C275" s="43"/>
    </row>
  </sheetData>
  <mergeCells count="17">
    <mergeCell ref="P10:P12"/>
    <mergeCell ref="Q10:Q12"/>
    <mergeCell ref="R10:R12"/>
    <mergeCell ref="H10:H12"/>
    <mergeCell ref="J10:J12"/>
    <mergeCell ref="K10:K12"/>
    <mergeCell ref="M10:M12"/>
    <mergeCell ref="N10:N12"/>
    <mergeCell ref="O10:O12"/>
    <mergeCell ref="A6:G6"/>
    <mergeCell ref="A7:G7"/>
    <mergeCell ref="B10:B12"/>
    <mergeCell ref="C10:C12"/>
    <mergeCell ref="D10:D12"/>
    <mergeCell ref="E10:E12"/>
    <mergeCell ref="F10:F12"/>
    <mergeCell ref="G10:G12"/>
  </mergeCells>
  <pageMargins left="0.74803149606299213" right="0.74803149606299213" top="0.98425196850393704" bottom="0.98425196850393704" header="0.51181102362204722" footer="0.51181102362204722"/>
  <pageSetup paperSize="8" scale="30" orientation="portrait" r:id="rId1"/>
  <headerFooter alignWithMargins="0">
    <oddFooter>&amp;R&amp;"CG Omega,Regular" Date: Feb 2010
Revision 13.0&amp;L&amp;"Calibri"&amp;11&amp;K000000&amp;"CG Omega,Regular"Table 8 of 10_x000D_&amp;1#&amp;"Arial"&amp;11&amp;K000000SW Private Commercial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83371-41C6-477F-A2C6-07EF5972577D}">
  <sheetPr>
    <pageSetUpPr fitToPage="1"/>
  </sheetPr>
  <dimension ref="A1:R275"/>
  <sheetViews>
    <sheetView zoomScaleNormal="100" zoomScalePageLayoutView="55" workbookViewId="0">
      <selection sqref="A1:XFD1048576"/>
    </sheetView>
  </sheetViews>
  <sheetFormatPr defaultColWidth="9.42578125" defaultRowHeight="12.6"/>
  <cols>
    <col min="1" max="1" width="7.42578125" style="91" customWidth="1"/>
    <col min="2" max="2" width="54.5703125" style="91" customWidth="1"/>
    <col min="3" max="3" width="19.5703125" style="91" customWidth="1"/>
    <col min="4" max="4" width="16.42578125" style="91" customWidth="1"/>
    <col min="5" max="5" width="12.42578125" style="91" customWidth="1"/>
    <col min="6" max="6" width="19.42578125" style="91" customWidth="1"/>
    <col min="7" max="7" width="20.5703125" style="91" customWidth="1"/>
    <col min="8" max="8" width="18" style="91" customWidth="1"/>
    <col min="9" max="9" width="1.5703125" style="91" customWidth="1"/>
    <col min="10" max="10" width="14.5703125" style="91" customWidth="1"/>
    <col min="11" max="11" width="11.5703125" style="91" customWidth="1"/>
    <col min="12" max="12" width="2.42578125" style="91" customWidth="1"/>
    <col min="13" max="13" width="23.5703125" style="91" customWidth="1"/>
    <col min="14" max="14" width="12.42578125" style="91" customWidth="1"/>
    <col min="15" max="15" width="23.5703125" style="91" customWidth="1"/>
    <col min="16" max="16" width="25.5703125" style="91" customWidth="1"/>
    <col min="17" max="17" width="12.5703125" style="91" customWidth="1"/>
    <col min="18" max="18" width="15.5703125" style="91" customWidth="1"/>
    <col min="19" max="16384" width="9.42578125" style="91"/>
  </cols>
  <sheetData>
    <row r="1" spans="1:18" s="86" customFormat="1" ht="20.100000000000001">
      <c r="A1" s="84" t="s">
        <v>0</v>
      </c>
      <c r="B1" s="85"/>
      <c r="C1" s="85"/>
    </row>
    <row r="2" spans="1:18" s="86" customFormat="1" ht="20.100000000000001"/>
    <row r="3" spans="1:18" s="86" customFormat="1" ht="20.100000000000001">
      <c r="A3" s="238" t="str">
        <f>"ANNUAL RETURN INFORMATION REQUIREMENTS "&amp;_reportyear</f>
        <v>ANNUAL RETURN INFORMATION REQUIREMENTS 2023-24</v>
      </c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 ht="15.6">
      <c r="A4" s="89"/>
      <c r="B4" s="90"/>
      <c r="C4" s="90"/>
    </row>
    <row r="5" spans="1:18" ht="15.95" thickBot="1">
      <c r="A5" s="89"/>
      <c r="B5" s="90"/>
      <c r="C5" s="90"/>
    </row>
    <row r="6" spans="1:18" ht="20.100000000000001">
      <c r="A6" s="1349" t="s">
        <v>1</v>
      </c>
      <c r="B6" s="1350"/>
      <c r="C6" s="1350"/>
      <c r="D6" s="1350"/>
      <c r="E6" s="1350"/>
      <c r="F6" s="1350"/>
      <c r="G6" s="1351"/>
    </row>
    <row r="7" spans="1:18" ht="20.100000000000001">
      <c r="A7" s="1352" t="s">
        <v>1015</v>
      </c>
      <c r="B7" s="1353"/>
      <c r="C7" s="1353"/>
      <c r="D7" s="1353"/>
      <c r="E7" s="1353"/>
      <c r="F7" s="1353"/>
      <c r="G7" s="1354"/>
    </row>
    <row r="8" spans="1:18" ht="16.350000000000001" customHeight="1">
      <c r="A8" s="89"/>
      <c r="R8" s="385"/>
    </row>
    <row r="9" spans="1:18" ht="16.350000000000001" customHeight="1">
      <c r="A9" s="89"/>
      <c r="B9" s="92">
        <v>1</v>
      </c>
      <c r="C9" s="93">
        <v>2</v>
      </c>
      <c r="D9" s="93">
        <v>3</v>
      </c>
      <c r="E9" s="93">
        <v>4</v>
      </c>
      <c r="F9" s="93">
        <v>5</v>
      </c>
      <c r="G9" s="93">
        <v>6</v>
      </c>
      <c r="H9" s="94">
        <v>7</v>
      </c>
      <c r="J9" s="95">
        <v>8</v>
      </c>
      <c r="K9" s="96">
        <v>9</v>
      </c>
      <c r="M9" s="92">
        <v>10</v>
      </c>
      <c r="N9" s="93">
        <v>11</v>
      </c>
      <c r="O9" s="93">
        <v>12</v>
      </c>
      <c r="P9" s="93">
        <v>13</v>
      </c>
      <c r="Q9" s="94">
        <v>14</v>
      </c>
      <c r="R9" s="94">
        <v>15</v>
      </c>
    </row>
    <row r="10" spans="1:18" ht="12.6" customHeight="1">
      <c r="B10" s="1355" t="s">
        <v>810</v>
      </c>
      <c r="C10" s="1358" t="s">
        <v>811</v>
      </c>
      <c r="D10" s="1358" t="s">
        <v>812</v>
      </c>
      <c r="E10" s="1358" t="s">
        <v>813</v>
      </c>
      <c r="F10" s="1358" t="s">
        <v>814</v>
      </c>
      <c r="G10" s="1358" t="s">
        <v>815</v>
      </c>
      <c r="H10" s="1362" t="s">
        <v>816</v>
      </c>
      <c r="J10" s="1365" t="s">
        <v>817</v>
      </c>
      <c r="K10" s="1368" t="s">
        <v>818</v>
      </c>
      <c r="M10" s="1355" t="s">
        <v>819</v>
      </c>
      <c r="N10" s="1358" t="s">
        <v>820</v>
      </c>
      <c r="O10" s="1358" t="s">
        <v>821</v>
      </c>
      <c r="P10" s="1358" t="s">
        <v>822</v>
      </c>
      <c r="Q10" s="1362" t="s">
        <v>764</v>
      </c>
      <c r="R10" s="1362" t="s">
        <v>777</v>
      </c>
    </row>
    <row r="11" spans="1:18" ht="12.6" customHeight="1">
      <c r="B11" s="1356"/>
      <c r="C11" s="1358"/>
      <c r="D11" s="1358"/>
      <c r="E11" s="1358"/>
      <c r="F11" s="1358"/>
      <c r="G11" s="1358"/>
      <c r="H11" s="1363" t="s">
        <v>750</v>
      </c>
      <c r="J11" s="1366" t="s">
        <v>750</v>
      </c>
      <c r="K11" s="1369" t="s">
        <v>750</v>
      </c>
      <c r="M11" s="1356"/>
      <c r="N11" s="1360"/>
      <c r="O11" s="1360"/>
      <c r="P11" s="1360"/>
      <c r="Q11" s="1363"/>
      <c r="R11" s="1363"/>
    </row>
    <row r="12" spans="1:18" ht="13.35" customHeight="1">
      <c r="B12" s="1357"/>
      <c r="C12" s="1359"/>
      <c r="D12" s="1359"/>
      <c r="E12" s="1359"/>
      <c r="F12" s="1359"/>
      <c r="G12" s="1359"/>
      <c r="H12" s="1364"/>
      <c r="J12" s="1367"/>
      <c r="K12" s="1370"/>
      <c r="M12" s="1357"/>
      <c r="N12" s="1361"/>
      <c r="O12" s="1361"/>
      <c r="P12" s="1361"/>
      <c r="Q12" s="1364"/>
      <c r="R12" s="1364"/>
    </row>
    <row r="13" spans="1:18">
      <c r="B13" s="1125" t="s">
        <v>823</v>
      </c>
      <c r="C13" s="1126">
        <v>43.900222590789241</v>
      </c>
      <c r="D13" s="1127">
        <v>0</v>
      </c>
      <c r="E13" s="1127">
        <v>0</v>
      </c>
      <c r="F13" s="1126">
        <v>35.72103654</v>
      </c>
      <c r="G13" s="1126">
        <v>34.680618000000003</v>
      </c>
      <c r="H13" s="1128">
        <f>+C13+D13-E13-F13</f>
        <v>8.1791860507892409</v>
      </c>
      <c r="J13" s="1129">
        <v>2.8576829232000001</v>
      </c>
      <c r="K13" s="1128">
        <f>+H13-J13</f>
        <v>5.3215031275892404</v>
      </c>
      <c r="M13" s="105">
        <f>+IF(ISERROR(K13/(F13+J13)),0,K13/(F13+J13))</f>
        <v>0.13793882227390644</v>
      </c>
      <c r="N13" s="1126">
        <v>96.461717997572492</v>
      </c>
      <c r="O13" s="108">
        <f>IF(K13&lt;0,N13/$N$263,0)</f>
        <v>0</v>
      </c>
      <c r="P13" s="1130">
        <f>(M13^2*O13)*100</f>
        <v>0</v>
      </c>
      <c r="Q13" s="1131"/>
    </row>
    <row r="14" spans="1:18">
      <c r="B14" s="1132" t="s">
        <v>824</v>
      </c>
      <c r="C14" s="1133">
        <v>12.246834145810695</v>
      </c>
      <c r="D14" s="1134">
        <v>0</v>
      </c>
      <c r="E14" s="1134">
        <v>0</v>
      </c>
      <c r="F14" s="1133">
        <v>10.329233460000001</v>
      </c>
      <c r="G14" s="1133">
        <v>10.028382000000001</v>
      </c>
      <c r="H14" s="1135">
        <f>+C14+D14-E14-F14</f>
        <v>1.9176006858106938</v>
      </c>
      <c r="J14" s="1136">
        <v>0.82633867680000006</v>
      </c>
      <c r="K14" s="1135">
        <f t="shared" ref="K14:K37" si="0">+H14-J14</f>
        <v>1.0912620090106937</v>
      </c>
      <c r="M14" s="106">
        <f>+IF(ISERROR(K14/(F14+J14)),0,K14/(F14+J14))</f>
        <v>9.7822146244820427E-2</v>
      </c>
      <c r="N14" s="1133">
        <v>35.958425916330448</v>
      </c>
      <c r="O14" s="109">
        <f t="shared" ref="O14:O77" si="1">IF(K14&lt;0,N14/$N$263,0)</f>
        <v>0</v>
      </c>
      <c r="P14" s="1137">
        <f t="shared" ref="P14:P37" si="2">(M14^2*O14)*100</f>
        <v>0</v>
      </c>
      <c r="Q14" s="1131"/>
    </row>
    <row r="15" spans="1:18">
      <c r="B15" s="1132" t="s">
        <v>825</v>
      </c>
      <c r="C15" s="1133">
        <v>96.364508325938061</v>
      </c>
      <c r="D15" s="1134">
        <v>0</v>
      </c>
      <c r="E15" s="1134">
        <v>0</v>
      </c>
      <c r="F15" s="1133">
        <v>95.898326130000001</v>
      </c>
      <c r="G15" s="1133">
        <v>93.105170999999999</v>
      </c>
      <c r="H15" s="1135">
        <f t="shared" ref="H15:H37" si="3">+C15+D15-E15-F15</f>
        <v>0.46618219593806032</v>
      </c>
      <c r="J15" s="1136">
        <v>7.6718660904</v>
      </c>
      <c r="K15" s="1135">
        <f t="shared" si="0"/>
        <v>-7.2056838944619397</v>
      </c>
      <c r="M15" s="106">
        <f>+IF(ISERROR(K15/(F15+J15)),0,K15/(F15+J15))</f>
        <v>-6.9572950865322919E-2</v>
      </c>
      <c r="N15" s="1133">
        <v>301.6719100557126</v>
      </c>
      <c r="O15" s="109">
        <f>IF(K15&lt;0,N15/$N$263,0)</f>
        <v>5.6381975946319211E-2</v>
      </c>
      <c r="P15" s="1137">
        <f>(M15^2*O15)*100</f>
        <v>2.729110622067411E-2</v>
      </c>
      <c r="Q15" s="1131"/>
    </row>
    <row r="16" spans="1:18">
      <c r="B16" s="1132" t="s">
        <v>826</v>
      </c>
      <c r="C16" s="1133">
        <v>24.261232180175281</v>
      </c>
      <c r="D16" s="1134">
        <v>0</v>
      </c>
      <c r="E16" s="1134">
        <v>0</v>
      </c>
      <c r="F16" s="1133">
        <v>17.851696320000002</v>
      </c>
      <c r="G16" s="1133">
        <v>17.331744</v>
      </c>
      <c r="H16" s="1135">
        <f t="shared" si="3"/>
        <v>6.4095358601752785</v>
      </c>
      <c r="J16" s="1136">
        <v>1.4281357056000001</v>
      </c>
      <c r="K16" s="1135">
        <f t="shared" si="0"/>
        <v>4.9814001545752786</v>
      </c>
      <c r="M16" s="106">
        <f t="shared" ref="M16:M37" si="4">+IF(ISERROR(K16/(F16+J16)),0,K16/(F16+J16))</f>
        <v>0.25837362835738992</v>
      </c>
      <c r="N16" s="1133">
        <v>56.942466876744888</v>
      </c>
      <c r="O16" s="109">
        <f>IF(K16&lt;0,N16/$N$263,0)</f>
        <v>0</v>
      </c>
      <c r="P16" s="1137">
        <f>(M16^2*O16)*100</f>
        <v>0</v>
      </c>
      <c r="Q16" s="1131"/>
    </row>
    <row r="17" spans="2:17">
      <c r="B17" s="1132" t="s">
        <v>827</v>
      </c>
      <c r="C17" s="1133">
        <v>2.9893502424489795</v>
      </c>
      <c r="D17" s="1134">
        <v>0</v>
      </c>
      <c r="E17" s="1134">
        <v>0</v>
      </c>
      <c r="F17" s="1133">
        <v>5.8283361200000003</v>
      </c>
      <c r="G17" s="1133">
        <v>4.7644039999999999</v>
      </c>
      <c r="H17" s="1135">
        <f t="shared" si="3"/>
        <v>-2.8389858775510208</v>
      </c>
      <c r="J17" s="1136">
        <v>0.56419903056133769</v>
      </c>
      <c r="K17" s="1135">
        <f t="shared" si="0"/>
        <v>-3.4031849081123586</v>
      </c>
      <c r="M17" s="106">
        <f t="shared" si="4"/>
        <v>-0.53236858741613957</v>
      </c>
      <c r="N17" s="1133">
        <v>8.2390723337071474</v>
      </c>
      <c r="O17" s="109">
        <f t="shared" si="1"/>
        <v>1.5398688530638149E-3</v>
      </c>
      <c r="P17" s="1137">
        <f t="shared" si="2"/>
        <v>4.3642395263478455E-2</v>
      </c>
      <c r="Q17" s="1131"/>
    </row>
    <row r="18" spans="2:17">
      <c r="B18" s="1132" t="s">
        <v>828</v>
      </c>
      <c r="C18" s="1133">
        <v>0.29682845076530612</v>
      </c>
      <c r="D18" s="1134">
        <v>0</v>
      </c>
      <c r="E18" s="1134">
        <v>0</v>
      </c>
      <c r="F18" s="1133">
        <v>0.1236</v>
      </c>
      <c r="G18" s="1133">
        <v>0.12</v>
      </c>
      <c r="H18" s="1135">
        <f t="shared" si="3"/>
        <v>0.17322845076530613</v>
      </c>
      <c r="J18" s="1136">
        <v>9.888000000000001E-3</v>
      </c>
      <c r="K18" s="1135">
        <f t="shared" si="0"/>
        <v>0.16334045076530612</v>
      </c>
      <c r="M18" s="106">
        <f t="shared" si="4"/>
        <v>1.2236339653400015</v>
      </c>
      <c r="N18" s="1133">
        <v>0.34592844375176973</v>
      </c>
      <c r="O18" s="109">
        <f t="shared" si="1"/>
        <v>0</v>
      </c>
      <c r="P18" s="1137">
        <f t="shared" si="2"/>
        <v>0</v>
      </c>
      <c r="Q18" s="1131"/>
    </row>
    <row r="19" spans="2:17">
      <c r="B19" s="1132" t="s">
        <v>829</v>
      </c>
      <c r="C19" s="1133">
        <v>0.18</v>
      </c>
      <c r="D19" s="1134">
        <v>0</v>
      </c>
      <c r="E19" s="1134">
        <v>0</v>
      </c>
      <c r="F19" s="1133">
        <v>0.23152205000000003</v>
      </c>
      <c r="G19" s="1133">
        <v>0.176235</v>
      </c>
      <c r="H19" s="1135">
        <f t="shared" si="3"/>
        <v>-5.1522050000000041E-2</v>
      </c>
      <c r="J19" s="1136">
        <v>2.0888123703830426E-2</v>
      </c>
      <c r="K19" s="1135">
        <f t="shared" si="0"/>
        <v>-7.241017370383046E-2</v>
      </c>
      <c r="M19" s="106">
        <f t="shared" si="4"/>
        <v>-0.28687502029452311</v>
      </c>
      <c r="N19" s="1133">
        <v>0.39614386300605892</v>
      </c>
      <c r="O19" s="109">
        <f t="shared" si="1"/>
        <v>7.4038626105972892E-5</v>
      </c>
      <c r="P19" s="1137">
        <f t="shared" si="2"/>
        <v>6.0931773412578171E-4</v>
      </c>
      <c r="Q19" s="1131"/>
    </row>
    <row r="20" spans="2:17">
      <c r="B20" s="1132" t="s">
        <v>830</v>
      </c>
      <c r="C20" s="1133">
        <v>23.054160916368289</v>
      </c>
      <c r="D20" s="1134">
        <v>0</v>
      </c>
      <c r="E20" s="1134">
        <v>0</v>
      </c>
      <c r="F20" s="1133">
        <v>25.250075079999998</v>
      </c>
      <c r="G20" s="1133">
        <v>24.514635999999999</v>
      </c>
      <c r="H20" s="1135">
        <f t="shared" si="3"/>
        <v>-2.1959141636317092</v>
      </c>
      <c r="J20" s="1136">
        <v>2.0200060064000001</v>
      </c>
      <c r="K20" s="1135">
        <f t="shared" si="0"/>
        <v>-4.2159201700317093</v>
      </c>
      <c r="M20" s="106">
        <f t="shared" si="4"/>
        <v>-0.15459873979378275</v>
      </c>
      <c r="N20" s="1133">
        <v>68.004967021720987</v>
      </c>
      <c r="O20" s="109">
        <f t="shared" si="1"/>
        <v>1.2710014711481742E-2</v>
      </c>
      <c r="P20" s="1137">
        <f t="shared" si="2"/>
        <v>3.0377914271119178E-2</v>
      </c>
      <c r="Q20" s="1131"/>
    </row>
    <row r="21" spans="2:17">
      <c r="B21" s="1132" t="s">
        <v>831</v>
      </c>
      <c r="C21" s="1133">
        <v>111.53142300000002</v>
      </c>
      <c r="D21" s="1134">
        <v>0</v>
      </c>
      <c r="E21" s="1134">
        <v>0</v>
      </c>
      <c r="F21" s="1133">
        <v>110.43123344999999</v>
      </c>
      <c r="G21" s="1133">
        <v>95.920614999999998</v>
      </c>
      <c r="H21" s="1135">
        <f t="shared" si="3"/>
        <v>1.1001895500000245</v>
      </c>
      <c r="J21" s="1136">
        <v>8.8344986759999991</v>
      </c>
      <c r="K21" s="1135">
        <f t="shared" si="0"/>
        <v>-7.7343091259999746</v>
      </c>
      <c r="M21" s="106">
        <f t="shared" si="4"/>
        <v>-6.4849382870755812E-2</v>
      </c>
      <c r="N21" s="1133">
        <v>342.2293845436605</v>
      </c>
      <c r="O21" s="109">
        <f t="shared" si="1"/>
        <v>6.3962100163388769E-2</v>
      </c>
      <c r="P21" s="1137">
        <f t="shared" si="2"/>
        <v>2.689889317758808E-2</v>
      </c>
      <c r="Q21" s="1131"/>
    </row>
    <row r="22" spans="2:17">
      <c r="B22" s="1132" t="s">
        <v>832</v>
      </c>
      <c r="C22" s="1133">
        <v>1.8</v>
      </c>
      <c r="D22" s="1134">
        <v>0</v>
      </c>
      <c r="E22" s="1134">
        <v>0</v>
      </c>
      <c r="F22" s="1133">
        <v>1.2985433100000001</v>
      </c>
      <c r="G22" s="1133">
        <v>0.98887700000000001</v>
      </c>
      <c r="H22" s="1135">
        <f t="shared" si="3"/>
        <v>0.50145668999999993</v>
      </c>
      <c r="J22" s="1136">
        <v>0.10388346480000001</v>
      </c>
      <c r="K22" s="1135">
        <f t="shared" si="0"/>
        <v>0.39757322519999994</v>
      </c>
      <c r="M22" s="106">
        <f t="shared" si="4"/>
        <v>0.28348947149607706</v>
      </c>
      <c r="N22" s="1133">
        <v>3.6106713337824581</v>
      </c>
      <c r="O22" s="109">
        <f t="shared" si="1"/>
        <v>0</v>
      </c>
      <c r="P22" s="1137">
        <f t="shared" si="2"/>
        <v>0</v>
      </c>
      <c r="Q22" s="1131"/>
    </row>
    <row r="23" spans="2:17">
      <c r="B23" s="1132" t="s">
        <v>833</v>
      </c>
      <c r="C23" s="1133">
        <v>0.26716892093913053</v>
      </c>
      <c r="D23" s="1134">
        <v>0</v>
      </c>
      <c r="E23" s="1134">
        <v>0</v>
      </c>
      <c r="F23" s="1133">
        <v>1.9956539841999998</v>
      </c>
      <c r="G23" s="1133">
        <v>1.6419729999999999</v>
      </c>
      <c r="H23" s="1135">
        <f t="shared" si="3"/>
        <v>-1.7284850632608693</v>
      </c>
      <c r="J23" s="1136">
        <v>0.19163524893962905</v>
      </c>
      <c r="K23" s="1135">
        <f t="shared" si="0"/>
        <v>-1.9201203122004984</v>
      </c>
      <c r="M23" s="106">
        <f t="shared" si="4"/>
        <v>-0.87785386729324455</v>
      </c>
      <c r="N23" s="1133">
        <v>5.6343877850728976</v>
      </c>
      <c r="O23" s="109">
        <f t="shared" si="1"/>
        <v>1.0530576629144766E-3</v>
      </c>
      <c r="P23" s="1137">
        <f t="shared" si="2"/>
        <v>8.1151510179732586E-2</v>
      </c>
      <c r="Q23" s="1131"/>
    </row>
    <row r="24" spans="2:17">
      <c r="B24" s="1132" t="s">
        <v>834</v>
      </c>
      <c r="C24" s="1133">
        <v>0.41565560390243916</v>
      </c>
      <c r="D24" s="1134">
        <v>0</v>
      </c>
      <c r="E24" s="1134">
        <v>0</v>
      </c>
      <c r="F24" s="1133">
        <v>0.45449136000000001</v>
      </c>
      <c r="G24" s="1133">
        <v>0.339312</v>
      </c>
      <c r="H24" s="1135">
        <f t="shared" si="3"/>
        <v>-3.8835756097560847E-2</v>
      </c>
      <c r="J24" s="1136">
        <v>3.6359308800000004E-2</v>
      </c>
      <c r="K24" s="1135">
        <f t="shared" si="0"/>
        <v>-7.5195064897560851E-2</v>
      </c>
      <c r="M24" s="106">
        <f t="shared" si="4"/>
        <v>-0.15319336343453069</v>
      </c>
      <c r="N24" s="1133">
        <v>0.70578080898727436</v>
      </c>
      <c r="O24" s="109">
        <f t="shared" si="1"/>
        <v>1.3190925395853136E-4</v>
      </c>
      <c r="P24" s="1137">
        <f t="shared" si="2"/>
        <v>3.0956736244013613E-4</v>
      </c>
      <c r="Q24" s="1131"/>
    </row>
    <row r="25" spans="2:17">
      <c r="B25" s="1132" t="s">
        <v>835</v>
      </c>
      <c r="C25" s="1133">
        <v>2</v>
      </c>
      <c r="D25" s="1134">
        <v>0</v>
      </c>
      <c r="E25" s="1134">
        <v>0</v>
      </c>
      <c r="F25" s="1133">
        <v>1.632464304</v>
      </c>
      <c r="G25" s="1133">
        <v>1.320764</v>
      </c>
      <c r="H25" s="1135">
        <f t="shared" si="3"/>
        <v>0.36753569600000002</v>
      </c>
      <c r="J25" s="1136">
        <v>0.13059714432</v>
      </c>
      <c r="K25" s="1135">
        <f t="shared" si="0"/>
        <v>0.23693855168000003</v>
      </c>
      <c r="M25" s="106">
        <f t="shared" si="4"/>
        <v>0.1343904104452944</v>
      </c>
      <c r="N25" s="1133">
        <v>5.4070630615047843</v>
      </c>
      <c r="O25" s="109">
        <f t="shared" si="1"/>
        <v>0</v>
      </c>
      <c r="P25" s="1137">
        <f t="shared" si="2"/>
        <v>0</v>
      </c>
      <c r="Q25" s="1131"/>
    </row>
    <row r="26" spans="2:17">
      <c r="B26" s="1132" t="s">
        <v>836</v>
      </c>
      <c r="C26" s="1133">
        <v>3.6000000000000004E-2</v>
      </c>
      <c r="D26" s="1134">
        <v>0</v>
      </c>
      <c r="E26" s="1134">
        <v>0</v>
      </c>
      <c r="F26" s="1133">
        <v>1.0129020000000001E-2</v>
      </c>
      <c r="G26" s="1133">
        <v>6.5560000000000002E-3</v>
      </c>
      <c r="H26" s="1135">
        <f t="shared" si="3"/>
        <v>2.5870980000000002E-2</v>
      </c>
      <c r="J26" s="1136">
        <v>8.1032160000000012E-4</v>
      </c>
      <c r="K26" s="1135">
        <f t="shared" si="0"/>
        <v>2.5060658400000001E-2</v>
      </c>
      <c r="M26" s="106">
        <f t="shared" si="4"/>
        <v>2.2908744709096567</v>
      </c>
      <c r="N26" s="1133">
        <v>4.5187185941258416E-2</v>
      </c>
      <c r="O26" s="109">
        <f t="shared" si="1"/>
        <v>0</v>
      </c>
      <c r="P26" s="1137">
        <f t="shared" si="2"/>
        <v>0</v>
      </c>
      <c r="Q26" s="1131"/>
    </row>
    <row r="27" spans="2:17">
      <c r="B27" s="1132" t="s">
        <v>837</v>
      </c>
      <c r="C27" s="1133">
        <v>0.25</v>
      </c>
      <c r="D27" s="1134">
        <v>0</v>
      </c>
      <c r="E27" s="1134">
        <v>0</v>
      </c>
      <c r="F27" s="1133">
        <v>0.1821684368</v>
      </c>
      <c r="G27" s="1133">
        <v>0.13004599999999999</v>
      </c>
      <c r="H27" s="1135">
        <f t="shared" si="3"/>
        <v>6.78315632E-2</v>
      </c>
      <c r="J27" s="1136">
        <v>1.4573474944000001E-2</v>
      </c>
      <c r="K27" s="1135">
        <f t="shared" si="0"/>
        <v>5.3258088256000001E-2</v>
      </c>
      <c r="M27" s="106">
        <f t="shared" si="4"/>
        <v>0.27070026810199582</v>
      </c>
      <c r="N27" s="1133">
        <v>0.44756831789436913</v>
      </c>
      <c r="O27" s="109">
        <f t="shared" si="1"/>
        <v>0</v>
      </c>
      <c r="P27" s="1137">
        <f t="shared" si="2"/>
        <v>0</v>
      </c>
      <c r="Q27" s="1131"/>
    </row>
    <row r="28" spans="2:17">
      <c r="B28" s="1132" t="s">
        <v>838</v>
      </c>
      <c r="C28" s="1133">
        <v>9.5000000000000001E-2</v>
      </c>
      <c r="D28" s="1134">
        <v>0</v>
      </c>
      <c r="E28" s="1134">
        <v>0</v>
      </c>
      <c r="F28" s="1133">
        <v>0.13664477</v>
      </c>
      <c r="G28" s="1133">
        <v>9.2858999999999997E-2</v>
      </c>
      <c r="H28" s="1135">
        <f t="shared" si="3"/>
        <v>-4.1644769999999998E-2</v>
      </c>
      <c r="J28" s="1136">
        <v>1.09315816E-2</v>
      </c>
      <c r="K28" s="1135">
        <f t="shared" si="0"/>
        <v>-5.2576351600000001E-2</v>
      </c>
      <c r="M28" s="106">
        <f t="shared" si="4"/>
        <v>-0.35626542484602258</v>
      </c>
      <c r="N28" s="1133">
        <v>0.15068903590886634</v>
      </c>
      <c r="O28" s="109">
        <f t="shared" si="1"/>
        <v>2.8163529035297555E-5</v>
      </c>
      <c r="P28" s="1137">
        <f t="shared" si="2"/>
        <v>3.5746574138025613E-4</v>
      </c>
      <c r="Q28" s="1131"/>
    </row>
    <row r="29" spans="2:17">
      <c r="B29" s="1132" t="s">
        <v>839</v>
      </c>
      <c r="C29" s="1133">
        <v>0.15</v>
      </c>
      <c r="D29" s="1134">
        <v>0</v>
      </c>
      <c r="E29" s="1134">
        <v>0</v>
      </c>
      <c r="F29" s="1133">
        <v>0.15700423899999999</v>
      </c>
      <c r="G29" s="1133">
        <v>0.104405</v>
      </c>
      <c r="H29" s="1135">
        <f t="shared" si="3"/>
        <v>-7.0042389999999954E-3</v>
      </c>
      <c r="J29" s="1136">
        <v>1.8933366382796787E-2</v>
      </c>
      <c r="K29" s="1135">
        <f t="shared" si="0"/>
        <v>-2.5937605382796783E-2</v>
      </c>
      <c r="M29" s="106">
        <f t="shared" si="4"/>
        <v>-0.14742502221945647</v>
      </c>
      <c r="N29" s="1133">
        <v>0.42858310213041206</v>
      </c>
      <c r="O29" s="109">
        <f t="shared" si="1"/>
        <v>8.0101465697794344E-5</v>
      </c>
      <c r="P29" s="1137">
        <f t="shared" si="2"/>
        <v>1.7409362435071409E-4</v>
      </c>
      <c r="Q29" s="1131"/>
    </row>
    <row r="30" spans="2:17">
      <c r="B30" s="1132" t="s">
        <v>840</v>
      </c>
      <c r="C30" s="1133">
        <v>20.233965832327712</v>
      </c>
      <c r="D30" s="1134">
        <v>0</v>
      </c>
      <c r="E30" s="1134">
        <v>0</v>
      </c>
      <c r="F30" s="1133">
        <v>26.478241930000003</v>
      </c>
      <c r="G30" s="1133">
        <v>25.707031000000001</v>
      </c>
      <c r="H30" s="1135">
        <f t="shared" si="3"/>
        <v>-6.2442760976722909</v>
      </c>
      <c r="J30" s="1136">
        <v>2.206636344587924</v>
      </c>
      <c r="K30" s="1135">
        <f t="shared" si="0"/>
        <v>-8.4509124422602149</v>
      </c>
      <c r="M30" s="106">
        <f t="shared" si="4"/>
        <v>-0.29461210751404582</v>
      </c>
      <c r="N30" s="1133">
        <v>81.060021016692119</v>
      </c>
      <c r="O30" s="109">
        <f t="shared" si="1"/>
        <v>1.5149982490339322E-2</v>
      </c>
      <c r="P30" s="1137">
        <f t="shared" si="2"/>
        <v>0.13149623327184415</v>
      </c>
      <c r="Q30" s="1131"/>
    </row>
    <row r="31" spans="2:17">
      <c r="B31" s="1132" t="s">
        <v>841</v>
      </c>
      <c r="C31" s="1133">
        <v>3.88</v>
      </c>
      <c r="D31" s="1134">
        <v>0</v>
      </c>
      <c r="E31" s="1134">
        <v>0</v>
      </c>
      <c r="F31" s="1133">
        <v>3.0520578900000004</v>
      </c>
      <c r="G31" s="1133">
        <v>2.9631630000000002</v>
      </c>
      <c r="H31" s="1135">
        <f t="shared" si="3"/>
        <v>0.82794210999999951</v>
      </c>
      <c r="J31" s="1136">
        <v>0.24416463120000004</v>
      </c>
      <c r="K31" s="1135">
        <f t="shared" si="0"/>
        <v>0.58377747879999942</v>
      </c>
      <c r="M31" s="106">
        <f t="shared" si="4"/>
        <v>0.17710499671832633</v>
      </c>
      <c r="N31" s="1133">
        <v>5.936059211389713</v>
      </c>
      <c r="O31" s="109">
        <f t="shared" si="1"/>
        <v>0</v>
      </c>
      <c r="P31" s="1137">
        <f t="shared" si="2"/>
        <v>0</v>
      </c>
      <c r="Q31" s="1131"/>
    </row>
    <row r="32" spans="2:17">
      <c r="B32" s="1132" t="s">
        <v>842</v>
      </c>
      <c r="C32" s="1133">
        <v>0.5320613474823529</v>
      </c>
      <c r="D32" s="1134">
        <v>0</v>
      </c>
      <c r="E32" s="1134">
        <v>0</v>
      </c>
      <c r="F32" s="1133">
        <v>0.38462869760000007</v>
      </c>
      <c r="G32" s="1133">
        <v>0.29173900000000003</v>
      </c>
      <c r="H32" s="1135">
        <f t="shared" si="3"/>
        <v>0.14743264988235283</v>
      </c>
      <c r="J32" s="1136">
        <v>3.0770295808000007E-2</v>
      </c>
      <c r="K32" s="1135">
        <f t="shared" si="0"/>
        <v>0.11666235407435283</v>
      </c>
      <c r="M32" s="106">
        <f t="shared" si="4"/>
        <v>0.28084409429410534</v>
      </c>
      <c r="N32" s="1133">
        <v>0.42459157765141536</v>
      </c>
      <c r="O32" s="109">
        <f t="shared" si="1"/>
        <v>0</v>
      </c>
      <c r="P32" s="1137">
        <f t="shared" si="2"/>
        <v>0</v>
      </c>
      <c r="Q32" s="1131"/>
    </row>
    <row r="33" spans="2:17">
      <c r="B33" s="1132" t="s">
        <v>843</v>
      </c>
      <c r="C33" s="1133">
        <v>1.1432421796608698</v>
      </c>
      <c r="D33" s="1134">
        <v>0</v>
      </c>
      <c r="E33" s="1134">
        <v>0</v>
      </c>
      <c r="F33" s="1133">
        <v>1.3533983700000001</v>
      </c>
      <c r="G33" s="1133">
        <v>1.313979</v>
      </c>
      <c r="H33" s="1135">
        <f t="shared" si="3"/>
        <v>-0.21015619033913024</v>
      </c>
      <c r="J33" s="1136">
        <v>0.11909207996619746</v>
      </c>
      <c r="K33" s="1135">
        <f t="shared" si="0"/>
        <v>-0.32924827030532772</v>
      </c>
      <c r="M33" s="106">
        <f t="shared" si="4"/>
        <v>-0.22359959639323021</v>
      </c>
      <c r="N33" s="1133">
        <v>2.7056609739042075</v>
      </c>
      <c r="O33" s="109">
        <f t="shared" si="1"/>
        <v>5.0568351531764656E-4</v>
      </c>
      <c r="P33" s="1137">
        <f t="shared" si="2"/>
        <v>2.528254721576998E-3</v>
      </c>
      <c r="Q33" s="1131"/>
    </row>
    <row r="34" spans="2:17">
      <c r="B34" s="1132" t="s">
        <v>844</v>
      </c>
      <c r="C34" s="1133">
        <v>1.05</v>
      </c>
      <c r="D34" s="1134">
        <v>0</v>
      </c>
      <c r="E34" s="1134">
        <v>0</v>
      </c>
      <c r="F34" s="1133">
        <v>1.0281419199999999</v>
      </c>
      <c r="G34" s="1133">
        <v>0.829264</v>
      </c>
      <c r="H34" s="1135">
        <f t="shared" si="3"/>
        <v>2.1858080000000113E-2</v>
      </c>
      <c r="J34" s="1136">
        <v>0.14175351443109457</v>
      </c>
      <c r="K34" s="1135">
        <f t="shared" si="0"/>
        <v>-0.11989543443109446</v>
      </c>
      <c r="M34" s="106">
        <f t="shared" si="4"/>
        <v>-0.10248388950196913</v>
      </c>
      <c r="N34" s="1133">
        <v>1.5743388413955453</v>
      </c>
      <c r="O34" s="109">
        <f t="shared" si="1"/>
        <v>2.9424129900104635E-4</v>
      </c>
      <c r="P34" s="1137">
        <f t="shared" si="2"/>
        <v>3.0904009473565547E-4</v>
      </c>
      <c r="Q34" s="1131"/>
    </row>
    <row r="35" spans="2:17">
      <c r="B35" s="1132" t="s">
        <v>845</v>
      </c>
      <c r="C35" s="1133">
        <v>0.97</v>
      </c>
      <c r="D35" s="1134">
        <v>0</v>
      </c>
      <c r="E35" s="1134">
        <v>0</v>
      </c>
      <c r="F35" s="1133">
        <v>0.63065561000000003</v>
      </c>
      <c r="G35" s="1133">
        <v>0.61228700000000003</v>
      </c>
      <c r="H35" s="1135">
        <f t="shared" si="3"/>
        <v>0.33934438999999994</v>
      </c>
      <c r="J35" s="1136">
        <v>5.0452448800000001E-2</v>
      </c>
      <c r="K35" s="1135">
        <f t="shared" si="0"/>
        <v>0.28889194119999995</v>
      </c>
      <c r="M35" s="106">
        <f t="shared" si="4"/>
        <v>0.42414993842383814</v>
      </c>
      <c r="N35" s="1133">
        <v>1.017953866084774</v>
      </c>
      <c r="O35" s="109">
        <f t="shared" si="1"/>
        <v>0</v>
      </c>
      <c r="P35" s="1137">
        <f t="shared" si="2"/>
        <v>0</v>
      </c>
      <c r="Q35" s="1131"/>
    </row>
    <row r="36" spans="2:17">
      <c r="B36" s="1132" t="s">
        <v>846</v>
      </c>
      <c r="C36" s="1133">
        <v>6.984</v>
      </c>
      <c r="D36" s="1134">
        <v>0</v>
      </c>
      <c r="E36" s="1134">
        <v>0</v>
      </c>
      <c r="F36" s="1133">
        <v>6.5609352000000003</v>
      </c>
      <c r="G36" s="1133">
        <v>6.3698399999999999</v>
      </c>
      <c r="H36" s="1135">
        <f t="shared" si="3"/>
        <v>0.42306479999999969</v>
      </c>
      <c r="J36" s="1136">
        <v>0.52487481600000008</v>
      </c>
      <c r="K36" s="1135">
        <f t="shared" si="0"/>
        <v>-0.10181001600000039</v>
      </c>
      <c r="M36" s="106">
        <f t="shared" si="4"/>
        <v>-1.4368154913850345E-2</v>
      </c>
      <c r="N36" s="1133">
        <v>12.623901208046995</v>
      </c>
      <c r="O36" s="109">
        <f t="shared" si="1"/>
        <v>2.3593860433653506E-3</v>
      </c>
      <c r="P36" s="1137">
        <f t="shared" si="2"/>
        <v>4.8708079889590354E-5</v>
      </c>
      <c r="Q36" s="1131"/>
    </row>
    <row r="37" spans="2:17">
      <c r="B37" s="1138" t="s">
        <v>847</v>
      </c>
      <c r="C37" s="1139">
        <v>0.16</v>
      </c>
      <c r="D37" s="1140">
        <v>0</v>
      </c>
      <c r="E37" s="1140">
        <v>0</v>
      </c>
      <c r="F37" s="1139">
        <v>0.13778019999999999</v>
      </c>
      <c r="G37" s="1139">
        <v>8.1339999999999996E-2</v>
      </c>
      <c r="H37" s="1141">
        <f t="shared" si="3"/>
        <v>2.2219800000000012E-2</v>
      </c>
      <c r="J37" s="1142">
        <v>1.1022416E-2</v>
      </c>
      <c r="K37" s="1141">
        <f t="shared" si="0"/>
        <v>1.1197384000000012E-2</v>
      </c>
      <c r="M37" s="111">
        <f t="shared" si="4"/>
        <v>7.5249913617110142E-2</v>
      </c>
      <c r="N37" s="1139">
        <v>7.2837885705891336E-2</v>
      </c>
      <c r="O37" s="112">
        <f t="shared" si="1"/>
        <v>0</v>
      </c>
      <c r="P37" s="1143">
        <f t="shared" si="2"/>
        <v>0</v>
      </c>
      <c r="Q37" s="1131"/>
    </row>
    <row r="38" spans="2:17">
      <c r="B38" s="1132" t="s">
        <v>848</v>
      </c>
      <c r="C38" s="1133">
        <v>0.02</v>
      </c>
      <c r="D38" s="1134">
        <v>0</v>
      </c>
      <c r="E38" s="1134">
        <v>0</v>
      </c>
      <c r="F38" s="1133">
        <v>1.4123586600000002E-2</v>
      </c>
      <c r="G38" s="1133">
        <v>1.0233000000000001E-2</v>
      </c>
      <c r="H38" s="1135">
        <f>+C38+D38-E38-F38</f>
        <v>5.8764133999999989E-3</v>
      </c>
      <c r="J38" s="1136">
        <v>1.1298869280000001E-3</v>
      </c>
      <c r="K38" s="1135">
        <f>+H38-J38</f>
        <v>4.746526471999999E-3</v>
      </c>
      <c r="M38" s="106">
        <f>+IF(ISERROR(K38/(F38+J38)),0,K38/(F38+J38))</f>
        <v>0.31117676005318062</v>
      </c>
      <c r="N38" s="1133">
        <v>5.6849081526549335E-2</v>
      </c>
      <c r="O38" s="109">
        <f t="shared" si="1"/>
        <v>0</v>
      </c>
      <c r="P38" s="1137">
        <f>(M38^2*O38)*100</f>
        <v>0</v>
      </c>
      <c r="Q38" s="1131"/>
    </row>
    <row r="39" spans="2:17">
      <c r="B39" s="1132" t="s">
        <v>849</v>
      </c>
      <c r="C39" s="1133">
        <v>16.975000000000001</v>
      </c>
      <c r="D39" s="1134">
        <v>0</v>
      </c>
      <c r="E39" s="1134">
        <v>0</v>
      </c>
      <c r="F39" s="1133">
        <v>13.94905516</v>
      </c>
      <c r="G39" s="1133">
        <v>13.542771999999999</v>
      </c>
      <c r="H39" s="1135">
        <f t="shared" ref="H39:H62" si="5">+C39+D39-E39-F39</f>
        <v>3.0259448400000011</v>
      </c>
      <c r="J39" s="1136">
        <v>1.1159244128000001</v>
      </c>
      <c r="K39" s="1135">
        <f t="shared" ref="K39:K62" si="6">+H39-J39</f>
        <v>1.910020427200001</v>
      </c>
      <c r="M39" s="106">
        <f>+IF(ISERROR(K39/(F39+J39)),0,K39/(F39+J39))</f>
        <v>0.12678546412691893</v>
      </c>
      <c r="N39" s="1133">
        <v>26.697579041032569</v>
      </c>
      <c r="O39" s="109">
        <f t="shared" si="1"/>
        <v>0</v>
      </c>
      <c r="P39" s="1137">
        <f t="shared" ref="P39:P62" si="7">(M39^2*O39)*100</f>
        <v>0</v>
      </c>
      <c r="Q39" s="1131"/>
    </row>
    <row r="40" spans="2:17">
      <c r="B40" s="1132" t="s">
        <v>850</v>
      </c>
      <c r="C40" s="1133">
        <v>0.24875</v>
      </c>
      <c r="D40" s="1134">
        <v>0</v>
      </c>
      <c r="E40" s="1134">
        <v>0</v>
      </c>
      <c r="F40" s="1133">
        <v>0.16761190000000001</v>
      </c>
      <c r="G40" s="1133">
        <v>0.16273000000000001</v>
      </c>
      <c r="H40" s="1135">
        <f t="shared" si="5"/>
        <v>8.1138099999999991E-2</v>
      </c>
      <c r="J40" s="1136">
        <v>1.3408952000000002E-2</v>
      </c>
      <c r="K40" s="1135">
        <f t="shared" si="6"/>
        <v>6.7729147999999989E-2</v>
      </c>
      <c r="M40" s="106">
        <f t="shared" ref="M40:M62" si="8">+IF(ISERROR(K40/(F40+J40)),0,K40/(F40+J40))</f>
        <v>0.37415108398672209</v>
      </c>
      <c r="N40" s="1133">
        <v>0.31622301599143071</v>
      </c>
      <c r="O40" s="109">
        <f t="shared" si="1"/>
        <v>0</v>
      </c>
      <c r="P40" s="1137">
        <f t="shared" si="7"/>
        <v>0</v>
      </c>
      <c r="Q40" s="1131"/>
    </row>
    <row r="41" spans="2:17">
      <c r="B41" s="1132" t="s">
        <v>851</v>
      </c>
      <c r="C41" s="1133">
        <v>0.34825</v>
      </c>
      <c r="D41" s="1134">
        <v>0</v>
      </c>
      <c r="E41" s="1134">
        <v>0</v>
      </c>
      <c r="F41" s="1133">
        <v>0.31482052999999999</v>
      </c>
      <c r="G41" s="1133">
        <v>0.30565100000000001</v>
      </c>
      <c r="H41" s="1135">
        <f t="shared" si="5"/>
        <v>3.3429470000000017E-2</v>
      </c>
      <c r="J41" s="1136">
        <v>2.51856424E-2</v>
      </c>
      <c r="K41" s="1135">
        <f t="shared" si="6"/>
        <v>8.2438276000000171E-3</v>
      </c>
      <c r="M41" s="106">
        <f t="shared" si="8"/>
        <v>2.4246111597943501E-2</v>
      </c>
      <c r="N41" s="1133">
        <v>0.44768651702157602</v>
      </c>
      <c r="O41" s="109">
        <f t="shared" si="1"/>
        <v>0</v>
      </c>
      <c r="P41" s="1137">
        <f t="shared" si="7"/>
        <v>0</v>
      </c>
      <c r="Q41" s="1131"/>
    </row>
    <row r="42" spans="2:17">
      <c r="B42" s="1132" t="s">
        <v>852</v>
      </c>
      <c r="C42" s="1133">
        <v>0.12934999999999999</v>
      </c>
      <c r="D42" s="1134">
        <v>0</v>
      </c>
      <c r="E42" s="1134">
        <v>0</v>
      </c>
      <c r="F42" s="1133">
        <v>9.7818070000000007E-2</v>
      </c>
      <c r="G42" s="1133">
        <v>9.4968999999999998E-2</v>
      </c>
      <c r="H42" s="1135">
        <f t="shared" si="5"/>
        <v>3.1531929999999986E-2</v>
      </c>
      <c r="J42" s="1136">
        <v>7.8254456000000014E-3</v>
      </c>
      <c r="K42" s="1135">
        <f t="shared" si="6"/>
        <v>2.3706484399999984E-2</v>
      </c>
      <c r="M42" s="106">
        <f t="shared" si="8"/>
        <v>0.22440075252474825</v>
      </c>
      <c r="N42" s="1133">
        <v>0.17410031217505736</v>
      </c>
      <c r="O42" s="109">
        <f t="shared" si="1"/>
        <v>0</v>
      </c>
      <c r="P42" s="1137">
        <f t="shared" si="7"/>
        <v>0</v>
      </c>
      <c r="Q42" s="1131"/>
    </row>
    <row r="43" spans="2:17">
      <c r="B43" s="1132" t="s">
        <v>853</v>
      </c>
      <c r="C43" s="1133">
        <v>2.3880000000000002E-2</v>
      </c>
      <c r="D43" s="1134">
        <v>0</v>
      </c>
      <c r="E43" s="1134">
        <v>0</v>
      </c>
      <c r="F43" s="1133">
        <v>1.1125029999999999E-2</v>
      </c>
      <c r="G43" s="1133">
        <v>1.0801E-2</v>
      </c>
      <c r="H43" s="1135">
        <f t="shared" si="5"/>
        <v>1.2754970000000003E-2</v>
      </c>
      <c r="J43" s="1136">
        <v>8.9000240000000001E-4</v>
      </c>
      <c r="K43" s="1135">
        <f t="shared" si="6"/>
        <v>1.1864967600000003E-2</v>
      </c>
      <c r="M43" s="106">
        <f t="shared" si="8"/>
        <v>0.98751024591494274</v>
      </c>
      <c r="N43" s="1133">
        <v>2.4871473167865331E-2</v>
      </c>
      <c r="O43" s="109">
        <f t="shared" si="1"/>
        <v>0</v>
      </c>
      <c r="P43" s="1137">
        <f t="shared" si="7"/>
        <v>0</v>
      </c>
      <c r="Q43" s="1131"/>
    </row>
    <row r="44" spans="2:17">
      <c r="B44" s="1132" t="s">
        <v>854</v>
      </c>
      <c r="C44" s="1133">
        <v>0.39749999999999996</v>
      </c>
      <c r="D44" s="1134">
        <v>0</v>
      </c>
      <c r="E44" s="1134">
        <v>0</v>
      </c>
      <c r="F44" s="1133">
        <v>0.38299314000000001</v>
      </c>
      <c r="G44" s="1133">
        <v>0.371838</v>
      </c>
      <c r="H44" s="1135">
        <f t="shared" si="5"/>
        <v>1.4506859999999955E-2</v>
      </c>
      <c r="J44" s="1136">
        <v>3.0639451200000001E-2</v>
      </c>
      <c r="K44" s="1135">
        <f t="shared" si="6"/>
        <v>-1.6132591200000046E-2</v>
      </c>
      <c r="M44" s="106">
        <f t="shared" si="8"/>
        <v>-3.9002224542310303E-2</v>
      </c>
      <c r="N44" s="1133">
        <v>0.87760769606610545</v>
      </c>
      <c r="O44" s="109">
        <f t="shared" si="1"/>
        <v>1.6402341205969627E-4</v>
      </c>
      <c r="P44" s="1137">
        <f t="shared" si="7"/>
        <v>2.4950807096204299E-5</v>
      </c>
      <c r="Q44" s="1131"/>
    </row>
    <row r="45" spans="2:17">
      <c r="B45" s="1132" t="s">
        <v>855</v>
      </c>
      <c r="C45" s="1133">
        <v>2.3331355218977525</v>
      </c>
      <c r="D45" s="1134">
        <v>0</v>
      </c>
      <c r="E45" s="1134">
        <v>0</v>
      </c>
      <c r="F45" s="1133">
        <v>2.04033833</v>
      </c>
      <c r="G45" s="1133">
        <v>1.9809110000000001</v>
      </c>
      <c r="H45" s="1135">
        <f t="shared" si="5"/>
        <v>0.29279719189775255</v>
      </c>
      <c r="J45" s="1136">
        <v>0.33429004284920871</v>
      </c>
      <c r="K45" s="1135">
        <f t="shared" si="6"/>
        <v>-4.1492850951456162E-2</v>
      </c>
      <c r="M45" s="106">
        <f t="shared" si="8"/>
        <v>-1.7473408229208839E-2</v>
      </c>
      <c r="N45" s="1133">
        <v>4.6528947959057039</v>
      </c>
      <c r="O45" s="109">
        <f t="shared" si="1"/>
        <v>8.6961826314906337E-4</v>
      </c>
      <c r="P45" s="1137">
        <f t="shared" si="7"/>
        <v>2.6551184388231291E-5</v>
      </c>
      <c r="Q45" s="1131"/>
    </row>
    <row r="46" spans="2:17">
      <c r="B46" s="1132" t="s">
        <v>856</v>
      </c>
      <c r="C46" s="1133">
        <v>0.50665584752753612</v>
      </c>
      <c r="D46" s="1134">
        <v>0</v>
      </c>
      <c r="E46" s="1134">
        <v>0</v>
      </c>
      <c r="F46" s="1133">
        <v>0.47487223000000001</v>
      </c>
      <c r="G46" s="1133">
        <v>0.46104099999999998</v>
      </c>
      <c r="H46" s="1135">
        <f t="shared" si="5"/>
        <v>3.1783617527536112E-2</v>
      </c>
      <c r="J46" s="1136">
        <v>5.2046008315315813E-2</v>
      </c>
      <c r="K46" s="1135">
        <f t="shared" si="6"/>
        <v>-2.0262390787779701E-2</v>
      </c>
      <c r="M46" s="106">
        <f t="shared" si="8"/>
        <v>-3.8454525416625231E-2</v>
      </c>
      <c r="N46" s="1133">
        <v>0.56171457670388514</v>
      </c>
      <c r="O46" s="109">
        <f t="shared" si="1"/>
        <v>1.0498351585524296E-4</v>
      </c>
      <c r="P46" s="1137">
        <f t="shared" si="7"/>
        <v>1.5524442918916302E-5</v>
      </c>
      <c r="Q46" s="1131"/>
    </row>
    <row r="47" spans="2:17">
      <c r="B47" s="1132" t="s">
        <v>857</v>
      </c>
      <c r="C47" s="1133">
        <v>7.4999999999999997E-2</v>
      </c>
      <c r="D47" s="1134">
        <v>0</v>
      </c>
      <c r="E47" s="1134">
        <v>0</v>
      </c>
      <c r="F47" s="1133">
        <v>5.2103168000000005E-2</v>
      </c>
      <c r="G47" s="1133">
        <v>3.8912000000000002E-2</v>
      </c>
      <c r="H47" s="1135">
        <f t="shared" si="5"/>
        <v>2.2896831999999992E-2</v>
      </c>
      <c r="J47" s="1136">
        <v>4.1682534400000002E-3</v>
      </c>
      <c r="K47" s="1135">
        <f t="shared" si="6"/>
        <v>1.8728578559999993E-2</v>
      </c>
      <c r="M47" s="106">
        <f t="shared" si="8"/>
        <v>0.33282575916390417</v>
      </c>
      <c r="N47" s="1133">
        <v>5.3296013931140002E-2</v>
      </c>
      <c r="O47" s="109">
        <f t="shared" si="1"/>
        <v>0</v>
      </c>
      <c r="P47" s="1137">
        <f t="shared" si="7"/>
        <v>0</v>
      </c>
      <c r="Q47" s="1131"/>
    </row>
    <row r="48" spans="2:17">
      <c r="B48" s="1132" t="s">
        <v>858</v>
      </c>
      <c r="C48" s="1133">
        <v>0.17909999999999998</v>
      </c>
      <c r="D48" s="1134">
        <v>0</v>
      </c>
      <c r="E48" s="1134">
        <v>0</v>
      </c>
      <c r="F48" s="1133">
        <v>0.13389793999999999</v>
      </c>
      <c r="G48" s="1133">
        <v>0.129998</v>
      </c>
      <c r="H48" s="1135">
        <f t="shared" si="5"/>
        <v>4.5202059999999988E-2</v>
      </c>
      <c r="J48" s="1136">
        <v>1.702372212817941E-2</v>
      </c>
      <c r="K48" s="1135">
        <f t="shared" si="6"/>
        <v>2.8178337871820579E-2</v>
      </c>
      <c r="M48" s="106">
        <f t="shared" si="8"/>
        <v>0.1867083722407484</v>
      </c>
      <c r="N48" s="1133">
        <v>0.298457678014384</v>
      </c>
      <c r="O48" s="109">
        <f t="shared" si="1"/>
        <v>0</v>
      </c>
      <c r="P48" s="1137">
        <f t="shared" si="7"/>
        <v>0</v>
      </c>
      <c r="Q48" s="1131"/>
    </row>
    <row r="49" spans="2:17">
      <c r="B49" s="1132" t="s">
        <v>859</v>
      </c>
      <c r="C49" s="1133">
        <v>4.9750000000000003E-2</v>
      </c>
      <c r="D49" s="1134">
        <v>0</v>
      </c>
      <c r="E49" s="1134">
        <v>0</v>
      </c>
      <c r="F49" s="1133">
        <v>2.996064E-2</v>
      </c>
      <c r="G49" s="1133">
        <v>2.9087999999999999E-2</v>
      </c>
      <c r="H49" s="1135">
        <f t="shared" si="5"/>
        <v>1.9789360000000002E-2</v>
      </c>
      <c r="J49" s="1136">
        <v>2.3968512000000003E-3</v>
      </c>
      <c r="K49" s="1135">
        <f t="shared" si="6"/>
        <v>1.7392508800000001E-2</v>
      </c>
      <c r="M49" s="106">
        <f t="shared" si="8"/>
        <v>0.53751104164713492</v>
      </c>
      <c r="N49" s="1133">
        <v>0.11935766107542313</v>
      </c>
      <c r="O49" s="109">
        <f t="shared" si="1"/>
        <v>0</v>
      </c>
      <c r="P49" s="1137">
        <f t="shared" si="7"/>
        <v>0</v>
      </c>
      <c r="Q49" s="1131"/>
    </row>
    <row r="50" spans="2:17">
      <c r="B50" s="1132" t="s">
        <v>860</v>
      </c>
      <c r="C50" s="1133">
        <v>1.46</v>
      </c>
      <c r="D50" s="1134">
        <v>0</v>
      </c>
      <c r="E50" s="1134">
        <v>0</v>
      </c>
      <c r="F50" s="1133">
        <v>1.4269459320000002</v>
      </c>
      <c r="G50" s="1133">
        <v>1.154487</v>
      </c>
      <c r="H50" s="1135">
        <f t="shared" si="5"/>
        <v>3.305406799999977E-2</v>
      </c>
      <c r="J50" s="1136">
        <v>0.11415567456000002</v>
      </c>
      <c r="K50" s="1135">
        <f t="shared" si="6"/>
        <v>-8.1101606560000247E-2</v>
      </c>
      <c r="M50" s="106">
        <f t="shared" si="8"/>
        <v>-5.2625736171304609E-2</v>
      </c>
      <c r="N50" s="1133">
        <v>1.9950474548223407</v>
      </c>
      <c r="O50" s="109">
        <f t="shared" si="1"/>
        <v>3.7287103591708277E-4</v>
      </c>
      <c r="P50" s="1137">
        <f t="shared" si="7"/>
        <v>1.0326544422096043E-4</v>
      </c>
      <c r="Q50" s="1131"/>
    </row>
    <row r="51" spans="2:17">
      <c r="B51" s="1132" t="s">
        <v>861</v>
      </c>
      <c r="C51" s="1133">
        <v>0.15</v>
      </c>
      <c r="D51" s="1134">
        <v>0</v>
      </c>
      <c r="E51" s="1134">
        <v>0</v>
      </c>
      <c r="F51" s="1133">
        <v>0.1403226783</v>
      </c>
      <c r="G51" s="1133">
        <v>0.10560899999999999</v>
      </c>
      <c r="H51" s="1135">
        <f t="shared" si="5"/>
        <v>9.6773216999999911E-3</v>
      </c>
      <c r="J51" s="1136">
        <v>1.1225814264000001E-2</v>
      </c>
      <c r="K51" s="1135">
        <f t="shared" si="6"/>
        <v>-1.5484925640000102E-3</v>
      </c>
      <c r="M51" s="106">
        <f t="shared" si="8"/>
        <v>-1.0217802485538224E-2</v>
      </c>
      <c r="N51" s="1133">
        <v>0.143899237614078</v>
      </c>
      <c r="O51" s="109">
        <f t="shared" si="1"/>
        <v>2.6894527078614163E-5</v>
      </c>
      <c r="P51" s="1137">
        <f t="shared" si="7"/>
        <v>2.8078824252601481E-7</v>
      </c>
      <c r="Q51" s="1131"/>
    </row>
    <row r="52" spans="2:17">
      <c r="B52" s="1132" t="s">
        <v>862</v>
      </c>
      <c r="C52" s="1133">
        <v>0.31212011066829271</v>
      </c>
      <c r="D52" s="1134">
        <v>0</v>
      </c>
      <c r="E52" s="1134">
        <v>0</v>
      </c>
      <c r="F52" s="1133">
        <v>0.31705705140000001</v>
      </c>
      <c r="G52" s="1133">
        <v>0.238622</v>
      </c>
      <c r="H52" s="1135">
        <f t="shared" si="5"/>
        <v>-4.9369407317073066E-3</v>
      </c>
      <c r="J52" s="1136">
        <v>3.1825128643610666E-2</v>
      </c>
      <c r="K52" s="1135">
        <f t="shared" si="6"/>
        <v>-3.6762069375317973E-2</v>
      </c>
      <c r="M52" s="106">
        <f t="shared" si="8"/>
        <v>-0.10537101485298754</v>
      </c>
      <c r="N52" s="1133">
        <v>0.35708329333863797</v>
      </c>
      <c r="O52" s="109">
        <f t="shared" si="1"/>
        <v>6.6738270898783288E-5</v>
      </c>
      <c r="P52" s="1137">
        <f t="shared" si="7"/>
        <v>7.409984101678548E-5</v>
      </c>
      <c r="Q52" s="1131"/>
    </row>
    <row r="53" spans="2:17">
      <c r="B53" s="1132" t="s">
        <v>863</v>
      </c>
      <c r="C53" s="1133">
        <v>0.15</v>
      </c>
      <c r="D53" s="1134">
        <v>0</v>
      </c>
      <c r="E53" s="1134">
        <v>0</v>
      </c>
      <c r="F53" s="1133">
        <v>0.16372210500000001</v>
      </c>
      <c r="G53" s="1133">
        <v>0.10596899999999999</v>
      </c>
      <c r="H53" s="1135">
        <f t="shared" si="5"/>
        <v>-1.3722105000000012E-2</v>
      </c>
      <c r="J53" s="1136">
        <v>1.3097768400000001E-2</v>
      </c>
      <c r="K53" s="1135">
        <f t="shared" si="6"/>
        <v>-2.6819873400000013E-2</v>
      </c>
      <c r="M53" s="106">
        <f t="shared" si="8"/>
        <v>-0.15167906686217553</v>
      </c>
      <c r="N53" s="1133">
        <v>0.11192162925539401</v>
      </c>
      <c r="O53" s="109">
        <f t="shared" si="1"/>
        <v>2.0917965505588795E-5</v>
      </c>
      <c r="P53" s="1137">
        <f t="shared" si="7"/>
        <v>4.8124999598617593E-5</v>
      </c>
      <c r="Q53" s="1131"/>
    </row>
    <row r="54" spans="2:17">
      <c r="B54" s="1132" t="s">
        <v>864</v>
      </c>
      <c r="C54" s="1133">
        <v>0.44775000000000004</v>
      </c>
      <c r="D54" s="1134">
        <v>0</v>
      </c>
      <c r="E54" s="1134">
        <v>0</v>
      </c>
      <c r="F54" s="1133">
        <v>0.46011336000000003</v>
      </c>
      <c r="G54" s="1133">
        <v>0.446712</v>
      </c>
      <c r="H54" s="1135">
        <f t="shared" si="5"/>
        <v>-1.236335999999999E-2</v>
      </c>
      <c r="J54" s="1136">
        <v>8.1435975794062865E-2</v>
      </c>
      <c r="K54" s="1135">
        <f t="shared" si="6"/>
        <v>-9.3799335794062855E-2</v>
      </c>
      <c r="M54" s="106">
        <f t="shared" si="8"/>
        <v>-0.17320552273695763</v>
      </c>
      <c r="N54" s="1133">
        <v>0.77634526959693939</v>
      </c>
      <c r="O54" s="109">
        <f t="shared" si="1"/>
        <v>1.4509763374511594E-4</v>
      </c>
      <c r="P54" s="1137">
        <f t="shared" si="7"/>
        <v>4.3529512277563459E-4</v>
      </c>
      <c r="Q54" s="1131"/>
    </row>
    <row r="55" spans="2:17">
      <c r="B55" s="1132" t="s">
        <v>865</v>
      </c>
      <c r="C55" s="1133">
        <v>0.19900000000000001</v>
      </c>
      <c r="D55" s="1134">
        <v>0</v>
      </c>
      <c r="E55" s="1134">
        <v>0</v>
      </c>
      <c r="F55" s="1133">
        <v>0.15099182</v>
      </c>
      <c r="G55" s="1133">
        <v>0.146594</v>
      </c>
      <c r="H55" s="1135">
        <f t="shared" si="5"/>
        <v>4.8008180000000011E-2</v>
      </c>
      <c r="J55" s="1136">
        <v>3.1294426191662068E-2</v>
      </c>
      <c r="K55" s="1135">
        <f t="shared" si="6"/>
        <v>1.6713753808337943E-2</v>
      </c>
      <c r="M55" s="106">
        <f t="shared" si="8"/>
        <v>9.1689604440943526E-2</v>
      </c>
      <c r="N55" s="1133">
        <v>0.28602194143045129</v>
      </c>
      <c r="O55" s="109">
        <f t="shared" si="1"/>
        <v>0</v>
      </c>
      <c r="P55" s="1137">
        <f t="shared" si="7"/>
        <v>0</v>
      </c>
      <c r="Q55" s="1131"/>
    </row>
    <row r="56" spans="2:17">
      <c r="B56" s="1132" t="s">
        <v>866</v>
      </c>
      <c r="C56" s="1133">
        <v>0.1</v>
      </c>
      <c r="D56" s="1134">
        <v>0</v>
      </c>
      <c r="E56" s="1134">
        <v>0</v>
      </c>
      <c r="F56" s="1133">
        <v>9.4180710000000001E-2</v>
      </c>
      <c r="G56" s="1133">
        <v>5.7457000000000001E-2</v>
      </c>
      <c r="H56" s="1135">
        <f t="shared" si="5"/>
        <v>5.8192900000000047E-3</v>
      </c>
      <c r="J56" s="1136">
        <v>7.5344568000000004E-3</v>
      </c>
      <c r="K56" s="1135">
        <f t="shared" si="6"/>
        <v>-1.7151667999999957E-3</v>
      </c>
      <c r="M56" s="106">
        <f t="shared" si="8"/>
        <v>-1.686244887522512E-2</v>
      </c>
      <c r="N56" s="1133">
        <v>0.101262426469166</v>
      </c>
      <c r="O56" s="109">
        <f t="shared" si="1"/>
        <v>1.8925778314580336E-5</v>
      </c>
      <c r="P56" s="1137">
        <f t="shared" si="7"/>
        <v>5.3813971033329278E-7</v>
      </c>
      <c r="Q56" s="1131"/>
    </row>
    <row r="57" spans="2:17">
      <c r="B57" s="1132" t="s">
        <v>867</v>
      </c>
      <c r="C57" s="1133">
        <v>8.4512805820895515E-2</v>
      </c>
      <c r="D57" s="1134">
        <v>0</v>
      </c>
      <c r="E57" s="1134">
        <v>0</v>
      </c>
      <c r="F57" s="1133">
        <v>0.11149347</v>
      </c>
      <c r="G57" s="1133">
        <v>7.8148999999999996E-2</v>
      </c>
      <c r="H57" s="1135">
        <f t="shared" si="5"/>
        <v>-2.6980664179104483E-2</v>
      </c>
      <c r="J57" s="1136">
        <v>8.9194775999999996E-3</v>
      </c>
      <c r="K57" s="1135">
        <f t="shared" si="6"/>
        <v>-3.5900141779104486E-2</v>
      </c>
      <c r="M57" s="106">
        <f t="shared" si="8"/>
        <v>-0.29814187340020304</v>
      </c>
      <c r="N57" s="1133">
        <v>0.149228839007192</v>
      </c>
      <c r="O57" s="109">
        <f t="shared" si="1"/>
        <v>2.7890620674118393E-5</v>
      </c>
      <c r="P57" s="1137">
        <f t="shared" si="7"/>
        <v>2.479157574293074E-4</v>
      </c>
      <c r="Q57" s="1131"/>
    </row>
    <row r="58" spans="2:17">
      <c r="B58" s="1132" t="s">
        <v>868</v>
      </c>
      <c r="C58" s="1133">
        <v>4.3605422044444439E-2</v>
      </c>
      <c r="D58" s="1134">
        <v>0</v>
      </c>
      <c r="E58" s="1134">
        <v>0</v>
      </c>
      <c r="F58" s="1133">
        <v>7.3524720000000002E-2</v>
      </c>
      <c r="G58" s="1133">
        <v>5.0023999999999999E-2</v>
      </c>
      <c r="H58" s="1135">
        <f t="shared" si="5"/>
        <v>-2.9919297955555563E-2</v>
      </c>
      <c r="J58" s="1136">
        <v>5.8819776000000002E-3</v>
      </c>
      <c r="K58" s="1135">
        <f t="shared" si="6"/>
        <v>-3.580127555555556E-2</v>
      </c>
      <c r="M58" s="106">
        <f t="shared" si="8"/>
        <v>-0.45085964581853555</v>
      </c>
      <c r="N58" s="1133">
        <v>0.101262426469166</v>
      </c>
      <c r="O58" s="109">
        <f t="shared" si="1"/>
        <v>1.8925778314580336E-5</v>
      </c>
      <c r="P58" s="1137">
        <f t="shared" si="7"/>
        <v>3.8471266142526932E-4</v>
      </c>
      <c r="Q58" s="1131"/>
    </row>
    <row r="59" spans="2:17">
      <c r="B59" s="1132" t="s">
        <v>869</v>
      </c>
      <c r="C59" s="1133">
        <v>0.04</v>
      </c>
      <c r="D59" s="1134">
        <v>0</v>
      </c>
      <c r="E59" s="1134">
        <v>0</v>
      </c>
      <c r="F59" s="1133">
        <v>3.4309670799999997E-2</v>
      </c>
      <c r="G59" s="1133">
        <v>2.3458E-2</v>
      </c>
      <c r="H59" s="1135">
        <f t="shared" si="5"/>
        <v>5.6903292000000036E-3</v>
      </c>
      <c r="J59" s="1136">
        <v>2.7447736639999998E-3</v>
      </c>
      <c r="K59" s="1135">
        <f t="shared" si="6"/>
        <v>2.9455555360000038E-3</v>
      </c>
      <c r="M59" s="106">
        <f t="shared" si="8"/>
        <v>7.9492637890219597E-2</v>
      </c>
      <c r="N59" s="1133">
        <v>7.106135190818666E-2</v>
      </c>
      <c r="O59" s="109">
        <f t="shared" si="1"/>
        <v>0</v>
      </c>
      <c r="P59" s="1137">
        <f t="shared" si="7"/>
        <v>0</v>
      </c>
      <c r="Q59" s="1131"/>
    </row>
    <row r="60" spans="2:17">
      <c r="B60" s="1132" t="s">
        <v>870</v>
      </c>
      <c r="C60" s="1133">
        <v>0.15118762506666666</v>
      </c>
      <c r="D60" s="1134">
        <v>0</v>
      </c>
      <c r="E60" s="1134">
        <v>0</v>
      </c>
      <c r="F60" s="1133">
        <v>0.1478381248</v>
      </c>
      <c r="G60" s="1133">
        <v>0.104768</v>
      </c>
      <c r="H60" s="1135">
        <f t="shared" si="5"/>
        <v>3.3495002666666662E-3</v>
      </c>
      <c r="J60" s="1136">
        <v>1.1827049984E-2</v>
      </c>
      <c r="K60" s="1135">
        <f t="shared" si="6"/>
        <v>-8.4775497173333342E-3</v>
      </c>
      <c r="M60" s="106">
        <f t="shared" si="8"/>
        <v>-5.3095797056571831E-2</v>
      </c>
      <c r="N60" s="1133">
        <v>0.24693819788094867</v>
      </c>
      <c r="O60" s="109">
        <f t="shared" si="1"/>
        <v>4.6152336591695909E-5</v>
      </c>
      <c r="P60" s="1137">
        <f t="shared" si="7"/>
        <v>1.3011099037751256E-5</v>
      </c>
      <c r="Q60" s="1131"/>
    </row>
    <row r="61" spans="2:17">
      <c r="B61" s="1132" t="s">
        <v>871</v>
      </c>
      <c r="C61" s="1133">
        <v>0.05</v>
      </c>
      <c r="D61" s="1134">
        <v>0</v>
      </c>
      <c r="E61" s="1134">
        <v>0</v>
      </c>
      <c r="F61" s="1133">
        <v>3.3684720000000001E-2</v>
      </c>
      <c r="G61" s="1133">
        <v>2.2023999999999998E-2</v>
      </c>
      <c r="H61" s="1135">
        <f t="shared" si="5"/>
        <v>1.6315280000000001E-2</v>
      </c>
      <c r="J61" s="1136">
        <v>2.6947776E-3</v>
      </c>
      <c r="K61" s="1135">
        <f t="shared" si="6"/>
        <v>1.3620502400000001E-2</v>
      </c>
      <c r="M61" s="106">
        <f t="shared" si="8"/>
        <v>0.3744005084886054</v>
      </c>
      <c r="N61" s="1133">
        <v>4.7966412538026006E-2</v>
      </c>
      <c r="O61" s="109">
        <f t="shared" si="1"/>
        <v>0</v>
      </c>
      <c r="P61" s="1137">
        <f t="shared" si="7"/>
        <v>0</v>
      </c>
      <c r="Q61" s="1131"/>
    </row>
    <row r="62" spans="2:17">
      <c r="B62" s="1132" t="s">
        <v>872</v>
      </c>
      <c r="C62" s="1133">
        <v>0.45</v>
      </c>
      <c r="D62" s="1134">
        <v>0</v>
      </c>
      <c r="E62" s="1134">
        <v>0</v>
      </c>
      <c r="F62" s="1133">
        <v>0.36356439420000003</v>
      </c>
      <c r="G62" s="1133">
        <v>0.28013900000000003</v>
      </c>
      <c r="H62" s="1135">
        <f t="shared" si="5"/>
        <v>8.6435605799999982E-2</v>
      </c>
      <c r="J62" s="1136">
        <v>2.9085151536000001E-2</v>
      </c>
      <c r="K62" s="1135">
        <f t="shared" si="6"/>
        <v>5.7350454263999984E-2</v>
      </c>
      <c r="M62" s="106">
        <f t="shared" si="8"/>
        <v>0.14606015691804686</v>
      </c>
      <c r="N62" s="1133">
        <v>0.95044558177199667</v>
      </c>
      <c r="O62" s="109">
        <f t="shared" si="1"/>
        <v>0</v>
      </c>
      <c r="P62" s="1137">
        <f t="shared" si="7"/>
        <v>0</v>
      </c>
      <c r="Q62" s="1131"/>
    </row>
    <row r="63" spans="2:17">
      <c r="B63" s="1132" t="s">
        <v>873</v>
      </c>
      <c r="C63" s="1133">
        <v>1.5</v>
      </c>
      <c r="D63" s="1134">
        <v>0</v>
      </c>
      <c r="E63" s="1134">
        <v>0</v>
      </c>
      <c r="F63" s="1133">
        <v>1.2482170399999999</v>
      </c>
      <c r="G63" s="1133">
        <v>0.97496799999999995</v>
      </c>
      <c r="H63" s="1135">
        <f>+C63+D63-E63-F63</f>
        <v>0.25178296000000011</v>
      </c>
      <c r="J63" s="1136">
        <v>0.16454480264719284</v>
      </c>
      <c r="K63" s="1135">
        <f>+H63-J63</f>
        <v>8.7238157352807266E-2</v>
      </c>
      <c r="M63" s="106">
        <f>+IF(ISERROR(K63/(F63+J63)),0,K63/(F63+J63))</f>
        <v>6.1750080388172791E-2</v>
      </c>
      <c r="N63" s="1133">
        <v>1.5953273503387908</v>
      </c>
      <c r="O63" s="109">
        <f t="shared" si="1"/>
        <v>0</v>
      </c>
      <c r="P63" s="1137">
        <f>(M63^2*O63)*100</f>
        <v>0</v>
      </c>
      <c r="Q63" s="1131"/>
    </row>
    <row r="64" spans="2:17">
      <c r="B64" s="1132" t="s">
        <v>874</v>
      </c>
      <c r="C64" s="1133">
        <v>5.7710000000000004E-2</v>
      </c>
      <c r="D64" s="1134">
        <v>0</v>
      </c>
      <c r="E64" s="1134">
        <v>0</v>
      </c>
      <c r="F64" s="1133">
        <v>3.7963740000000003E-2</v>
      </c>
      <c r="G64" s="1133">
        <v>3.6858000000000002E-2</v>
      </c>
      <c r="H64" s="1135">
        <f t="shared" ref="H64:H87" si="9">+C64+D64-E64-F64</f>
        <v>1.9746260000000002E-2</v>
      </c>
      <c r="J64" s="1136">
        <v>3.0370992000000002E-3</v>
      </c>
      <c r="K64" s="1135">
        <f t="shared" ref="K64:K87" si="10">+H64-J64</f>
        <v>1.6709160800000001E-2</v>
      </c>
      <c r="M64" s="106">
        <f>+IF(ISERROR(K64/(F64+J64)),0,K64/(F64+J64))</f>
        <v>0.40753216582942531</v>
      </c>
      <c r="N64" s="1133">
        <v>4.7966412538026006E-2</v>
      </c>
      <c r="O64" s="109">
        <f t="shared" si="1"/>
        <v>0</v>
      </c>
      <c r="P64" s="1137">
        <f t="shared" ref="P64:P87" si="11">(M64^2*O64)*100</f>
        <v>0</v>
      </c>
      <c r="Q64" s="1131"/>
    </row>
    <row r="65" spans="2:17">
      <c r="B65" s="1132" t="s">
        <v>875</v>
      </c>
      <c r="C65" s="1133">
        <v>0.19061543826478872</v>
      </c>
      <c r="D65" s="1134">
        <v>0</v>
      </c>
      <c r="E65" s="1134">
        <v>0</v>
      </c>
      <c r="F65" s="1133">
        <v>0.28057134080000001</v>
      </c>
      <c r="G65" s="1133">
        <v>0.212812</v>
      </c>
      <c r="H65" s="1135">
        <f t="shared" si="9"/>
        <v>-8.9955902535211296E-2</v>
      </c>
      <c r="J65" s="1136">
        <v>2.8467927259551062E-2</v>
      </c>
      <c r="K65" s="1135">
        <f t="shared" si="10"/>
        <v>-0.11842382979476236</v>
      </c>
      <c r="M65" s="106">
        <f t="shared" ref="M65:M87" si="12">+IF(ISERROR(K65/(F65+J65)),0,K65/(F65+J65))</f>
        <v>-0.3831999426427013</v>
      </c>
      <c r="N65" s="1133">
        <v>0.52585400412058125</v>
      </c>
      <c r="O65" s="109">
        <f t="shared" si="1"/>
        <v>9.8281234756417176E-5</v>
      </c>
      <c r="P65" s="1137">
        <f t="shared" si="11"/>
        <v>1.4431832341289673E-3</v>
      </c>
      <c r="Q65" s="1131"/>
    </row>
    <row r="66" spans="2:17">
      <c r="B66" s="1132" t="s">
        <v>876</v>
      </c>
      <c r="C66" s="1133">
        <v>2.4E-2</v>
      </c>
      <c r="D66" s="1134">
        <v>0</v>
      </c>
      <c r="E66" s="1134">
        <v>0</v>
      </c>
      <c r="F66" s="1133">
        <v>4.0090896000000008E-2</v>
      </c>
      <c r="G66" s="1133">
        <v>2.5440000000000001E-2</v>
      </c>
      <c r="H66" s="1135">
        <f t="shared" si="9"/>
        <v>-1.6090896000000007E-2</v>
      </c>
      <c r="J66" s="1136">
        <v>3.2072716800000006E-3</v>
      </c>
      <c r="K66" s="1135">
        <f t="shared" si="10"/>
        <v>-1.9298167680000009E-2</v>
      </c>
      <c r="M66" s="106">
        <f t="shared" si="12"/>
        <v>-0.44570402661436609</v>
      </c>
      <c r="N66" s="1133">
        <v>6.5731750515072657E-2</v>
      </c>
      <c r="O66" s="109">
        <f t="shared" si="1"/>
        <v>1.2285154344552147E-5</v>
      </c>
      <c r="P66" s="1137">
        <f t="shared" si="11"/>
        <v>2.4404714555613076E-4</v>
      </c>
      <c r="Q66" s="1131"/>
    </row>
    <row r="67" spans="2:17">
      <c r="B67" s="1132" t="s">
        <v>877</v>
      </c>
      <c r="C67" s="1133">
        <v>9.4216793548387121E-2</v>
      </c>
      <c r="D67" s="1134">
        <v>0</v>
      </c>
      <c r="E67" s="1134">
        <v>0</v>
      </c>
      <c r="F67" s="1133">
        <v>0.1585376</v>
      </c>
      <c r="G67" s="1133">
        <v>0.11840000000000001</v>
      </c>
      <c r="H67" s="1135">
        <f t="shared" si="9"/>
        <v>-6.432080645161288E-2</v>
      </c>
      <c r="J67" s="1136">
        <v>1.2683008000000001E-2</v>
      </c>
      <c r="K67" s="1135">
        <f t="shared" si="10"/>
        <v>-7.7003814451612876E-2</v>
      </c>
      <c r="M67" s="106">
        <f t="shared" si="12"/>
        <v>-0.44973449955050315</v>
      </c>
      <c r="N67" s="1133">
        <v>0.23094939370160669</v>
      </c>
      <c r="O67" s="109">
        <f t="shared" si="1"/>
        <v>4.316405580518323E-5</v>
      </c>
      <c r="P67" s="1137">
        <f t="shared" si="11"/>
        <v>8.7304102746084465E-4</v>
      </c>
      <c r="Q67" s="1131"/>
    </row>
    <row r="68" spans="2:17">
      <c r="B68" s="1132" t="s">
        <v>878</v>
      </c>
      <c r="C68" s="1133">
        <v>0.01</v>
      </c>
      <c r="D68" s="1134">
        <v>0</v>
      </c>
      <c r="E68" s="1134">
        <v>0</v>
      </c>
      <c r="F68" s="1133">
        <v>2.5018288000000001E-3</v>
      </c>
      <c r="G68" s="1133">
        <v>1.598E-3</v>
      </c>
      <c r="H68" s="1135">
        <f t="shared" si="9"/>
        <v>7.4981712000000006E-3</v>
      </c>
      <c r="J68" s="1136">
        <v>2.0014630400000001E-4</v>
      </c>
      <c r="K68" s="1135">
        <f t="shared" si="10"/>
        <v>7.2980248960000009E-3</v>
      </c>
      <c r="M68" s="106">
        <f t="shared" si="12"/>
        <v>2.7009963508531278</v>
      </c>
      <c r="N68" s="1133">
        <v>2.1318405572455998E-2</v>
      </c>
      <c r="O68" s="109">
        <f t="shared" si="1"/>
        <v>0</v>
      </c>
      <c r="P68" s="1137">
        <f t="shared" si="11"/>
        <v>0</v>
      </c>
      <c r="Q68" s="1131"/>
    </row>
    <row r="69" spans="2:17">
      <c r="B69" s="1132" t="s">
        <v>879</v>
      </c>
      <c r="C69" s="1133">
        <v>0.38</v>
      </c>
      <c r="D69" s="1134">
        <v>0</v>
      </c>
      <c r="E69" s="1134">
        <v>0</v>
      </c>
      <c r="F69" s="1133">
        <v>0.30926862399999999</v>
      </c>
      <c r="G69" s="1133">
        <v>0.22078</v>
      </c>
      <c r="H69" s="1135">
        <f t="shared" si="9"/>
        <v>7.0731376000000012E-2</v>
      </c>
      <c r="J69" s="1136">
        <v>2.4741489919999998E-2</v>
      </c>
      <c r="K69" s="1135">
        <f t="shared" si="10"/>
        <v>4.5989886080000014E-2</v>
      </c>
      <c r="M69" s="106">
        <f t="shared" si="12"/>
        <v>0.13769010027946404</v>
      </c>
      <c r="N69" s="1133">
        <v>0.40327317207895935</v>
      </c>
      <c r="O69" s="109">
        <f t="shared" si="1"/>
        <v>0</v>
      </c>
      <c r="P69" s="1137">
        <f t="shared" si="11"/>
        <v>0</v>
      </c>
      <c r="Q69" s="1131"/>
    </row>
    <row r="70" spans="2:17">
      <c r="B70" s="1132" t="s">
        <v>880</v>
      </c>
      <c r="C70" s="1133">
        <v>0.21307004062499998</v>
      </c>
      <c r="D70" s="1134">
        <v>0</v>
      </c>
      <c r="E70" s="1134">
        <v>0</v>
      </c>
      <c r="F70" s="1133">
        <v>0.16568615</v>
      </c>
      <c r="G70" s="1133">
        <v>0.13270499999999999</v>
      </c>
      <c r="H70" s="1135">
        <f t="shared" si="9"/>
        <v>4.738389062499998E-2</v>
      </c>
      <c r="J70" s="1136">
        <v>1.3254892000000001E-2</v>
      </c>
      <c r="K70" s="1135">
        <f t="shared" si="10"/>
        <v>3.4128998624999976E-2</v>
      </c>
      <c r="M70" s="106">
        <f t="shared" si="12"/>
        <v>0.19072761756355469</v>
      </c>
      <c r="N70" s="1133">
        <v>0.20963098812915065</v>
      </c>
      <c r="O70" s="109">
        <f t="shared" si="1"/>
        <v>0</v>
      </c>
      <c r="P70" s="1137">
        <f t="shared" si="11"/>
        <v>0</v>
      </c>
      <c r="Q70" s="1131"/>
    </row>
    <row r="71" spans="2:17">
      <c r="B71" s="1132" t="s">
        <v>881</v>
      </c>
      <c r="C71" s="1133">
        <v>0.19500000000000001</v>
      </c>
      <c r="D71" s="1134">
        <v>0</v>
      </c>
      <c r="E71" s="1134">
        <v>0</v>
      </c>
      <c r="F71" s="1133">
        <v>7.2388039500000015E-2</v>
      </c>
      <c r="G71" s="1133">
        <v>5.2059000000000001E-2</v>
      </c>
      <c r="H71" s="1135">
        <f t="shared" si="9"/>
        <v>0.12261196049999999</v>
      </c>
      <c r="J71" s="1136">
        <v>5.7910431600000012E-3</v>
      </c>
      <c r="K71" s="1135">
        <f t="shared" si="10"/>
        <v>0.11682091734</v>
      </c>
      <c r="M71" s="106">
        <f t="shared" si="12"/>
        <v>1.4942733192208575</v>
      </c>
      <c r="N71" s="1133">
        <v>0.21851365711767401</v>
      </c>
      <c r="O71" s="109">
        <f t="shared" si="1"/>
        <v>0</v>
      </c>
      <c r="P71" s="1137">
        <f t="shared" si="11"/>
        <v>0</v>
      </c>
      <c r="Q71" s="1131"/>
    </row>
    <row r="72" spans="2:17">
      <c r="B72" s="1132" t="s">
        <v>882</v>
      </c>
      <c r="C72" s="1133">
        <v>2.5999999999999999E-2</v>
      </c>
      <c r="D72" s="1134">
        <v>0</v>
      </c>
      <c r="E72" s="1134">
        <v>0</v>
      </c>
      <c r="F72" s="1133">
        <v>1.8898543E-2</v>
      </c>
      <c r="G72" s="1133">
        <v>1.0793000000000001E-2</v>
      </c>
      <c r="H72" s="1135">
        <f t="shared" si="9"/>
        <v>7.1014569999999985E-3</v>
      </c>
      <c r="J72" s="1136">
        <v>2.3340158888628753E-3</v>
      </c>
      <c r="K72" s="1135">
        <f t="shared" si="10"/>
        <v>4.7674411111371228E-3</v>
      </c>
      <c r="M72" s="106">
        <f t="shared" si="12"/>
        <v>0.22453445842732556</v>
      </c>
      <c r="N72" s="1133">
        <v>5.3296013931140002E-2</v>
      </c>
      <c r="O72" s="109">
        <f t="shared" si="1"/>
        <v>0</v>
      </c>
      <c r="P72" s="1137">
        <f t="shared" si="11"/>
        <v>0</v>
      </c>
      <c r="Q72" s="1131"/>
    </row>
    <row r="73" spans="2:17">
      <c r="B73" s="1132" t="s">
        <v>883</v>
      </c>
      <c r="C73" s="1133">
        <v>2.1912957051546393</v>
      </c>
      <c r="D73" s="1134">
        <v>0</v>
      </c>
      <c r="E73" s="1134">
        <v>0</v>
      </c>
      <c r="F73" s="1133">
        <v>2.6208444499999999</v>
      </c>
      <c r="G73" s="1133">
        <v>2.1843149999999998</v>
      </c>
      <c r="H73" s="1135">
        <f t="shared" si="9"/>
        <v>-0.42954874484536054</v>
      </c>
      <c r="J73" s="1136">
        <v>0.209667556</v>
      </c>
      <c r="K73" s="1135">
        <f t="shared" si="10"/>
        <v>-0.63921630084536052</v>
      </c>
      <c r="M73" s="106">
        <f t="shared" si="12"/>
        <v>-0.22583062692911277</v>
      </c>
      <c r="N73" s="1133">
        <v>3.8225210572750719</v>
      </c>
      <c r="O73" s="109">
        <f t="shared" si="1"/>
        <v>7.144227988140475E-4</v>
      </c>
      <c r="P73" s="1137">
        <f t="shared" si="11"/>
        <v>3.6435185566569698E-3</v>
      </c>
      <c r="Q73" s="1131"/>
    </row>
    <row r="74" spans="2:17">
      <c r="B74" s="1132" t="s">
        <v>884</v>
      </c>
      <c r="C74" s="1133">
        <v>0.97467675391578956</v>
      </c>
      <c r="D74" s="1134">
        <v>0</v>
      </c>
      <c r="E74" s="1134">
        <v>0</v>
      </c>
      <c r="F74" s="1133">
        <v>0.52026948000000006</v>
      </c>
      <c r="G74" s="1133">
        <v>0.50511600000000001</v>
      </c>
      <c r="H74" s="1135">
        <f t="shared" si="9"/>
        <v>0.4544072739157895</v>
      </c>
      <c r="J74" s="1136">
        <v>7.4617026917230281E-2</v>
      </c>
      <c r="K74" s="1135">
        <f t="shared" si="10"/>
        <v>0.37979024699855923</v>
      </c>
      <c r="M74" s="106">
        <f t="shared" si="12"/>
        <v>0.63842471224751018</v>
      </c>
      <c r="N74" s="1133">
        <v>1.3600489563211113</v>
      </c>
      <c r="O74" s="109">
        <f t="shared" si="1"/>
        <v>0</v>
      </c>
      <c r="P74" s="1137">
        <f t="shared" si="11"/>
        <v>0</v>
      </c>
      <c r="Q74" s="1131"/>
    </row>
    <row r="75" spans="2:17">
      <c r="B75" s="1132" t="s">
        <v>885</v>
      </c>
      <c r="C75" s="1133">
        <v>0.34865611666666668</v>
      </c>
      <c r="D75" s="1134">
        <v>0</v>
      </c>
      <c r="E75" s="1134">
        <v>0</v>
      </c>
      <c r="F75" s="1133">
        <v>0.57575595000000002</v>
      </c>
      <c r="G75" s="1133">
        <v>0.44636500000000001</v>
      </c>
      <c r="H75" s="1135">
        <f t="shared" si="9"/>
        <v>-0.22709983333333333</v>
      </c>
      <c r="J75" s="1136">
        <v>4.6060476000000003E-2</v>
      </c>
      <c r="K75" s="1135">
        <f t="shared" si="10"/>
        <v>-0.27316030933333335</v>
      </c>
      <c r="M75" s="106">
        <f t="shared" si="12"/>
        <v>-0.43929413555462005</v>
      </c>
      <c r="N75" s="1133">
        <v>0.54717240969303726</v>
      </c>
      <c r="O75" s="109">
        <f t="shared" si="1"/>
        <v>1.0226560913843409E-4</v>
      </c>
      <c r="P75" s="1137">
        <f t="shared" si="11"/>
        <v>1.9735149503911087E-3</v>
      </c>
      <c r="Q75" s="1131"/>
    </row>
    <row r="76" spans="2:17">
      <c r="B76" s="1132" t="s">
        <v>886</v>
      </c>
      <c r="C76" s="1133">
        <v>0.28332911279069772</v>
      </c>
      <c r="D76" s="1134">
        <v>0</v>
      </c>
      <c r="E76" s="1134">
        <v>0</v>
      </c>
      <c r="F76" s="1133">
        <v>0.35328484999999998</v>
      </c>
      <c r="G76" s="1133">
        <v>0.27439599999999997</v>
      </c>
      <c r="H76" s="1135">
        <f t="shared" si="9"/>
        <v>-6.995573720930226E-2</v>
      </c>
      <c r="J76" s="1136">
        <v>2.8262788E-2</v>
      </c>
      <c r="K76" s="1135">
        <f t="shared" si="10"/>
        <v>-9.8218525209302257E-2</v>
      </c>
      <c r="M76" s="106">
        <f t="shared" si="12"/>
        <v>-0.25742139493811322</v>
      </c>
      <c r="N76" s="1133">
        <v>0.3926139692927314</v>
      </c>
      <c r="O76" s="109">
        <f t="shared" si="1"/>
        <v>7.3378894868811499E-5</v>
      </c>
      <c r="P76" s="1137">
        <f t="shared" si="11"/>
        <v>4.8625093057106435E-4</v>
      </c>
      <c r="Q76" s="1131"/>
    </row>
    <row r="77" spans="2:17">
      <c r="B77" s="1132" t="s">
        <v>887</v>
      </c>
      <c r="C77" s="1133">
        <v>0.4</v>
      </c>
      <c r="D77" s="1134">
        <v>0</v>
      </c>
      <c r="E77" s="1134">
        <v>0</v>
      </c>
      <c r="F77" s="1133">
        <v>0.43567764000000003</v>
      </c>
      <c r="G77" s="1133">
        <v>0.35249000000000003</v>
      </c>
      <c r="H77" s="1135">
        <f t="shared" si="9"/>
        <v>-3.567764000000001E-2</v>
      </c>
      <c r="J77" s="1136">
        <v>4.5497206588664414E-2</v>
      </c>
      <c r="K77" s="1135">
        <f t="shared" si="10"/>
        <v>-8.1174846588664418E-2</v>
      </c>
      <c r="M77" s="106">
        <f t="shared" si="12"/>
        <v>-0.16870135079620502</v>
      </c>
      <c r="N77" s="1133">
        <v>0.66264710654384062</v>
      </c>
      <c r="O77" s="109">
        <f t="shared" si="1"/>
        <v>1.2384763704102571E-4</v>
      </c>
      <c r="P77" s="1137">
        <f t="shared" si="11"/>
        <v>3.5247218022766596E-4</v>
      </c>
      <c r="Q77" s="1131"/>
    </row>
    <row r="78" spans="2:17">
      <c r="B78" s="1132" t="s">
        <v>888</v>
      </c>
      <c r="C78" s="1133">
        <v>8.7626204210526332E-2</v>
      </c>
      <c r="D78" s="1134">
        <v>0</v>
      </c>
      <c r="E78" s="1134">
        <v>0</v>
      </c>
      <c r="F78" s="1133">
        <v>0.19063426999999999</v>
      </c>
      <c r="G78" s="1133">
        <v>0.13750899999999999</v>
      </c>
      <c r="H78" s="1135">
        <f t="shared" si="9"/>
        <v>-0.10300806578947366</v>
      </c>
      <c r="J78" s="1136">
        <v>1.5250741599999999E-2</v>
      </c>
      <c r="K78" s="1135">
        <f t="shared" si="10"/>
        <v>-0.11825880738947367</v>
      </c>
      <c r="M78" s="106">
        <f t="shared" si="12"/>
        <v>-0.57439250419661758</v>
      </c>
      <c r="N78" s="1133">
        <v>0.34820062435011473</v>
      </c>
      <c r="O78" s="109">
        <f t="shared" ref="O78:O141" si="13">IF(K78&lt;0,N78/$N$263,0)</f>
        <v>6.5078114906276256E-5</v>
      </c>
      <c r="P78" s="1137">
        <f t="shared" si="11"/>
        <v>2.1471010874088564E-3</v>
      </c>
      <c r="Q78" s="1131"/>
    </row>
    <row r="79" spans="2:17">
      <c r="B79" s="1132" t="s">
        <v>889</v>
      </c>
      <c r="C79" s="1133">
        <v>0.19</v>
      </c>
      <c r="D79" s="1134">
        <v>0</v>
      </c>
      <c r="E79" s="1134">
        <v>0</v>
      </c>
      <c r="F79" s="1133">
        <v>0.22999689880000002</v>
      </c>
      <c r="G79" s="1133">
        <v>0.18007899999999999</v>
      </c>
      <c r="H79" s="1135">
        <f t="shared" si="9"/>
        <v>-3.9996898800000014E-2</v>
      </c>
      <c r="J79" s="1136">
        <v>1.8399751904000002E-2</v>
      </c>
      <c r="K79" s="1135">
        <f t="shared" si="10"/>
        <v>-5.8396650704000019E-2</v>
      </c>
      <c r="M79" s="106">
        <f t="shared" si="12"/>
        <v>-0.23509435629866018</v>
      </c>
      <c r="N79" s="1133">
        <v>0.54361934209762808</v>
      </c>
      <c r="O79" s="109">
        <f t="shared" si="13"/>
        <v>1.016015467414313E-4</v>
      </c>
      <c r="P79" s="1137">
        <f t="shared" si="11"/>
        <v>5.615452093933077E-4</v>
      </c>
      <c r="Q79" s="1131"/>
    </row>
    <row r="80" spans="2:17">
      <c r="B80" s="1132" t="s">
        <v>890</v>
      </c>
      <c r="C80" s="1133">
        <v>4.1425265955555512E-2</v>
      </c>
      <c r="D80" s="1134">
        <v>0</v>
      </c>
      <c r="E80" s="1134">
        <v>0</v>
      </c>
      <c r="F80" s="1133">
        <v>0.12052553240000001</v>
      </c>
      <c r="G80" s="1133">
        <v>9.5913999999999999E-2</v>
      </c>
      <c r="H80" s="1135">
        <f t="shared" si="9"/>
        <v>-7.9100266444444498E-2</v>
      </c>
      <c r="J80" s="1136">
        <v>9.6420425920000011E-3</v>
      </c>
      <c r="K80" s="1135">
        <f t="shared" si="10"/>
        <v>-8.8742309036444506E-2</v>
      </c>
      <c r="M80" s="106">
        <f t="shared" si="12"/>
        <v>-0.68175433891196424</v>
      </c>
      <c r="N80" s="1133">
        <v>0.24693819788094867</v>
      </c>
      <c r="O80" s="109">
        <f t="shared" si="13"/>
        <v>4.6152336591695909E-5</v>
      </c>
      <c r="P80" s="1137">
        <f t="shared" si="11"/>
        <v>2.1451097385624912E-3</v>
      </c>
      <c r="Q80" s="1131"/>
    </row>
    <row r="81" spans="2:17">
      <c r="B81" s="1132" t="s">
        <v>891</v>
      </c>
      <c r="C81" s="1133">
        <v>0.12423622631578948</v>
      </c>
      <c r="D81" s="1134">
        <v>0</v>
      </c>
      <c r="E81" s="1134">
        <v>0</v>
      </c>
      <c r="F81" s="1133">
        <v>0.28610445000000001</v>
      </c>
      <c r="G81" s="1133">
        <v>0.22631499999999999</v>
      </c>
      <c r="H81" s="1135">
        <f t="shared" si="9"/>
        <v>-0.16186822368421053</v>
      </c>
      <c r="J81" s="1136">
        <v>4.2981363536487627E-2</v>
      </c>
      <c r="K81" s="1135">
        <f t="shared" si="10"/>
        <v>-0.20484958722069815</v>
      </c>
      <c r="M81" s="106">
        <f t="shared" si="12"/>
        <v>-0.62248075971219374</v>
      </c>
      <c r="N81" s="1133">
        <v>0.54217270492913383</v>
      </c>
      <c r="O81" s="109">
        <f t="shared" si="13"/>
        <v>1.0133117267172746E-4</v>
      </c>
      <c r="P81" s="1137">
        <f t="shared" si="11"/>
        <v>3.9264035464682432E-3</v>
      </c>
      <c r="Q81" s="1131"/>
    </row>
    <row r="82" spans="2:17">
      <c r="B82" s="1132" t="s">
        <v>892</v>
      </c>
      <c r="C82" s="1133">
        <v>0.54800000000000004</v>
      </c>
      <c r="D82" s="1134">
        <v>0</v>
      </c>
      <c r="E82" s="1134">
        <v>0</v>
      </c>
      <c r="F82" s="1133">
        <v>0.62052071900000005</v>
      </c>
      <c r="G82" s="1133">
        <v>0.46342100000000003</v>
      </c>
      <c r="H82" s="1135">
        <f t="shared" si="9"/>
        <v>-7.2520719000000011E-2</v>
      </c>
      <c r="J82" s="1136">
        <v>4.9641657520000007E-2</v>
      </c>
      <c r="K82" s="1135">
        <f t="shared" si="10"/>
        <v>-0.12216237652000002</v>
      </c>
      <c r="M82" s="106">
        <f t="shared" si="12"/>
        <v>-0.18228772727344272</v>
      </c>
      <c r="N82" s="1133">
        <v>0.92202104100872206</v>
      </c>
      <c r="O82" s="109">
        <f t="shared" si="13"/>
        <v>1.7232419202223152E-4</v>
      </c>
      <c r="P82" s="1137">
        <f t="shared" si="11"/>
        <v>5.7261287853949388E-4</v>
      </c>
      <c r="Q82" s="1131"/>
    </row>
    <row r="83" spans="2:17">
      <c r="B83" s="1132" t="s">
        <v>893</v>
      </c>
      <c r="C83" s="1133">
        <v>0.2</v>
      </c>
      <c r="D83" s="1134">
        <v>0</v>
      </c>
      <c r="E83" s="1134">
        <v>0</v>
      </c>
      <c r="F83" s="1133">
        <v>0.20799002</v>
      </c>
      <c r="G83" s="1133">
        <v>0.148534</v>
      </c>
      <c r="H83" s="1135">
        <f t="shared" si="9"/>
        <v>-7.9900199999999866E-3</v>
      </c>
      <c r="J83" s="1136">
        <v>2.5892282611580032E-2</v>
      </c>
      <c r="K83" s="1135">
        <f t="shared" si="10"/>
        <v>-3.3882302611580019E-2</v>
      </c>
      <c r="M83" s="106">
        <f t="shared" si="12"/>
        <v>-0.14486903127446135</v>
      </c>
      <c r="N83" s="1133">
        <v>0.26292700206029063</v>
      </c>
      <c r="O83" s="109">
        <f t="shared" si="13"/>
        <v>4.9140617378208588E-5</v>
      </c>
      <c r="P83" s="1137">
        <f t="shared" si="11"/>
        <v>1.031315916907605E-4</v>
      </c>
      <c r="Q83" s="1131"/>
    </row>
    <row r="84" spans="2:17">
      <c r="B84" s="1132" t="s">
        <v>894</v>
      </c>
      <c r="C84" s="1133">
        <v>0.9546130312550607</v>
      </c>
      <c r="D84" s="1134">
        <v>0</v>
      </c>
      <c r="E84" s="1134">
        <v>0</v>
      </c>
      <c r="F84" s="1133">
        <v>1.0053359100000001</v>
      </c>
      <c r="G84" s="1133">
        <v>0.80129700000000004</v>
      </c>
      <c r="H84" s="1135">
        <f t="shared" si="9"/>
        <v>-5.0722878744939415E-2</v>
      </c>
      <c r="J84" s="1136">
        <v>8.0426872800000007E-2</v>
      </c>
      <c r="K84" s="1135">
        <f t="shared" si="10"/>
        <v>-0.13114975154493941</v>
      </c>
      <c r="M84" s="106">
        <f t="shared" si="12"/>
        <v>-0.1207904282800394</v>
      </c>
      <c r="N84" s="1133">
        <v>1.602419722651564</v>
      </c>
      <c r="O84" s="109">
        <f t="shared" si="13"/>
        <v>2.9948956878936007E-4</v>
      </c>
      <c r="P84" s="1137">
        <f t="shared" si="11"/>
        <v>4.369650910660438E-4</v>
      </c>
      <c r="Q84" s="1131"/>
    </row>
    <row r="85" spans="2:17">
      <c r="B85" s="1132" t="s">
        <v>895</v>
      </c>
      <c r="C85" s="1133">
        <v>0.16</v>
      </c>
      <c r="D85" s="1134">
        <v>0</v>
      </c>
      <c r="E85" s="1134">
        <v>0</v>
      </c>
      <c r="F85" s="1133">
        <v>0.12638146349999999</v>
      </c>
      <c r="G85" s="1133">
        <v>8.4621000000000002E-2</v>
      </c>
      <c r="H85" s="1135">
        <f t="shared" si="9"/>
        <v>3.3618536500000018E-2</v>
      </c>
      <c r="J85" s="1136">
        <v>1.0110517079999999E-2</v>
      </c>
      <c r="K85" s="1135">
        <f t="shared" si="10"/>
        <v>2.3508019420000019E-2</v>
      </c>
      <c r="M85" s="106">
        <f t="shared" si="12"/>
        <v>0.17223004106253423</v>
      </c>
      <c r="N85" s="1133">
        <v>0.17232377837735269</v>
      </c>
      <c r="O85" s="109">
        <f t="shared" si="13"/>
        <v>0</v>
      </c>
      <c r="P85" s="1137">
        <f t="shared" si="11"/>
        <v>0</v>
      </c>
      <c r="Q85" s="1131"/>
    </row>
    <row r="86" spans="2:17">
      <c r="B86" s="1132" t="s">
        <v>896</v>
      </c>
      <c r="C86" s="1133">
        <v>2.2228134516129035E-2</v>
      </c>
      <c r="D86" s="1134">
        <v>0</v>
      </c>
      <c r="E86" s="1134">
        <v>0</v>
      </c>
      <c r="F86" s="1133">
        <v>5.8163069999999997E-2</v>
      </c>
      <c r="G86" s="1133">
        <v>3.7645999999999999E-2</v>
      </c>
      <c r="H86" s="1135">
        <f t="shared" si="9"/>
        <v>-3.5934935483870958E-2</v>
      </c>
      <c r="J86" s="1136">
        <v>6.0838571219999993E-3</v>
      </c>
      <c r="K86" s="1135">
        <f t="shared" si="10"/>
        <v>-4.2018792605870957E-2</v>
      </c>
      <c r="M86" s="106">
        <f t="shared" si="12"/>
        <v>-0.65402026973337546</v>
      </c>
      <c r="N86" s="1133">
        <v>7.106135190818666E-2</v>
      </c>
      <c r="O86" s="109">
        <f t="shared" si="13"/>
        <v>1.3281247940056375E-5</v>
      </c>
      <c r="P86" s="1137">
        <f t="shared" si="11"/>
        <v>5.6809543726057802E-4</v>
      </c>
      <c r="Q86" s="1131"/>
    </row>
    <row r="87" spans="2:17">
      <c r="B87" s="1132" t="s">
        <v>897</v>
      </c>
      <c r="C87" s="1133">
        <v>1.6742172929870129</v>
      </c>
      <c r="D87" s="1134">
        <v>0</v>
      </c>
      <c r="E87" s="1134">
        <v>0</v>
      </c>
      <c r="F87" s="1133">
        <v>1.97745393</v>
      </c>
      <c r="G87" s="1133">
        <v>1.567431</v>
      </c>
      <c r="H87" s="1135">
        <f t="shared" si="9"/>
        <v>-0.30323663701298709</v>
      </c>
      <c r="J87" s="1136">
        <v>0.25981419707809844</v>
      </c>
      <c r="K87" s="1135">
        <f t="shared" si="10"/>
        <v>-0.56305083409108558</v>
      </c>
      <c r="M87" s="106">
        <f t="shared" si="12"/>
        <v>-0.25166891141762132</v>
      </c>
      <c r="N87" s="1133">
        <v>2.9639181678298052</v>
      </c>
      <c r="O87" s="109">
        <f t="shared" si="13"/>
        <v>5.539513533579461E-4</v>
      </c>
      <c r="P87" s="1137">
        <f t="shared" si="11"/>
        <v>3.5085750355577966E-3</v>
      </c>
      <c r="Q87" s="1131"/>
    </row>
    <row r="88" spans="2:17">
      <c r="B88" s="1132" t="s">
        <v>898</v>
      </c>
      <c r="C88" s="1133">
        <v>0.51739999999999997</v>
      </c>
      <c r="D88" s="1134">
        <v>0</v>
      </c>
      <c r="E88" s="1134">
        <v>0</v>
      </c>
      <c r="F88" s="1133">
        <v>0.50563420999999997</v>
      </c>
      <c r="G88" s="1133">
        <v>0.49090699999999998</v>
      </c>
      <c r="H88" s="1135">
        <f>+C88+D88-E88-F88</f>
        <v>1.1765789999999998E-2</v>
      </c>
      <c r="J88" s="1136">
        <v>4.0450736799999998E-2</v>
      </c>
      <c r="K88" s="1135">
        <f>+H88-J88</f>
        <v>-2.86849468E-2</v>
      </c>
      <c r="M88" s="106">
        <f>+IF(ISERROR(K88/(F88+J88)),0,K88/(F88+J88))</f>
        <v>-5.2528360226903804E-2</v>
      </c>
      <c r="N88" s="1133">
        <v>0.92557410860413136</v>
      </c>
      <c r="O88" s="109">
        <f t="shared" si="13"/>
        <v>1.7298825441923433E-4</v>
      </c>
      <c r="P88" s="1137">
        <f>(M88^2*O88)*100</f>
        <v>4.7731414392333234E-5</v>
      </c>
      <c r="Q88" s="1131"/>
    </row>
    <row r="89" spans="2:17">
      <c r="B89" s="1132" t="s">
        <v>899</v>
      </c>
      <c r="C89" s="1133">
        <v>1.3</v>
      </c>
      <c r="D89" s="1134">
        <v>0</v>
      </c>
      <c r="E89" s="1134">
        <v>0</v>
      </c>
      <c r="F89" s="1133">
        <v>1.1165413416000001</v>
      </c>
      <c r="G89" s="1133">
        <v>0.79125599999999996</v>
      </c>
      <c r="H89" s="1135">
        <f t="shared" ref="H89:H112" si="14">+C89+D89-E89-F89</f>
        <v>0.18345865839999997</v>
      </c>
      <c r="J89" s="1136">
        <v>8.9323307328000007E-2</v>
      </c>
      <c r="K89" s="1135">
        <f t="shared" ref="K89:K112" si="15">+H89-J89</f>
        <v>9.4135351071999968E-2</v>
      </c>
      <c r="M89" s="106">
        <f>+IF(ISERROR(K89/(F89+J89)),0,K89/(F89+J89))</f>
        <v>7.8064607960508028E-2</v>
      </c>
      <c r="N89" s="1133">
        <v>1.4478750451293032</v>
      </c>
      <c r="O89" s="109">
        <f t="shared" si="13"/>
        <v>0</v>
      </c>
      <c r="P89" s="1137">
        <f t="shared" ref="P89:P112" si="16">(M89^2*O89)*100</f>
        <v>0</v>
      </c>
      <c r="Q89" s="1131"/>
    </row>
    <row r="90" spans="2:17">
      <c r="B90" s="1132" t="s">
        <v>900</v>
      </c>
      <c r="C90" s="1133">
        <v>0.42943689093061227</v>
      </c>
      <c r="D90" s="1134">
        <v>0</v>
      </c>
      <c r="E90" s="1134">
        <v>0</v>
      </c>
      <c r="F90" s="1133">
        <v>0.18567859440000001</v>
      </c>
      <c r="G90" s="1133">
        <v>0.118599</v>
      </c>
      <c r="H90" s="1135">
        <f t="shared" si="14"/>
        <v>0.24375829653061226</v>
      </c>
      <c r="J90" s="1136">
        <v>1.4854287552E-2</v>
      </c>
      <c r="K90" s="1135">
        <f t="shared" si="15"/>
        <v>0.22890400897861227</v>
      </c>
      <c r="M90" s="106">
        <f t="shared" ref="M90:M112" si="17">+IF(ISERROR(K90/(F90+J90)),0,K90/(F90+J90))</f>
        <v>1.1414786779626658</v>
      </c>
      <c r="N90" s="1133">
        <v>0.19056969511377361</v>
      </c>
      <c r="O90" s="109">
        <f t="shared" si="13"/>
        <v>0</v>
      </c>
      <c r="P90" s="1137">
        <f t="shared" si="16"/>
        <v>0</v>
      </c>
      <c r="Q90" s="1131"/>
    </row>
    <row r="91" spans="2:17">
      <c r="B91" s="1132" t="s">
        <v>901</v>
      </c>
      <c r="C91" s="1133">
        <v>5.6715000000000002E-2</v>
      </c>
      <c r="D91" s="1134">
        <v>0</v>
      </c>
      <c r="E91" s="1134">
        <v>0</v>
      </c>
      <c r="F91" s="1133">
        <v>3.2812710000000002E-2</v>
      </c>
      <c r="G91" s="1133">
        <v>3.1857000000000003E-2</v>
      </c>
      <c r="H91" s="1135">
        <f t="shared" si="14"/>
        <v>2.390229E-2</v>
      </c>
      <c r="J91" s="1136">
        <v>2.6250168000000003E-3</v>
      </c>
      <c r="K91" s="1135">
        <f t="shared" si="15"/>
        <v>2.1277273199999999E-2</v>
      </c>
      <c r="M91" s="106">
        <f t="shared" si="17"/>
        <v>0.60041303777983857</v>
      </c>
      <c r="N91" s="1133">
        <v>8.2858849129567078E-2</v>
      </c>
      <c r="O91" s="109">
        <f t="shared" si="13"/>
        <v>0</v>
      </c>
      <c r="P91" s="1137">
        <f t="shared" si="16"/>
        <v>0</v>
      </c>
      <c r="Q91" s="1131"/>
    </row>
    <row r="92" spans="2:17">
      <c r="B92" s="1132" t="s">
        <v>902</v>
      </c>
      <c r="C92" s="1133">
        <v>0.35322499999999996</v>
      </c>
      <c r="D92" s="1134">
        <v>0</v>
      </c>
      <c r="E92" s="1134">
        <v>0</v>
      </c>
      <c r="F92" s="1133">
        <v>0.31597515999999998</v>
      </c>
      <c r="G92" s="1133">
        <v>0.30677199999999999</v>
      </c>
      <c r="H92" s="1135">
        <f t="shared" si="14"/>
        <v>3.7249839999999979E-2</v>
      </c>
      <c r="J92" s="1136">
        <v>2.5278012799999999E-2</v>
      </c>
      <c r="K92" s="1135">
        <f t="shared" si="15"/>
        <v>1.1971827199999979E-2</v>
      </c>
      <c r="M92" s="106">
        <f t="shared" si="17"/>
        <v>3.5081951331823569E-2</v>
      </c>
      <c r="N92" s="1133">
        <v>0.51827397788886076</v>
      </c>
      <c r="O92" s="109">
        <f t="shared" si="13"/>
        <v>0</v>
      </c>
      <c r="P92" s="1137">
        <f t="shared" si="16"/>
        <v>0</v>
      </c>
      <c r="Q92" s="1131"/>
    </row>
    <row r="93" spans="2:17">
      <c r="B93" s="1132" t="s">
        <v>903</v>
      </c>
      <c r="C93" s="1133">
        <v>4.8849480326530616E-2</v>
      </c>
      <c r="D93" s="1134">
        <v>0</v>
      </c>
      <c r="E93" s="1134">
        <v>0</v>
      </c>
      <c r="F93" s="1133">
        <v>5.0715964000000002E-2</v>
      </c>
      <c r="G93" s="1133">
        <v>2.8964E-2</v>
      </c>
      <c r="H93" s="1135">
        <f t="shared" si="14"/>
        <v>-1.8664836734693865E-3</v>
      </c>
      <c r="J93" s="1136">
        <v>4.0572771200000001E-3</v>
      </c>
      <c r="K93" s="1135">
        <f t="shared" si="15"/>
        <v>-5.9237607934693867E-3</v>
      </c>
      <c r="M93" s="106">
        <f t="shared" si="17"/>
        <v>-0.10815063473222829</v>
      </c>
      <c r="N93" s="1133">
        <v>9.0982265710897195E-2</v>
      </c>
      <c r="O93" s="109">
        <f t="shared" si="13"/>
        <v>1.7004433445281889E-5</v>
      </c>
      <c r="P93" s="1137">
        <f t="shared" si="16"/>
        <v>1.9889337253855423E-5</v>
      </c>
      <c r="Q93" s="1131"/>
    </row>
    <row r="94" spans="2:17">
      <c r="B94" s="1132" t="s">
        <v>904</v>
      </c>
      <c r="C94" s="1133">
        <v>0.04</v>
      </c>
      <c r="D94" s="1134">
        <v>0</v>
      </c>
      <c r="E94" s="1134">
        <v>0</v>
      </c>
      <c r="F94" s="1133">
        <v>8.8990699999999985E-3</v>
      </c>
      <c r="G94" s="1133">
        <v>7.6689999999999996E-3</v>
      </c>
      <c r="H94" s="1135">
        <f t="shared" si="14"/>
        <v>3.1100930000000002E-2</v>
      </c>
      <c r="J94" s="1136">
        <v>7.1192559999999985E-4</v>
      </c>
      <c r="K94" s="1135">
        <f t="shared" si="15"/>
        <v>3.0389004400000003E-2</v>
      </c>
      <c r="M94" s="106">
        <f t="shared" si="17"/>
        <v>3.1618997307625452</v>
      </c>
      <c r="N94" s="1133">
        <v>5.3614549436778701E-2</v>
      </c>
      <c r="O94" s="109">
        <f t="shared" si="13"/>
        <v>0</v>
      </c>
      <c r="P94" s="1137">
        <f t="shared" si="16"/>
        <v>0</v>
      </c>
      <c r="Q94" s="1131"/>
    </row>
    <row r="95" spans="2:17">
      <c r="B95" s="1132" t="s">
        <v>905</v>
      </c>
      <c r="C95" s="1133">
        <v>0.61610998463235289</v>
      </c>
      <c r="D95" s="1134">
        <v>0</v>
      </c>
      <c r="E95" s="1134">
        <v>0</v>
      </c>
      <c r="F95" s="1133">
        <v>0.4017</v>
      </c>
      <c r="G95" s="1133">
        <v>0.39</v>
      </c>
      <c r="H95" s="1135">
        <f t="shared" si="14"/>
        <v>0.21440998463235289</v>
      </c>
      <c r="J95" s="1136">
        <v>5.0853152465477454E-2</v>
      </c>
      <c r="K95" s="1135">
        <f t="shared" si="15"/>
        <v>0.16355683216687544</v>
      </c>
      <c r="M95" s="106">
        <f t="shared" si="17"/>
        <v>0.36140911023562522</v>
      </c>
      <c r="N95" s="1133">
        <v>0.49601015857178549</v>
      </c>
      <c r="O95" s="109">
        <f t="shared" si="13"/>
        <v>0</v>
      </c>
      <c r="P95" s="1137">
        <f t="shared" si="16"/>
        <v>0</v>
      </c>
      <c r="Q95" s="1131"/>
    </row>
    <row r="96" spans="2:17">
      <c r="B96" s="1132" t="s">
        <v>906</v>
      </c>
      <c r="C96" s="1133">
        <v>0.35196742151428567</v>
      </c>
      <c r="D96" s="1134">
        <v>0</v>
      </c>
      <c r="E96" s="1134">
        <v>0</v>
      </c>
      <c r="F96" s="1133">
        <v>0.15334934580000001</v>
      </c>
      <c r="G96" s="1133">
        <v>0.111942</v>
      </c>
      <c r="H96" s="1135">
        <f t="shared" si="14"/>
        <v>0.19861807571428566</v>
      </c>
      <c r="J96" s="1136">
        <v>1.2267947664E-2</v>
      </c>
      <c r="K96" s="1135">
        <f t="shared" si="15"/>
        <v>0.18635012805028567</v>
      </c>
      <c r="M96" s="106">
        <f t="shared" si="17"/>
        <v>1.1251852035052869</v>
      </c>
      <c r="N96" s="1133">
        <v>0.32006261330440616</v>
      </c>
      <c r="O96" s="109">
        <f t="shared" si="13"/>
        <v>0</v>
      </c>
      <c r="P96" s="1137">
        <f t="shared" si="16"/>
        <v>0</v>
      </c>
      <c r="Q96" s="1131"/>
    </row>
    <row r="97" spans="2:17">
      <c r="B97" s="1132" t="s">
        <v>907</v>
      </c>
      <c r="C97" s="1133">
        <v>0.60478661562608693</v>
      </c>
      <c r="D97" s="1134">
        <v>0</v>
      </c>
      <c r="E97" s="1134">
        <v>0</v>
      </c>
      <c r="F97" s="1133">
        <v>0.48461294000000005</v>
      </c>
      <c r="G97" s="1133">
        <v>0.47049800000000003</v>
      </c>
      <c r="H97" s="1135">
        <f t="shared" si="14"/>
        <v>0.12017367562608688</v>
      </c>
      <c r="J97" s="1136">
        <v>3.8769035200000003E-2</v>
      </c>
      <c r="K97" s="1135">
        <f t="shared" si="15"/>
        <v>8.1404640426086888E-2</v>
      </c>
      <c r="M97" s="106">
        <f t="shared" si="17"/>
        <v>0.15553581186088747</v>
      </c>
      <c r="N97" s="1133">
        <v>0.58813536048829962</v>
      </c>
      <c r="O97" s="109">
        <f t="shared" si="13"/>
        <v>0</v>
      </c>
      <c r="P97" s="1137">
        <f t="shared" si="16"/>
        <v>0</v>
      </c>
      <c r="Q97" s="1131"/>
    </row>
    <row r="98" spans="2:17">
      <c r="B98" s="1132" t="s">
        <v>908</v>
      </c>
      <c r="C98" s="1133">
        <v>4.2627409999999992</v>
      </c>
      <c r="D98" s="1134">
        <v>0</v>
      </c>
      <c r="E98" s="1134">
        <v>0</v>
      </c>
      <c r="F98" s="1133">
        <v>3.9359606300000003</v>
      </c>
      <c r="G98" s="1133">
        <v>3.8213210000000002</v>
      </c>
      <c r="H98" s="1135">
        <f t="shared" si="14"/>
        <v>0.32678036999999893</v>
      </c>
      <c r="J98" s="1136">
        <v>0.31487685040000002</v>
      </c>
      <c r="K98" s="1135">
        <f t="shared" si="15"/>
        <v>1.1903519599998913E-2</v>
      </c>
      <c r="M98" s="106">
        <f t="shared" si="17"/>
        <v>2.8002763349303113E-3</v>
      </c>
      <c r="N98" s="1133">
        <v>5.4325933140372511</v>
      </c>
      <c r="O98" s="109">
        <f t="shared" si="13"/>
        <v>0</v>
      </c>
      <c r="P98" s="1137">
        <f t="shared" si="16"/>
        <v>0</v>
      </c>
      <c r="Q98" s="1131"/>
    </row>
    <row r="99" spans="2:17">
      <c r="B99" s="1132" t="s">
        <v>909</v>
      </c>
      <c r="C99" s="1133">
        <v>6.8677668805494507</v>
      </c>
      <c r="D99" s="1134">
        <v>0</v>
      </c>
      <c r="E99" s="1134">
        <v>0</v>
      </c>
      <c r="F99" s="1133">
        <v>6.6184514300000004</v>
      </c>
      <c r="G99" s="1133">
        <v>6.425681</v>
      </c>
      <c r="H99" s="1135">
        <f t="shared" si="14"/>
        <v>0.24931545054945037</v>
      </c>
      <c r="J99" s="1136">
        <v>0.52947611440000009</v>
      </c>
      <c r="K99" s="1135">
        <f t="shared" si="15"/>
        <v>-0.28016066385054972</v>
      </c>
      <c r="M99" s="106">
        <f t="shared" si="17"/>
        <v>-3.9194670358688767E-2</v>
      </c>
      <c r="N99" s="1133">
        <v>14.301705631692171</v>
      </c>
      <c r="O99" s="109">
        <f t="shared" si="13"/>
        <v>2.6729648868152431E-3</v>
      </c>
      <c r="P99" s="1137">
        <f t="shared" si="16"/>
        <v>4.1062679575853424E-4</v>
      </c>
      <c r="Q99" s="1131"/>
    </row>
    <row r="100" spans="2:17">
      <c r="B100" s="1132" t="s">
        <v>910</v>
      </c>
      <c r="C100" s="1133">
        <v>0.59699999999999998</v>
      </c>
      <c r="D100" s="1134">
        <v>0</v>
      </c>
      <c r="E100" s="1134">
        <v>0</v>
      </c>
      <c r="F100" s="1133">
        <v>0.65315287000000011</v>
      </c>
      <c r="G100" s="1133">
        <v>0.63412900000000005</v>
      </c>
      <c r="H100" s="1135">
        <f t="shared" si="14"/>
        <v>-5.6152870000000132E-2</v>
      </c>
      <c r="J100" s="1136">
        <v>5.2252229600000012E-2</v>
      </c>
      <c r="K100" s="1135">
        <f t="shared" si="15"/>
        <v>-0.10840509960000014</v>
      </c>
      <c r="M100" s="106">
        <f t="shared" si="17"/>
        <v>-0.15367779402427234</v>
      </c>
      <c r="N100" s="1133">
        <v>0.99158760171320171</v>
      </c>
      <c r="O100" s="109">
        <f t="shared" si="13"/>
        <v>1.8532606598386007E-4</v>
      </c>
      <c r="P100" s="1137">
        <f t="shared" si="16"/>
        <v>4.3768205657093392E-4</v>
      </c>
      <c r="Q100" s="1131"/>
    </row>
    <row r="101" spans="2:17">
      <c r="B101" s="1132" t="s">
        <v>911</v>
      </c>
      <c r="C101" s="1133">
        <v>0.58704000000000001</v>
      </c>
      <c r="D101" s="1134">
        <v>0</v>
      </c>
      <c r="E101" s="1134">
        <v>0</v>
      </c>
      <c r="F101" s="1133">
        <v>0.38389439000000003</v>
      </c>
      <c r="G101" s="1133">
        <v>0.37271300000000002</v>
      </c>
      <c r="H101" s="1135">
        <f t="shared" si="14"/>
        <v>0.20314560999999998</v>
      </c>
      <c r="J101" s="1136">
        <v>3.0711551200000003E-2</v>
      </c>
      <c r="K101" s="1135">
        <f t="shared" si="15"/>
        <v>0.17243405879999998</v>
      </c>
      <c r="M101" s="106">
        <f t="shared" si="17"/>
        <v>0.41589866826539329</v>
      </c>
      <c r="N101" s="1133">
        <v>0.75329910827824631</v>
      </c>
      <c r="O101" s="109">
        <f t="shared" si="13"/>
        <v>0</v>
      </c>
      <c r="P101" s="1137">
        <f t="shared" si="16"/>
        <v>0</v>
      </c>
      <c r="Q101" s="1131"/>
    </row>
    <row r="102" spans="2:17">
      <c r="B102" s="1132" t="s">
        <v>912</v>
      </c>
      <c r="C102" s="1133">
        <v>0.39800000000000002</v>
      </c>
      <c r="D102" s="1134">
        <v>0</v>
      </c>
      <c r="E102" s="1134">
        <v>0</v>
      </c>
      <c r="F102" s="1133">
        <v>0.33031894000000001</v>
      </c>
      <c r="G102" s="1133">
        <v>0.32069799999999998</v>
      </c>
      <c r="H102" s="1135">
        <f t="shared" si="14"/>
        <v>6.7681060000000015E-2</v>
      </c>
      <c r="J102" s="1136">
        <v>2.6425515199999999E-2</v>
      </c>
      <c r="K102" s="1135">
        <f t="shared" si="15"/>
        <v>4.1255544800000016E-2</v>
      </c>
      <c r="M102" s="106">
        <f t="shared" si="17"/>
        <v>0.11564452985505019</v>
      </c>
      <c r="N102" s="1133">
        <v>0.86475662940104803</v>
      </c>
      <c r="O102" s="109">
        <f t="shared" si="13"/>
        <v>0</v>
      </c>
      <c r="P102" s="1137">
        <f t="shared" si="16"/>
        <v>0</v>
      </c>
      <c r="Q102" s="1131"/>
    </row>
    <row r="103" spans="2:17">
      <c r="B103" s="1132" t="s">
        <v>913</v>
      </c>
      <c r="C103" s="1133">
        <v>5.7371999999999999E-2</v>
      </c>
      <c r="D103" s="1134">
        <v>0</v>
      </c>
      <c r="E103" s="1134">
        <v>0</v>
      </c>
      <c r="F103" s="1133">
        <v>1.9780119999999998E-2</v>
      </c>
      <c r="G103" s="1133">
        <v>1.9203999999999999E-2</v>
      </c>
      <c r="H103" s="1135">
        <f t="shared" si="14"/>
        <v>3.7591880000000001E-2</v>
      </c>
      <c r="J103" s="1136">
        <v>1.5824095999999999E-3</v>
      </c>
      <c r="K103" s="1135">
        <f t="shared" si="15"/>
        <v>3.60094704E-2</v>
      </c>
      <c r="M103" s="106">
        <f t="shared" si="17"/>
        <v>1.6856370043367899</v>
      </c>
      <c r="N103" s="1133">
        <v>0.11530088392013974</v>
      </c>
      <c r="O103" s="109">
        <f t="shared" si="13"/>
        <v>0</v>
      </c>
      <c r="P103" s="1137">
        <f t="shared" si="16"/>
        <v>0</v>
      </c>
      <c r="Q103" s="1131"/>
    </row>
    <row r="104" spans="2:17">
      <c r="B104" s="1132" t="s">
        <v>914</v>
      </c>
      <c r="C104" s="1133">
        <v>1.4508389875E-2</v>
      </c>
      <c r="D104" s="1134">
        <v>0</v>
      </c>
      <c r="E104" s="1134">
        <v>0</v>
      </c>
      <c r="F104" s="1133">
        <v>2.0662418000000002E-2</v>
      </c>
      <c r="G104" s="1133">
        <v>1.2460000000000001E-2</v>
      </c>
      <c r="H104" s="1135">
        <f t="shared" si="14"/>
        <v>-6.1540281250000023E-3</v>
      </c>
      <c r="J104" s="1136">
        <v>1.6529934400000001E-3</v>
      </c>
      <c r="K104" s="1135">
        <f t="shared" si="15"/>
        <v>-7.8070215650000024E-3</v>
      </c>
      <c r="M104" s="106">
        <f t="shared" si="17"/>
        <v>-0.34984887399414233</v>
      </c>
      <c r="N104" s="1133">
        <v>6.9180530352083852E-2</v>
      </c>
      <c r="O104" s="109">
        <f t="shared" si="13"/>
        <v>1.2929725533757682E-5</v>
      </c>
      <c r="P104" s="1137">
        <f t="shared" si="16"/>
        <v>1.582523860744491E-4</v>
      </c>
      <c r="Q104" s="1131"/>
    </row>
    <row r="105" spans="2:17">
      <c r="B105" s="1132" t="s">
        <v>915</v>
      </c>
      <c r="C105" s="1133">
        <v>0.03</v>
      </c>
      <c r="D105" s="1134">
        <v>0</v>
      </c>
      <c r="E105" s="1134">
        <v>0</v>
      </c>
      <c r="F105" s="1133">
        <v>1.2645763200000002E-2</v>
      </c>
      <c r="G105" s="1133">
        <v>7.3080000000000003E-3</v>
      </c>
      <c r="H105" s="1135">
        <f t="shared" si="14"/>
        <v>1.7354236799999999E-2</v>
      </c>
      <c r="J105" s="1136">
        <v>1.0116610560000001E-3</v>
      </c>
      <c r="K105" s="1135">
        <f t="shared" si="15"/>
        <v>1.6342575743999999E-2</v>
      </c>
      <c r="M105" s="106">
        <f t="shared" si="17"/>
        <v>1.1966074596255112</v>
      </c>
      <c r="N105" s="1133">
        <v>5.5728760561400865E-2</v>
      </c>
      <c r="O105" s="109">
        <f t="shared" si="13"/>
        <v>0</v>
      </c>
      <c r="P105" s="1137">
        <f t="shared" si="16"/>
        <v>0</v>
      </c>
      <c r="Q105" s="1131"/>
    </row>
    <row r="106" spans="2:17">
      <c r="B106" s="1132" t="s">
        <v>916</v>
      </c>
      <c r="C106" s="1133">
        <v>0</v>
      </c>
      <c r="D106" s="1134">
        <v>0</v>
      </c>
      <c r="E106" s="1134">
        <v>0</v>
      </c>
      <c r="F106" s="1133">
        <v>2.7087569999999998E-2</v>
      </c>
      <c r="G106" s="1133">
        <v>1.5618999999999999E-2</v>
      </c>
      <c r="H106" s="1135">
        <f t="shared" si="14"/>
        <v>-2.7087569999999998E-2</v>
      </c>
      <c r="J106" s="1136">
        <v>2.7429476666129878E-3</v>
      </c>
      <c r="K106" s="1135">
        <f t="shared" si="15"/>
        <v>-2.9830517666612988E-2</v>
      </c>
      <c r="M106" s="106">
        <f t="shared" si="17"/>
        <v>-1</v>
      </c>
      <c r="N106" s="1133">
        <v>3.8433627973379916E-2</v>
      </c>
      <c r="O106" s="109">
        <f t="shared" si="13"/>
        <v>7.1831808520876007E-6</v>
      </c>
      <c r="P106" s="1137">
        <f t="shared" si="16"/>
        <v>7.1831808520876009E-4</v>
      </c>
      <c r="Q106" s="1131"/>
    </row>
    <row r="107" spans="2:17">
      <c r="B107" s="1132" t="s">
        <v>917</v>
      </c>
      <c r="C107" s="1133">
        <v>1.4999999999999999E-2</v>
      </c>
      <c r="D107" s="1134">
        <v>0</v>
      </c>
      <c r="E107" s="1134">
        <v>0</v>
      </c>
      <c r="F107" s="1133">
        <v>4.0324499999999999E-3</v>
      </c>
      <c r="G107" s="1133">
        <v>3.9150000000000001E-3</v>
      </c>
      <c r="H107" s="1135">
        <f t="shared" si="14"/>
        <v>1.096755E-2</v>
      </c>
      <c r="J107" s="1136">
        <v>3.2259600000000003E-4</v>
      </c>
      <c r="K107" s="1135">
        <f t="shared" si="15"/>
        <v>1.0644954E-2</v>
      </c>
      <c r="M107" s="106">
        <f t="shared" si="17"/>
        <v>2.444280496692802</v>
      </c>
      <c r="N107" s="1133">
        <v>1.9401563014936087E-2</v>
      </c>
      <c r="O107" s="109">
        <f t="shared" si="13"/>
        <v>0</v>
      </c>
      <c r="P107" s="1137">
        <f t="shared" si="16"/>
        <v>0</v>
      </c>
      <c r="Q107" s="1131"/>
    </row>
    <row r="108" spans="2:17">
      <c r="B108" s="1132" t="s">
        <v>918</v>
      </c>
      <c r="C108" s="1133">
        <v>1.3742044010624999</v>
      </c>
      <c r="D108" s="1134">
        <v>0</v>
      </c>
      <c r="E108" s="1134">
        <v>0</v>
      </c>
      <c r="F108" s="1133">
        <v>1.5102623744999999</v>
      </c>
      <c r="G108" s="1133">
        <v>1.275021</v>
      </c>
      <c r="H108" s="1135">
        <f t="shared" si="14"/>
        <v>-0.13605797343750003</v>
      </c>
      <c r="J108" s="1136">
        <v>0.12082098996</v>
      </c>
      <c r="K108" s="1135">
        <f t="shared" si="15"/>
        <v>-0.25687896339750005</v>
      </c>
      <c r="M108" s="106">
        <f t="shared" si="17"/>
        <v>-0.15748978194167565</v>
      </c>
      <c r="N108" s="1133">
        <v>2.8776142908488387</v>
      </c>
      <c r="O108" s="109">
        <f t="shared" si="13"/>
        <v>5.3782130294948653E-4</v>
      </c>
      <c r="P108" s="1137">
        <f t="shared" si="16"/>
        <v>1.3339598673269824E-3</v>
      </c>
      <c r="Q108" s="1131"/>
    </row>
    <row r="109" spans="2:17">
      <c r="B109" s="1132" t="s">
        <v>919</v>
      </c>
      <c r="C109" s="1133">
        <v>0.51831847208333326</v>
      </c>
      <c r="D109" s="1134">
        <v>0</v>
      </c>
      <c r="E109" s="1134">
        <v>0</v>
      </c>
      <c r="F109" s="1133">
        <v>0.57217267000000005</v>
      </c>
      <c r="G109" s="1133">
        <v>0.41278900000000002</v>
      </c>
      <c r="H109" s="1135">
        <f t="shared" si="14"/>
        <v>-5.3854197916666791E-2</v>
      </c>
      <c r="J109" s="1136">
        <v>4.5773813600000005E-2</v>
      </c>
      <c r="K109" s="1135">
        <f t="shared" si="15"/>
        <v>-9.9628011516666795E-2</v>
      </c>
      <c r="M109" s="106">
        <f t="shared" si="17"/>
        <v>-0.16122433602382391</v>
      </c>
      <c r="N109" s="1133">
        <v>0.49876488552697923</v>
      </c>
      <c r="O109" s="109">
        <f t="shared" si="13"/>
        <v>9.3218323752640285E-5</v>
      </c>
      <c r="P109" s="1137">
        <f t="shared" si="16"/>
        <v>2.4230505988059094E-4</v>
      </c>
      <c r="Q109" s="1131"/>
    </row>
    <row r="110" spans="2:17">
      <c r="B110" s="1132" t="s">
        <v>920</v>
      </c>
      <c r="C110" s="1133">
        <v>0.86233972952500004</v>
      </c>
      <c r="D110" s="1134">
        <v>0</v>
      </c>
      <c r="E110" s="1134">
        <v>0</v>
      </c>
      <c r="F110" s="1133">
        <v>0.34344732</v>
      </c>
      <c r="G110" s="1133">
        <v>0.33344400000000002</v>
      </c>
      <c r="H110" s="1135">
        <f t="shared" si="14"/>
        <v>0.51889240952500004</v>
      </c>
      <c r="J110" s="1136">
        <v>2.74757856E-2</v>
      </c>
      <c r="K110" s="1135">
        <f t="shared" si="15"/>
        <v>0.49141662392500002</v>
      </c>
      <c r="M110" s="106">
        <f t="shared" si="17"/>
        <v>1.3248477016013638</v>
      </c>
      <c r="N110" s="1133">
        <v>1.1400340240616669</v>
      </c>
      <c r="O110" s="109">
        <f t="shared" si="13"/>
        <v>0</v>
      </c>
      <c r="P110" s="1137">
        <f t="shared" si="16"/>
        <v>0</v>
      </c>
      <c r="Q110" s="1131"/>
    </row>
    <row r="111" spans="2:17">
      <c r="B111" s="1132" t="s">
        <v>921</v>
      </c>
      <c r="C111" s="1133">
        <v>5.8026287018608693</v>
      </c>
      <c r="D111" s="1134">
        <v>0</v>
      </c>
      <c r="E111" s="1134">
        <v>0</v>
      </c>
      <c r="F111" s="1133">
        <v>3.6318788799999999</v>
      </c>
      <c r="G111" s="1133">
        <v>3.5260959999999999</v>
      </c>
      <c r="H111" s="1135">
        <f t="shared" si="14"/>
        <v>2.1707498218608694</v>
      </c>
      <c r="J111" s="1136">
        <v>0.29055031040000001</v>
      </c>
      <c r="K111" s="1135">
        <f t="shared" si="15"/>
        <v>1.8801995114608694</v>
      </c>
      <c r="M111" s="106">
        <f t="shared" si="17"/>
        <v>0.47934568610252748</v>
      </c>
      <c r="N111" s="1133">
        <v>9.2475122744943921</v>
      </c>
      <c r="O111" s="109">
        <f t="shared" si="13"/>
        <v>0</v>
      </c>
      <c r="P111" s="1137">
        <f t="shared" si="16"/>
        <v>0</v>
      </c>
      <c r="Q111" s="1131"/>
    </row>
    <row r="112" spans="2:17">
      <c r="B112" s="1132" t="s">
        <v>922</v>
      </c>
      <c r="C112" s="1133">
        <v>2.1097685714583334</v>
      </c>
      <c r="D112" s="1134">
        <v>0</v>
      </c>
      <c r="E112" s="1134">
        <v>0</v>
      </c>
      <c r="F112" s="1133">
        <v>1.8242845000000001</v>
      </c>
      <c r="G112" s="1133">
        <v>1.77115</v>
      </c>
      <c r="H112" s="1135">
        <f t="shared" si="14"/>
        <v>0.28548407145833332</v>
      </c>
      <c r="J112" s="1136">
        <v>0.14594276</v>
      </c>
      <c r="K112" s="1135">
        <f t="shared" si="15"/>
        <v>0.13954131145833332</v>
      </c>
      <c r="M112" s="106">
        <f t="shared" si="17"/>
        <v>7.0824982625777549E-2</v>
      </c>
      <c r="N112" s="1133">
        <v>4.2743685604594965</v>
      </c>
      <c r="O112" s="109">
        <f t="shared" si="13"/>
        <v>0</v>
      </c>
      <c r="P112" s="1137">
        <f t="shared" si="16"/>
        <v>0</v>
      </c>
      <c r="Q112" s="1131"/>
    </row>
    <row r="113" spans="2:17">
      <c r="B113" s="1132" t="s">
        <v>923</v>
      </c>
      <c r="C113" s="1133">
        <v>2.9850000000000002E-3</v>
      </c>
      <c r="D113" s="1134">
        <v>0</v>
      </c>
      <c r="E113" s="1134">
        <v>0</v>
      </c>
      <c r="F113" s="1133">
        <v>1.5810499999999999E-3</v>
      </c>
      <c r="G113" s="1133">
        <v>1.5349999999999999E-3</v>
      </c>
      <c r="H113" s="1135">
        <f>+C113+D113-E113-F113</f>
        <v>1.4039500000000004E-3</v>
      </c>
      <c r="J113" s="1136">
        <v>1.26484E-4</v>
      </c>
      <c r="K113" s="1135">
        <f>+H113-J113</f>
        <v>1.2774660000000003E-3</v>
      </c>
      <c r="M113" s="106">
        <f>+IF(ISERROR(K113/(F113+J113)),0,K113/(F113+J113))</f>
        <v>0.7481350298149263</v>
      </c>
      <c r="N113" s="1133">
        <v>1.6193665114512312E-2</v>
      </c>
      <c r="O113" s="109">
        <f t="shared" si="13"/>
        <v>0</v>
      </c>
      <c r="P113" s="1137">
        <f>(M113^2*O113)*100</f>
        <v>0</v>
      </c>
      <c r="Q113" s="1131"/>
    </row>
    <row r="114" spans="2:17">
      <c r="B114" s="1132" t="s">
        <v>924</v>
      </c>
      <c r="C114" s="1133">
        <v>1.2E-2</v>
      </c>
      <c r="D114" s="1134">
        <v>0</v>
      </c>
      <c r="E114" s="1134">
        <v>0</v>
      </c>
      <c r="F114" s="1133">
        <v>1.48811104E-2</v>
      </c>
      <c r="G114" s="1133">
        <v>7.8519999999999996E-3</v>
      </c>
      <c r="H114" s="1135">
        <f t="shared" ref="H114:H137" si="18">+C114+D114-E114-F114</f>
        <v>-2.8811103999999994E-3</v>
      </c>
      <c r="J114" s="1136">
        <v>1.1904888319999999E-3</v>
      </c>
      <c r="K114" s="1135">
        <f t="shared" ref="K114:K137" si="19">+H114-J114</f>
        <v>-4.0715992319999995E-3</v>
      </c>
      <c r="M114" s="106">
        <f>+IF(ISERROR(K114/(F114+J114)),0,K114/(F114+J114))</f>
        <v>-0.25334126201287299</v>
      </c>
      <c r="N114" s="1133">
        <v>2.7529230694670937E-2</v>
      </c>
      <c r="O114" s="109">
        <f t="shared" si="13"/>
        <v>5.145167220113264E-6</v>
      </c>
      <c r="P114" s="1137">
        <f t="shared" ref="P114:P137" si="20">(M114^2*O114)*100</f>
        <v>3.3022606795896153E-5</v>
      </c>
      <c r="Q114" s="1131"/>
    </row>
    <row r="115" spans="2:17">
      <c r="B115" s="1132" t="s">
        <v>925</v>
      </c>
      <c r="C115" s="1133">
        <v>0.61599999999999999</v>
      </c>
      <c r="D115" s="1134">
        <v>0</v>
      </c>
      <c r="E115" s="1134">
        <v>0</v>
      </c>
      <c r="F115" s="1133">
        <v>0.59570643279999991</v>
      </c>
      <c r="G115" s="1133">
        <v>0.49013200000000001</v>
      </c>
      <c r="H115" s="1135">
        <f t="shared" si="18"/>
        <v>2.0293567200000084E-2</v>
      </c>
      <c r="J115" s="1136">
        <v>5.0934450299292937E-2</v>
      </c>
      <c r="K115" s="1135">
        <f t="shared" si="19"/>
        <v>-3.0640883099292852E-2</v>
      </c>
      <c r="M115" s="106">
        <f t="shared" ref="M115:M137" si="21">+IF(ISERROR(K115/(F115+J115)),0,K115/(F115+J115))</f>
        <v>-4.7384698215234701E-2</v>
      </c>
      <c r="N115" s="1133">
        <v>1.0234396352371784</v>
      </c>
      <c r="O115" s="109">
        <f t="shared" si="13"/>
        <v>1.9127915783009311E-4</v>
      </c>
      <c r="P115" s="1137">
        <f t="shared" si="20"/>
        <v>4.2948093412802141E-5</v>
      </c>
      <c r="Q115" s="1131"/>
    </row>
    <row r="116" spans="2:17">
      <c r="B116" s="1132" t="s">
        <v>926</v>
      </c>
      <c r="C116" s="1133">
        <v>3.0000000000000001E-3</v>
      </c>
      <c r="D116" s="1134">
        <v>0</v>
      </c>
      <c r="E116" s="1134">
        <v>0</v>
      </c>
      <c r="F116" s="1133">
        <v>3.1565380000000004E-3</v>
      </c>
      <c r="G116" s="1133">
        <v>1.3929999999999999E-3</v>
      </c>
      <c r="H116" s="1135">
        <f t="shared" si="18"/>
        <v>-1.5653800000000034E-4</v>
      </c>
      <c r="J116" s="1136">
        <v>2.5252304000000005E-4</v>
      </c>
      <c r="K116" s="1135">
        <f t="shared" si="19"/>
        <v>-4.0906104000000039E-4</v>
      </c>
      <c r="M116" s="106">
        <f t="shared" si="21"/>
        <v>-0.11999228972444576</v>
      </c>
      <c r="N116" s="1133">
        <v>9.7161990687073888E-3</v>
      </c>
      <c r="O116" s="109">
        <f t="shared" si="13"/>
        <v>1.8159413718046812E-6</v>
      </c>
      <c r="P116" s="1137">
        <f t="shared" si="20"/>
        <v>2.6146195523934054E-6</v>
      </c>
      <c r="Q116" s="1131"/>
    </row>
    <row r="117" spans="2:17">
      <c r="B117" s="1132" t="s">
        <v>927</v>
      </c>
      <c r="C117" s="1133">
        <v>1</v>
      </c>
      <c r="D117" s="1134">
        <v>0</v>
      </c>
      <c r="E117" s="1134">
        <v>0</v>
      </c>
      <c r="F117" s="1133">
        <v>1.1641505700000001</v>
      </c>
      <c r="G117" s="1133">
        <v>0.94771899999999998</v>
      </c>
      <c r="H117" s="1135">
        <f t="shared" si="18"/>
        <v>-0.16415057000000011</v>
      </c>
      <c r="J117" s="1136">
        <v>0.1429307621552855</v>
      </c>
      <c r="K117" s="1135">
        <f t="shared" si="19"/>
        <v>-0.3070813321552856</v>
      </c>
      <c r="M117" s="106">
        <f t="shared" si="21"/>
        <v>-0.23493666736784463</v>
      </c>
      <c r="N117" s="1133">
        <v>1.6889992714436344</v>
      </c>
      <c r="O117" s="109">
        <f t="shared" si="13"/>
        <v>3.1567114179871373E-4</v>
      </c>
      <c r="P117" s="1137">
        <f t="shared" si="20"/>
        <v>1.7423543698374319E-3</v>
      </c>
      <c r="Q117" s="1131"/>
    </row>
    <row r="118" spans="2:17">
      <c r="B118" s="1132" t="s">
        <v>928</v>
      </c>
      <c r="C118" s="1133">
        <v>1.2513000000000001</v>
      </c>
      <c r="D118" s="1134">
        <v>0</v>
      </c>
      <c r="E118" s="1134">
        <v>0</v>
      </c>
      <c r="F118" s="1133">
        <v>0.91940272000000001</v>
      </c>
      <c r="G118" s="1133">
        <v>0.89262399999999997</v>
      </c>
      <c r="H118" s="1135">
        <f t="shared" si="18"/>
        <v>0.33189728000000007</v>
      </c>
      <c r="J118" s="1136">
        <v>7.3552217599999997E-2</v>
      </c>
      <c r="K118" s="1135">
        <f t="shared" si="19"/>
        <v>0.2583450624000001</v>
      </c>
      <c r="M118" s="106">
        <f t="shared" si="21"/>
        <v>0.26017803287672592</v>
      </c>
      <c r="N118" s="1133">
        <v>1.9009901515290071</v>
      </c>
      <c r="O118" s="109">
        <f t="shared" si="13"/>
        <v>0</v>
      </c>
      <c r="P118" s="1137">
        <f t="shared" si="20"/>
        <v>0</v>
      </c>
      <c r="Q118" s="1131"/>
    </row>
    <row r="119" spans="2:17">
      <c r="B119" s="1132" t="s">
        <v>929</v>
      </c>
      <c r="C119" s="1133">
        <v>0.33943704242247186</v>
      </c>
      <c r="D119" s="1134">
        <v>0</v>
      </c>
      <c r="E119" s="1134">
        <v>0</v>
      </c>
      <c r="F119" s="1133">
        <v>1.0449810204000001</v>
      </c>
      <c r="G119" s="1133">
        <v>0.83159400000000006</v>
      </c>
      <c r="H119" s="1135">
        <f t="shared" si="18"/>
        <v>-0.70554397797752821</v>
      </c>
      <c r="J119" s="1136">
        <v>0.10804639196143424</v>
      </c>
      <c r="K119" s="1135">
        <f t="shared" si="19"/>
        <v>-0.8135903699389625</v>
      </c>
      <c r="M119" s="106">
        <f t="shared" si="21"/>
        <v>-0.70561233949564584</v>
      </c>
      <c r="N119" s="1133">
        <v>1.4137069644969251</v>
      </c>
      <c r="O119" s="109">
        <f t="shared" si="13"/>
        <v>2.6421946959758114E-4</v>
      </c>
      <c r="P119" s="1137">
        <f t="shared" si="20"/>
        <v>1.3155190769200171E-2</v>
      </c>
      <c r="Q119" s="1131"/>
    </row>
    <row r="120" spans="2:17">
      <c r="B120" s="1132" t="s">
        <v>930</v>
      </c>
      <c r="C120" s="1133">
        <v>121.70271718447253</v>
      </c>
      <c r="D120" s="1134">
        <v>0</v>
      </c>
      <c r="E120" s="1134">
        <v>0</v>
      </c>
      <c r="F120" s="1133">
        <v>132.67130990999999</v>
      </c>
      <c r="G120" s="1133">
        <v>128.807097</v>
      </c>
      <c r="H120" s="1135">
        <f t="shared" si="18"/>
        <v>-10.968592725527458</v>
      </c>
      <c r="J120" s="1136">
        <v>10.6137047928</v>
      </c>
      <c r="K120" s="1135">
        <f t="shared" si="19"/>
        <v>-21.582297518327458</v>
      </c>
      <c r="M120" s="106">
        <f t="shared" si="21"/>
        <v>-0.1506249454145166</v>
      </c>
      <c r="N120" s="1133">
        <v>373.08857065557686</v>
      </c>
      <c r="O120" s="109">
        <f t="shared" si="13"/>
        <v>6.9729630487188984E-2</v>
      </c>
      <c r="P120" s="1137">
        <f t="shared" si="20"/>
        <v>0.15820170831897584</v>
      </c>
      <c r="Q120" s="1131"/>
    </row>
    <row r="121" spans="2:17">
      <c r="B121" s="1132" t="s">
        <v>931</v>
      </c>
      <c r="C121" s="1133">
        <v>13.727049411121051</v>
      </c>
      <c r="D121" s="1134">
        <v>0</v>
      </c>
      <c r="E121" s="1134">
        <v>0</v>
      </c>
      <c r="F121" s="1133">
        <v>11.85546171</v>
      </c>
      <c r="G121" s="1133">
        <v>11.510157</v>
      </c>
      <c r="H121" s="1135">
        <f t="shared" si="18"/>
        <v>1.8715877011210509</v>
      </c>
      <c r="J121" s="1136">
        <v>1.0393912624784947</v>
      </c>
      <c r="K121" s="1135">
        <f t="shared" si="19"/>
        <v>0.83219643864255621</v>
      </c>
      <c r="M121" s="106">
        <f t="shared" si="21"/>
        <v>6.4537101773763095E-2</v>
      </c>
      <c r="N121" s="1133">
        <v>33.192832596494149</v>
      </c>
      <c r="O121" s="109">
        <f t="shared" si="13"/>
        <v>0</v>
      </c>
      <c r="P121" s="1137">
        <f t="shared" si="20"/>
        <v>0</v>
      </c>
      <c r="Q121" s="1131"/>
    </row>
    <row r="122" spans="2:17">
      <c r="B122" s="1132" t="s">
        <v>932</v>
      </c>
      <c r="C122" s="1133">
        <v>18.785853684497223</v>
      </c>
      <c r="D122" s="1134">
        <v>0</v>
      </c>
      <c r="E122" s="1134">
        <v>0</v>
      </c>
      <c r="F122" s="1133">
        <v>14.67542194</v>
      </c>
      <c r="G122" s="1133">
        <v>12.220798</v>
      </c>
      <c r="H122" s="1135">
        <f t="shared" si="18"/>
        <v>4.1104317444972231</v>
      </c>
      <c r="J122" s="1136">
        <v>1.1740337552</v>
      </c>
      <c r="K122" s="1135">
        <f t="shared" si="19"/>
        <v>2.9363979892972232</v>
      </c>
      <c r="M122" s="106">
        <f t="shared" si="21"/>
        <v>0.18526806508481614</v>
      </c>
      <c r="N122" s="1133">
        <v>35.477595447853652</v>
      </c>
      <c r="O122" s="109">
        <f t="shared" si="13"/>
        <v>0</v>
      </c>
      <c r="P122" s="1137">
        <f t="shared" si="20"/>
        <v>0</v>
      </c>
      <c r="Q122" s="1131"/>
    </row>
    <row r="123" spans="2:17">
      <c r="B123" s="1132" t="s">
        <v>933</v>
      </c>
      <c r="C123" s="1133">
        <v>1.94</v>
      </c>
      <c r="D123" s="1134">
        <v>0</v>
      </c>
      <c r="E123" s="1134">
        <v>0</v>
      </c>
      <c r="F123" s="1133">
        <v>1.6989953</v>
      </c>
      <c r="G123" s="1133">
        <v>1.64951</v>
      </c>
      <c r="H123" s="1135">
        <f t="shared" si="18"/>
        <v>0.24100469999999996</v>
      </c>
      <c r="J123" s="1136">
        <v>0.13591962399999999</v>
      </c>
      <c r="K123" s="1135">
        <f t="shared" si="19"/>
        <v>0.10508507599999997</v>
      </c>
      <c r="M123" s="106">
        <f t="shared" si="21"/>
        <v>5.7269726582702303E-2</v>
      </c>
      <c r="N123" s="1133">
        <v>4.3935730903278838</v>
      </c>
      <c r="O123" s="109">
        <f t="shared" si="13"/>
        <v>0</v>
      </c>
      <c r="P123" s="1137">
        <f t="shared" si="20"/>
        <v>0</v>
      </c>
      <c r="Q123" s="1131"/>
    </row>
    <row r="124" spans="2:17">
      <c r="B124" s="1132" t="s">
        <v>934</v>
      </c>
      <c r="C124" s="1133">
        <v>6.942970331852174</v>
      </c>
      <c r="D124" s="1134">
        <v>0</v>
      </c>
      <c r="E124" s="1134">
        <v>0</v>
      </c>
      <c r="F124" s="1133">
        <v>7.5748847100000001</v>
      </c>
      <c r="G124" s="1133">
        <v>7.3542569999999996</v>
      </c>
      <c r="H124" s="1135">
        <f t="shared" si="18"/>
        <v>-0.63191437814782603</v>
      </c>
      <c r="J124" s="1136">
        <v>0.60599077680000002</v>
      </c>
      <c r="K124" s="1135">
        <f t="shared" si="19"/>
        <v>-1.2379051549478262</v>
      </c>
      <c r="M124" s="106">
        <f t="shared" si="21"/>
        <v>-0.15131695341717522</v>
      </c>
      <c r="N124" s="1133">
        <v>18.241306644046343</v>
      </c>
      <c r="O124" s="109">
        <f t="shared" si="13"/>
        <v>3.4092697336126341E-3</v>
      </c>
      <c r="P124" s="1137">
        <f t="shared" si="20"/>
        <v>7.8061436756554073E-3</v>
      </c>
      <c r="Q124" s="1131"/>
    </row>
    <row r="125" spans="2:17">
      <c r="B125" s="1132" t="s">
        <v>935</v>
      </c>
      <c r="C125" s="1133">
        <v>0.45</v>
      </c>
      <c r="D125" s="1134">
        <v>0</v>
      </c>
      <c r="E125" s="1134">
        <v>0</v>
      </c>
      <c r="F125" s="1133">
        <v>0.3658427130000001</v>
      </c>
      <c r="G125" s="1133">
        <v>0.28877000000000003</v>
      </c>
      <c r="H125" s="1135">
        <f t="shared" si="18"/>
        <v>8.4157286999999914E-2</v>
      </c>
      <c r="J125" s="1136">
        <v>2.9267417040000007E-2</v>
      </c>
      <c r="K125" s="1135">
        <f t="shared" si="19"/>
        <v>5.4889869959999907E-2</v>
      </c>
      <c r="M125" s="106">
        <f t="shared" si="21"/>
        <v>0.1389229629583098</v>
      </c>
      <c r="N125" s="1133">
        <v>0.79283861524570476</v>
      </c>
      <c r="O125" s="109">
        <f t="shared" si="13"/>
        <v>0</v>
      </c>
      <c r="P125" s="1137">
        <f t="shared" si="20"/>
        <v>0</v>
      </c>
      <c r="Q125" s="1131"/>
    </row>
    <row r="126" spans="2:17">
      <c r="B126" s="1132" t="s">
        <v>936</v>
      </c>
      <c r="C126" s="1133">
        <v>4.3370598315306125E-2</v>
      </c>
      <c r="D126" s="1134">
        <v>0</v>
      </c>
      <c r="E126" s="1134">
        <v>0</v>
      </c>
      <c r="F126" s="1133">
        <v>5.7585240000000003E-2</v>
      </c>
      <c r="G126" s="1133">
        <v>5.5907999999999999E-2</v>
      </c>
      <c r="H126" s="1135">
        <f t="shared" si="18"/>
        <v>-1.4214641684693878E-2</v>
      </c>
      <c r="J126" s="1136">
        <v>4.6068191999999999E-3</v>
      </c>
      <c r="K126" s="1135">
        <f t="shared" si="19"/>
        <v>-1.8821460884693879E-2</v>
      </c>
      <c r="M126" s="106">
        <f t="shared" si="21"/>
        <v>-0.30263447016872336</v>
      </c>
      <c r="N126" s="1133">
        <v>6.9484732572095462E-2</v>
      </c>
      <c r="O126" s="109">
        <f t="shared" si="13"/>
        <v>1.2986580420407035E-5</v>
      </c>
      <c r="P126" s="1137">
        <f t="shared" si="20"/>
        <v>1.1894100255556212E-4</v>
      </c>
      <c r="Q126" s="1131"/>
    </row>
    <row r="127" spans="2:17">
      <c r="B127" s="1132" t="s">
        <v>937</v>
      </c>
      <c r="C127" s="1133">
        <v>18.349639539193024</v>
      </c>
      <c r="D127" s="1134">
        <v>0</v>
      </c>
      <c r="E127" s="1134">
        <v>0</v>
      </c>
      <c r="F127" s="1133">
        <v>17.116309279999999</v>
      </c>
      <c r="G127" s="1133">
        <v>16.617775999999999</v>
      </c>
      <c r="H127" s="1135">
        <f t="shared" si="18"/>
        <v>1.2333302591930249</v>
      </c>
      <c r="J127" s="1136">
        <v>1.3962216718442837</v>
      </c>
      <c r="K127" s="1135">
        <f t="shared" si="19"/>
        <v>-0.16289141265125884</v>
      </c>
      <c r="M127" s="106">
        <f t="shared" si="21"/>
        <v>-8.7989812454590931E-3</v>
      </c>
      <c r="N127" s="1133">
        <v>26.38428840013022</v>
      </c>
      <c r="O127" s="109">
        <f t="shared" si="13"/>
        <v>4.9311794182698761E-3</v>
      </c>
      <c r="P127" s="1137">
        <f t="shared" si="20"/>
        <v>3.8178212282762785E-5</v>
      </c>
      <c r="Q127" s="1131"/>
    </row>
    <row r="128" spans="2:17">
      <c r="B128" s="1132" t="s">
        <v>938</v>
      </c>
      <c r="C128" s="1133">
        <v>32.288758965094658</v>
      </c>
      <c r="D128" s="1134">
        <v>0</v>
      </c>
      <c r="E128" s="1134">
        <v>0</v>
      </c>
      <c r="F128" s="1133">
        <v>31.35657531</v>
      </c>
      <c r="G128" s="1133">
        <v>30.443276999999998</v>
      </c>
      <c r="H128" s="1135">
        <f t="shared" si="18"/>
        <v>0.93218365509465784</v>
      </c>
      <c r="J128" s="1136">
        <v>2.5085260248000001</v>
      </c>
      <c r="K128" s="1135">
        <f t="shared" si="19"/>
        <v>-1.5763423697053423</v>
      </c>
      <c r="M128" s="106">
        <f t="shared" si="21"/>
        <v>-4.6547693866945038E-2</v>
      </c>
      <c r="N128" s="1133">
        <v>47.083304132127239</v>
      </c>
      <c r="O128" s="109">
        <f t="shared" si="13"/>
        <v>8.7997908740013973E-3</v>
      </c>
      <c r="P128" s="1137">
        <f t="shared" si="20"/>
        <v>1.906639956736059E-3</v>
      </c>
      <c r="Q128" s="1131"/>
    </row>
    <row r="129" spans="2:17">
      <c r="B129" s="1132" t="s">
        <v>939</v>
      </c>
      <c r="C129" s="1133">
        <v>0.1</v>
      </c>
      <c r="D129" s="1134">
        <v>0</v>
      </c>
      <c r="E129" s="1134">
        <v>0</v>
      </c>
      <c r="F129" s="1133">
        <v>3.7752384000000007E-2</v>
      </c>
      <c r="G129" s="1133">
        <v>2.2908000000000001E-2</v>
      </c>
      <c r="H129" s="1135">
        <f t="shared" si="18"/>
        <v>6.2247615999999999E-2</v>
      </c>
      <c r="J129" s="1136">
        <v>3.0201907200000004E-3</v>
      </c>
      <c r="K129" s="1135">
        <f t="shared" si="19"/>
        <v>5.9227425279999996E-2</v>
      </c>
      <c r="M129" s="106">
        <f t="shared" si="21"/>
        <v>1.4526290205300034</v>
      </c>
      <c r="N129" s="1133">
        <v>7.6867998545197949E-2</v>
      </c>
      <c r="O129" s="109">
        <f t="shared" si="13"/>
        <v>0</v>
      </c>
      <c r="P129" s="1137">
        <f t="shared" si="20"/>
        <v>0</v>
      </c>
      <c r="Q129" s="1131"/>
    </row>
    <row r="130" spans="2:17">
      <c r="B130" s="1132" t="s">
        <v>940</v>
      </c>
      <c r="C130" s="1133">
        <v>14.883282507714823</v>
      </c>
      <c r="D130" s="1134">
        <v>0</v>
      </c>
      <c r="E130" s="1134">
        <v>0</v>
      </c>
      <c r="F130" s="1133">
        <v>13.031081050000001</v>
      </c>
      <c r="G130" s="1133">
        <v>12.651535000000001</v>
      </c>
      <c r="H130" s="1135">
        <f t="shared" si="18"/>
        <v>1.8522014577148216</v>
      </c>
      <c r="J130" s="1136">
        <v>1.0424864840000001</v>
      </c>
      <c r="K130" s="1135">
        <f t="shared" si="19"/>
        <v>0.80971497371482148</v>
      </c>
      <c r="M130" s="106">
        <f t="shared" si="21"/>
        <v>5.7534450434024643E-2</v>
      </c>
      <c r="N130" s="1133">
        <v>20.759511291702005</v>
      </c>
      <c r="O130" s="109">
        <f t="shared" si="13"/>
        <v>0</v>
      </c>
      <c r="P130" s="1137">
        <f t="shared" si="20"/>
        <v>0</v>
      </c>
      <c r="Q130" s="1131"/>
    </row>
    <row r="131" spans="2:17">
      <c r="B131" s="1132" t="s">
        <v>941</v>
      </c>
      <c r="C131" s="1133">
        <v>18.204119713709215</v>
      </c>
      <c r="D131" s="1134">
        <v>0</v>
      </c>
      <c r="E131" s="1134">
        <v>0</v>
      </c>
      <c r="F131" s="1133">
        <v>15.55113467</v>
      </c>
      <c r="G131" s="1133">
        <v>15.098189</v>
      </c>
      <c r="H131" s="1135">
        <f t="shared" si="18"/>
        <v>2.6529850437092151</v>
      </c>
      <c r="J131" s="1136">
        <v>1.3726155004701004</v>
      </c>
      <c r="K131" s="1135">
        <f t="shared" si="19"/>
        <v>1.2803695432391147</v>
      </c>
      <c r="M131" s="106">
        <f t="shared" si="21"/>
        <v>7.5655190506960152E-2</v>
      </c>
      <c r="N131" s="1133">
        <v>35.010427729842021</v>
      </c>
      <c r="O131" s="109">
        <f t="shared" si="13"/>
        <v>0</v>
      </c>
      <c r="P131" s="1137">
        <f t="shared" si="20"/>
        <v>0</v>
      </c>
      <c r="Q131" s="1131"/>
    </row>
    <row r="132" spans="2:17">
      <c r="B132" s="1132" t="s">
        <v>942</v>
      </c>
      <c r="C132" s="1133">
        <v>0.4</v>
      </c>
      <c r="D132" s="1134">
        <v>0</v>
      </c>
      <c r="E132" s="1134">
        <v>0</v>
      </c>
      <c r="F132" s="1133">
        <v>0.25999972999999998</v>
      </c>
      <c r="G132" s="1133">
        <v>0.19029099999999999</v>
      </c>
      <c r="H132" s="1135">
        <f t="shared" si="18"/>
        <v>0.14000027000000004</v>
      </c>
      <c r="J132" s="1136">
        <v>2.0799978399999999E-2</v>
      </c>
      <c r="K132" s="1135">
        <f t="shared" si="19"/>
        <v>0.11920029160000004</v>
      </c>
      <c r="M132" s="106">
        <f t="shared" si="21"/>
        <v>0.42450290379290173</v>
      </c>
      <c r="N132" s="1133">
        <v>0.13570778598303795</v>
      </c>
      <c r="O132" s="109">
        <f t="shared" si="13"/>
        <v>0</v>
      </c>
      <c r="P132" s="1137">
        <f t="shared" si="20"/>
        <v>0</v>
      </c>
      <c r="Q132" s="1131"/>
    </row>
    <row r="133" spans="2:17">
      <c r="B133" s="1132" t="s">
        <v>943</v>
      </c>
      <c r="C133" s="1133">
        <v>0.4</v>
      </c>
      <c r="D133" s="1134">
        <v>0</v>
      </c>
      <c r="E133" s="1134">
        <v>0</v>
      </c>
      <c r="F133" s="1133">
        <v>0.36842451100000001</v>
      </c>
      <c r="G133" s="1133">
        <v>0.27514899999999998</v>
      </c>
      <c r="H133" s="1135">
        <f t="shared" si="18"/>
        <v>3.1575489000000012E-2</v>
      </c>
      <c r="J133" s="1136">
        <v>2.947396088E-2</v>
      </c>
      <c r="K133" s="1135">
        <f t="shared" si="19"/>
        <v>2.1015281200000117E-3</v>
      </c>
      <c r="M133" s="106">
        <f t="shared" si="21"/>
        <v>5.2815687129198121E-3</v>
      </c>
      <c r="N133" s="1133">
        <v>0.91364651741628777</v>
      </c>
      <c r="O133" s="109">
        <f t="shared" si="13"/>
        <v>0</v>
      </c>
      <c r="P133" s="1137">
        <f t="shared" si="20"/>
        <v>0</v>
      </c>
      <c r="Q133" s="1131"/>
    </row>
    <row r="134" spans="2:17">
      <c r="B134" s="1132" t="s">
        <v>944</v>
      </c>
      <c r="C134" s="1133">
        <v>0.20857592636363645</v>
      </c>
      <c r="D134" s="1134">
        <v>0</v>
      </c>
      <c r="E134" s="1134">
        <v>0</v>
      </c>
      <c r="F134" s="1133">
        <v>0.23309009</v>
      </c>
      <c r="G134" s="1133">
        <v>0.172903</v>
      </c>
      <c r="H134" s="1135">
        <f t="shared" si="18"/>
        <v>-2.4514163636363551E-2</v>
      </c>
      <c r="J134" s="1136">
        <v>1.8647207200000002E-2</v>
      </c>
      <c r="K134" s="1135">
        <f t="shared" si="19"/>
        <v>-4.3161370836363552E-2</v>
      </c>
      <c r="M134" s="106">
        <f t="shared" si="21"/>
        <v>-0.17145401701072827</v>
      </c>
      <c r="N134" s="1133">
        <v>0.34351033326956487</v>
      </c>
      <c r="O134" s="109">
        <f t="shared" si="13"/>
        <v>6.4201507340010109E-5</v>
      </c>
      <c r="P134" s="1137">
        <f t="shared" si="20"/>
        <v>1.8872983232235731E-4</v>
      </c>
      <c r="Q134" s="1131"/>
    </row>
    <row r="135" spans="2:17">
      <c r="B135" s="1132" t="s">
        <v>945</v>
      </c>
      <c r="C135" s="1133">
        <v>0.10427479768309858</v>
      </c>
      <c r="D135" s="1134">
        <v>0</v>
      </c>
      <c r="E135" s="1134">
        <v>0</v>
      </c>
      <c r="F135" s="1133">
        <v>0.10054690049999999</v>
      </c>
      <c r="G135" s="1133">
        <v>6.7322999999999994E-2</v>
      </c>
      <c r="H135" s="1135">
        <f t="shared" si="18"/>
        <v>3.7278971830985858E-3</v>
      </c>
      <c r="J135" s="1136">
        <v>8.0437520399999993E-3</v>
      </c>
      <c r="K135" s="1135">
        <f t="shared" si="19"/>
        <v>-4.3158548569014136E-3</v>
      </c>
      <c r="M135" s="106">
        <f t="shared" si="21"/>
        <v>-3.9744257502381648E-2</v>
      </c>
      <c r="N135" s="1133">
        <v>0.23112732300236152</v>
      </c>
      <c r="O135" s="109">
        <f t="shared" si="13"/>
        <v>4.3197310494204329E-5</v>
      </c>
      <c r="P135" s="1137">
        <f t="shared" si="20"/>
        <v>6.823473103125102E-6</v>
      </c>
      <c r="Q135" s="1131"/>
    </row>
    <row r="136" spans="2:17">
      <c r="B136" s="1132" t="s">
        <v>946</v>
      </c>
      <c r="C136" s="1133">
        <v>0.1</v>
      </c>
      <c r="D136" s="1134">
        <v>0</v>
      </c>
      <c r="E136" s="1134">
        <v>0</v>
      </c>
      <c r="F136" s="1133">
        <v>7.0281596799999999E-2</v>
      </c>
      <c r="G136" s="1133">
        <v>4.6736E-2</v>
      </c>
      <c r="H136" s="1135">
        <f t="shared" si="18"/>
        <v>2.9718403200000007E-2</v>
      </c>
      <c r="J136" s="1136">
        <v>5.6225277440000001E-3</v>
      </c>
      <c r="K136" s="1135">
        <f t="shared" si="19"/>
        <v>2.4095875456000008E-2</v>
      </c>
      <c r="M136" s="106">
        <f t="shared" si="21"/>
        <v>0.31745146394557444</v>
      </c>
      <c r="N136" s="1133">
        <v>5.9372156367579108E-2</v>
      </c>
      <c r="O136" s="109">
        <f t="shared" si="13"/>
        <v>0</v>
      </c>
      <c r="P136" s="1137">
        <f t="shared" si="20"/>
        <v>0</v>
      </c>
      <c r="Q136" s="1131"/>
    </row>
    <row r="137" spans="2:17">
      <c r="B137" s="1132" t="s">
        <v>947</v>
      </c>
      <c r="C137" s="1133">
        <v>0.1</v>
      </c>
      <c r="D137" s="1134">
        <v>0</v>
      </c>
      <c r="E137" s="1134">
        <v>0</v>
      </c>
      <c r="F137" s="1133">
        <v>7.6377898999999999E-2</v>
      </c>
      <c r="G137" s="1133">
        <v>5.7041000000000001E-2</v>
      </c>
      <c r="H137" s="1135">
        <f t="shared" si="18"/>
        <v>2.3622101000000006E-2</v>
      </c>
      <c r="J137" s="1136">
        <v>6.1102319200000005E-3</v>
      </c>
      <c r="K137" s="1135">
        <f t="shared" si="19"/>
        <v>1.7511869080000006E-2</v>
      </c>
      <c r="M137" s="106">
        <f t="shared" si="21"/>
        <v>0.21229562222695597</v>
      </c>
      <c r="N137" s="1133">
        <v>0.21204341559849682</v>
      </c>
      <c r="O137" s="109">
        <f t="shared" si="13"/>
        <v>0</v>
      </c>
      <c r="P137" s="1137">
        <f t="shared" si="20"/>
        <v>0</v>
      </c>
      <c r="Q137" s="1131"/>
    </row>
    <row r="138" spans="2:17">
      <c r="B138" s="1132" t="s">
        <v>948</v>
      </c>
      <c r="C138" s="1133">
        <v>0.1</v>
      </c>
      <c r="D138" s="1134">
        <v>0</v>
      </c>
      <c r="E138" s="1134">
        <v>0</v>
      </c>
      <c r="F138" s="1133">
        <v>0.113199884</v>
      </c>
      <c r="G138" s="1133">
        <v>7.8502000000000002E-2</v>
      </c>
      <c r="H138" s="1135">
        <f>+C138+D138-E138-F138</f>
        <v>-1.3199883999999995E-2</v>
      </c>
      <c r="J138" s="1136">
        <v>9.0559907200000005E-3</v>
      </c>
      <c r="K138" s="1135">
        <f>+H138-J138</f>
        <v>-2.2255874719999996E-2</v>
      </c>
      <c r="M138" s="106">
        <f>+IF(ISERROR(K138/(F138+J138)),0,K138/(F138+J138))</f>
        <v>-0.18204339685902329</v>
      </c>
      <c r="N138" s="1133">
        <v>0.12086474689114318</v>
      </c>
      <c r="O138" s="109">
        <f t="shared" si="13"/>
        <v>2.2589419249262816E-5</v>
      </c>
      <c r="P138" s="1137">
        <f>(M138^2*O138)*100</f>
        <v>7.4860879853764809E-5</v>
      </c>
      <c r="Q138" s="1131"/>
    </row>
    <row r="139" spans="2:17">
      <c r="B139" s="1132" t="s">
        <v>949</v>
      </c>
      <c r="C139" s="1133">
        <v>0.2</v>
      </c>
      <c r="D139" s="1134">
        <v>0</v>
      </c>
      <c r="E139" s="1134">
        <v>0</v>
      </c>
      <c r="F139" s="1133">
        <v>0.16198274400000001</v>
      </c>
      <c r="G139" s="1133">
        <v>9.3609999999999999E-2</v>
      </c>
      <c r="H139" s="1135">
        <f t="shared" ref="H139:H162" si="22">+C139+D139-E139-F139</f>
        <v>3.8017255999999999E-2</v>
      </c>
      <c r="J139" s="1136">
        <v>1.2958619520000001E-2</v>
      </c>
      <c r="K139" s="1135">
        <f t="shared" ref="K139:K162" si="23">+H139-J139</f>
        <v>2.505863648E-2</v>
      </c>
      <c r="M139" s="106">
        <f>+IF(ISERROR(K139/(F139+J139)),0,K139/(F139+J139))</f>
        <v>0.143240203321813</v>
      </c>
      <c r="N139" s="1133">
        <v>0.13782822013902293</v>
      </c>
      <c r="O139" s="109">
        <f t="shared" si="13"/>
        <v>0</v>
      </c>
      <c r="P139" s="1137">
        <f t="shared" ref="P139:P162" si="24">(M139^2*O139)*100</f>
        <v>0</v>
      </c>
      <c r="Q139" s="1131"/>
    </row>
    <row r="140" spans="2:17">
      <c r="B140" s="1132" t="s">
        <v>950</v>
      </c>
      <c r="C140" s="1133">
        <v>8.1677001308673471</v>
      </c>
      <c r="D140" s="1134">
        <v>0</v>
      </c>
      <c r="E140" s="1134">
        <v>0</v>
      </c>
      <c r="F140" s="1133">
        <v>6.2462547500000003</v>
      </c>
      <c r="G140" s="1133">
        <v>6.0643250000000002</v>
      </c>
      <c r="H140" s="1135">
        <f t="shared" si="22"/>
        <v>1.9214453808673468</v>
      </c>
      <c r="J140" s="1136">
        <v>0.49970038000000006</v>
      </c>
      <c r="K140" s="1135">
        <f t="shared" si="23"/>
        <v>1.4217450008673467</v>
      </c>
      <c r="M140" s="106">
        <f t="shared" ref="M140:M162" si="25">+IF(ISERROR(K140/(F140+J140)),0,K140/(F140+J140))</f>
        <v>0.21075518195261797</v>
      </c>
      <c r="N140" s="1133">
        <v>5.3154499762378054</v>
      </c>
      <c r="O140" s="109">
        <f t="shared" si="13"/>
        <v>0</v>
      </c>
      <c r="P140" s="1137">
        <f t="shared" si="24"/>
        <v>0</v>
      </c>
      <c r="Q140" s="1131"/>
    </row>
    <row r="141" spans="2:17">
      <c r="B141" s="1132" t="s">
        <v>951</v>
      </c>
      <c r="C141" s="1133">
        <v>0.12474647899999999</v>
      </c>
      <c r="D141" s="1134">
        <v>0</v>
      </c>
      <c r="E141" s="1134">
        <v>0</v>
      </c>
      <c r="F141" s="1133">
        <v>0.16663270000000002</v>
      </c>
      <c r="G141" s="1133">
        <v>0.11809</v>
      </c>
      <c r="H141" s="1135">
        <f t="shared" si="22"/>
        <v>-4.1886221000000029E-2</v>
      </c>
      <c r="J141" s="1136">
        <v>1.3330616000000002E-2</v>
      </c>
      <c r="K141" s="1135">
        <f t="shared" si="23"/>
        <v>-5.5216837000000032E-2</v>
      </c>
      <c r="M141" s="106">
        <f t="shared" si="25"/>
        <v>-0.30682273602915844</v>
      </c>
      <c r="N141" s="1133">
        <v>0.2216668656186003</v>
      </c>
      <c r="O141" s="109">
        <f t="shared" si="13"/>
        <v>4.1429166816014689E-5</v>
      </c>
      <c r="P141" s="1137">
        <f t="shared" si="24"/>
        <v>3.9001496912994616E-4</v>
      </c>
      <c r="Q141" s="1131"/>
    </row>
    <row r="142" spans="2:17">
      <c r="B142" s="1132" t="s">
        <v>952</v>
      </c>
      <c r="C142" s="1133">
        <v>2.9219345746869569</v>
      </c>
      <c r="D142" s="1134">
        <v>0</v>
      </c>
      <c r="E142" s="1134">
        <v>0</v>
      </c>
      <c r="F142" s="1133">
        <v>2.8004848911</v>
      </c>
      <c r="G142" s="1133">
        <v>2.323861</v>
      </c>
      <c r="H142" s="1135">
        <f t="shared" si="22"/>
        <v>0.12144968358695696</v>
      </c>
      <c r="J142" s="1136">
        <v>0.2281795541286582</v>
      </c>
      <c r="K142" s="1135">
        <f t="shared" si="23"/>
        <v>-0.10672987054170124</v>
      </c>
      <c r="M142" s="106">
        <f t="shared" si="25"/>
        <v>-3.5239912665083417E-2</v>
      </c>
      <c r="N142" s="1133">
        <v>5.7821952181283809</v>
      </c>
      <c r="O142" s="109">
        <f t="shared" ref="O142:O205" si="26">IF(K142&lt;0,N142/$N$263,0)</f>
        <v>1.0806826251911511E-3</v>
      </c>
      <c r="P142" s="1137">
        <f t="shared" si="24"/>
        <v>1.3420472792939037E-4</v>
      </c>
      <c r="Q142" s="1131"/>
    </row>
    <row r="143" spans="2:17">
      <c r="B143" s="1132" t="s">
        <v>953</v>
      </c>
      <c r="C143" s="1133">
        <v>6.2685000000000005E-2</v>
      </c>
      <c r="D143" s="1134">
        <v>0</v>
      </c>
      <c r="E143" s="1134">
        <v>0</v>
      </c>
      <c r="F143" s="1133">
        <v>2.6172299999999999E-2</v>
      </c>
      <c r="G143" s="1133">
        <v>2.5409999999999999E-2</v>
      </c>
      <c r="H143" s="1135">
        <f t="shared" si="22"/>
        <v>3.6512700000000009E-2</v>
      </c>
      <c r="J143" s="1136">
        <v>2.093784E-3</v>
      </c>
      <c r="K143" s="1135">
        <f t="shared" si="23"/>
        <v>3.4418916000000008E-2</v>
      </c>
      <c r="M143" s="106">
        <f t="shared" si="25"/>
        <v>1.2176754303850512</v>
      </c>
      <c r="N143" s="1133">
        <v>0.10476036799783163</v>
      </c>
      <c r="O143" s="109">
        <f t="shared" si="26"/>
        <v>0</v>
      </c>
      <c r="P143" s="1137">
        <f t="shared" si="24"/>
        <v>0</v>
      </c>
      <c r="Q143" s="1131"/>
    </row>
    <row r="144" spans="2:17">
      <c r="B144" s="1132" t="s">
        <v>954</v>
      </c>
      <c r="C144" s="1133">
        <v>0.13853851978953491</v>
      </c>
      <c r="D144" s="1134">
        <v>0</v>
      </c>
      <c r="E144" s="1134">
        <v>0</v>
      </c>
      <c r="F144" s="1133">
        <v>0.12127117</v>
      </c>
      <c r="G144" s="1133">
        <v>0.117739</v>
      </c>
      <c r="H144" s="1135">
        <f t="shared" si="22"/>
        <v>1.7267349789534911E-2</v>
      </c>
      <c r="J144" s="1136">
        <v>9.7016936000000002E-3</v>
      </c>
      <c r="K144" s="1135">
        <f t="shared" si="23"/>
        <v>7.5656561895349108E-3</v>
      </c>
      <c r="M144" s="106">
        <f t="shared" si="25"/>
        <v>5.7765066606781525E-2</v>
      </c>
      <c r="N144" s="1133">
        <v>0.21103900219853042</v>
      </c>
      <c r="O144" s="109">
        <f t="shared" si="26"/>
        <v>0</v>
      </c>
      <c r="P144" s="1137">
        <f t="shared" si="24"/>
        <v>0</v>
      </c>
      <c r="Q144" s="1131"/>
    </row>
    <row r="145" spans="2:17">
      <c r="B145" s="1132" t="s">
        <v>955</v>
      </c>
      <c r="C145" s="1133">
        <v>0.54725000000000001</v>
      </c>
      <c r="D145" s="1134">
        <v>0</v>
      </c>
      <c r="E145" s="1134">
        <v>0</v>
      </c>
      <c r="F145" s="1133">
        <v>0.44750616000000004</v>
      </c>
      <c r="G145" s="1133">
        <v>0.43447200000000002</v>
      </c>
      <c r="H145" s="1135">
        <f t="shared" si="22"/>
        <v>9.9743839999999973E-2</v>
      </c>
      <c r="J145" s="1136">
        <v>3.5800492800000007E-2</v>
      </c>
      <c r="K145" s="1135">
        <f t="shared" si="23"/>
        <v>6.3943347199999973E-2</v>
      </c>
      <c r="M145" s="106">
        <f t="shared" si="25"/>
        <v>0.13230388373416566</v>
      </c>
      <c r="N145" s="1133">
        <v>0.57694115708950766</v>
      </c>
      <c r="O145" s="109">
        <f t="shared" si="26"/>
        <v>0</v>
      </c>
      <c r="P145" s="1137">
        <f t="shared" si="24"/>
        <v>0</v>
      </c>
      <c r="Q145" s="1131"/>
    </row>
    <row r="146" spans="2:17">
      <c r="B146" s="1132" t="s">
        <v>956</v>
      </c>
      <c r="C146" s="1133">
        <v>2.7793989502250001</v>
      </c>
      <c r="D146" s="1134">
        <v>0</v>
      </c>
      <c r="E146" s="1134">
        <v>0</v>
      </c>
      <c r="F146" s="1133">
        <v>2.9886541800000002</v>
      </c>
      <c r="G146" s="1133">
        <v>2.9016060000000001</v>
      </c>
      <c r="H146" s="1135">
        <f t="shared" si="22"/>
        <v>-0.20925522977500011</v>
      </c>
      <c r="J146" s="1136">
        <v>0.24473079653543725</v>
      </c>
      <c r="K146" s="1135">
        <f t="shared" si="23"/>
        <v>-0.45398602631043738</v>
      </c>
      <c r="M146" s="106">
        <f t="shared" si="25"/>
        <v>-0.14040580679535478</v>
      </c>
      <c r="N146" s="1133">
        <v>5.8437453879346348</v>
      </c>
      <c r="O146" s="109">
        <f t="shared" si="26"/>
        <v>1.0921862490879443E-3</v>
      </c>
      <c r="P146" s="1137">
        <f t="shared" si="24"/>
        <v>2.1531130990900902E-3</v>
      </c>
      <c r="Q146" s="1131"/>
    </row>
    <row r="147" spans="2:17">
      <c r="B147" s="1132" t="s">
        <v>957</v>
      </c>
      <c r="C147" s="1133">
        <v>0.43</v>
      </c>
      <c r="D147" s="1134">
        <v>0</v>
      </c>
      <c r="E147" s="1134">
        <v>0</v>
      </c>
      <c r="F147" s="1133">
        <v>0.24913063200000002</v>
      </c>
      <c r="G147" s="1133">
        <v>0.15604799999999999</v>
      </c>
      <c r="H147" s="1135">
        <f t="shared" si="22"/>
        <v>0.18086936799999997</v>
      </c>
      <c r="J147" s="1136">
        <v>1.9930450560000004E-2</v>
      </c>
      <c r="K147" s="1135">
        <f t="shared" si="23"/>
        <v>0.16093891743999997</v>
      </c>
      <c r="M147" s="106">
        <f t="shared" si="25"/>
        <v>0.59815011486884573</v>
      </c>
      <c r="N147" s="1133">
        <v>0.47977212010601156</v>
      </c>
      <c r="O147" s="109">
        <f t="shared" si="26"/>
        <v>0</v>
      </c>
      <c r="P147" s="1137">
        <f t="shared" si="24"/>
        <v>0</v>
      </c>
      <c r="Q147" s="1131"/>
    </row>
    <row r="148" spans="2:17">
      <c r="B148" s="1132" t="s">
        <v>958</v>
      </c>
      <c r="C148" s="1133">
        <v>8.2000000000000003E-2</v>
      </c>
      <c r="D148" s="1134">
        <v>0</v>
      </c>
      <c r="E148" s="1134">
        <v>0</v>
      </c>
      <c r="F148" s="1133">
        <v>1.7558368800000002E-2</v>
      </c>
      <c r="G148" s="1133">
        <v>1.1676000000000001E-2</v>
      </c>
      <c r="H148" s="1135">
        <f t="shared" si="22"/>
        <v>6.4441631200000002E-2</v>
      </c>
      <c r="J148" s="1136">
        <v>1.4046695040000003E-3</v>
      </c>
      <c r="K148" s="1135">
        <f t="shared" si="23"/>
        <v>6.3036961695999996E-2</v>
      </c>
      <c r="M148" s="106">
        <f t="shared" si="25"/>
        <v>3.3242015696769007</v>
      </c>
      <c r="N148" s="1133">
        <v>8.9577705969160384E-2</v>
      </c>
      <c r="O148" s="109">
        <f t="shared" si="26"/>
        <v>0</v>
      </c>
      <c r="P148" s="1137">
        <f t="shared" si="24"/>
        <v>0</v>
      </c>
      <c r="Q148" s="1131"/>
    </row>
    <row r="149" spans="2:17">
      <c r="B149" s="1132" t="s">
        <v>959</v>
      </c>
      <c r="C149" s="1133">
        <v>0</v>
      </c>
      <c r="D149" s="1134">
        <v>0</v>
      </c>
      <c r="E149" s="1134">
        <v>0</v>
      </c>
      <c r="F149" s="1133">
        <v>9.6272658000000014E-3</v>
      </c>
      <c r="G149" s="1133">
        <v>5.4660000000000004E-3</v>
      </c>
      <c r="H149" s="1135">
        <f t="shared" si="22"/>
        <v>-9.6272658000000014E-3</v>
      </c>
      <c r="J149" s="1136">
        <v>7.7018126400000013E-4</v>
      </c>
      <c r="K149" s="1135">
        <f t="shared" si="23"/>
        <v>-1.0397447064000002E-2</v>
      </c>
      <c r="M149" s="106">
        <f t="shared" si="25"/>
        <v>-1</v>
      </c>
      <c r="N149" s="1133">
        <v>1.9737460637272629E-2</v>
      </c>
      <c r="O149" s="109">
        <f t="shared" si="26"/>
        <v>3.6888984151245954E-6</v>
      </c>
      <c r="P149" s="1137">
        <f t="shared" si="24"/>
        <v>3.6888984151245955E-4</v>
      </c>
      <c r="Q149" s="1131"/>
    </row>
    <row r="150" spans="2:17">
      <c r="B150" s="1132" t="s">
        <v>960</v>
      </c>
      <c r="C150" s="1133">
        <v>0.20596499999999998</v>
      </c>
      <c r="D150" s="1134">
        <v>0</v>
      </c>
      <c r="E150" s="1134">
        <v>0</v>
      </c>
      <c r="F150" s="1133">
        <v>0.11569063</v>
      </c>
      <c r="G150" s="1133">
        <v>0.112321</v>
      </c>
      <c r="H150" s="1135">
        <f t="shared" si="22"/>
        <v>9.0274369999999979E-2</v>
      </c>
      <c r="J150" s="1136">
        <v>9.2552503999999997E-3</v>
      </c>
      <c r="K150" s="1135">
        <f t="shared" si="23"/>
        <v>8.1019119599999981E-2</v>
      </c>
      <c r="M150" s="106">
        <f t="shared" si="25"/>
        <v>0.64843370058001515</v>
      </c>
      <c r="N150" s="1133">
        <v>0.1563814188953139</v>
      </c>
      <c r="O150" s="109">
        <f t="shared" si="26"/>
        <v>0</v>
      </c>
      <c r="P150" s="1137">
        <f t="shared" si="24"/>
        <v>0</v>
      </c>
      <c r="Q150" s="1131"/>
    </row>
    <row r="151" spans="2:17">
      <c r="B151" s="1132" t="s">
        <v>961</v>
      </c>
      <c r="C151" s="1133">
        <v>0.08</v>
      </c>
      <c r="D151" s="1134">
        <v>0</v>
      </c>
      <c r="E151" s="1134">
        <v>0</v>
      </c>
      <c r="F151" s="1133">
        <v>6.3649735799999996E-2</v>
      </c>
      <c r="G151" s="1133">
        <v>4.2037999999999999E-2</v>
      </c>
      <c r="H151" s="1135">
        <f t="shared" si="22"/>
        <v>1.6350264200000006E-2</v>
      </c>
      <c r="J151" s="1136">
        <v>7.9147558267494977E-3</v>
      </c>
      <c r="K151" s="1135">
        <f t="shared" si="23"/>
        <v>8.4355083732505082E-3</v>
      </c>
      <c r="M151" s="106">
        <f t="shared" si="25"/>
        <v>0.11787281906852071</v>
      </c>
      <c r="N151" s="1133">
        <v>0.15334488648957964</v>
      </c>
      <c r="O151" s="109">
        <f t="shared" si="26"/>
        <v>0</v>
      </c>
      <c r="P151" s="1137">
        <f t="shared" si="24"/>
        <v>0</v>
      </c>
      <c r="Q151" s="1131"/>
    </row>
    <row r="152" spans="2:17">
      <c r="B152" s="1132" t="s">
        <v>962</v>
      </c>
      <c r="C152" s="1133">
        <v>0.47</v>
      </c>
      <c r="D152" s="1134">
        <v>0</v>
      </c>
      <c r="E152" s="1134">
        <v>0</v>
      </c>
      <c r="F152" s="1133">
        <v>0.34982920000000001</v>
      </c>
      <c r="G152" s="1133">
        <v>0.27171200000000001</v>
      </c>
      <c r="H152" s="1135">
        <f t="shared" si="22"/>
        <v>0.12017079999999997</v>
      </c>
      <c r="J152" s="1136">
        <v>2.7986336000000001E-2</v>
      </c>
      <c r="K152" s="1135">
        <f t="shared" si="23"/>
        <v>9.2184463999999966E-2</v>
      </c>
      <c r="M152" s="106">
        <f t="shared" si="25"/>
        <v>0.24399331212255909</v>
      </c>
      <c r="N152" s="1133">
        <v>0.39323094654258545</v>
      </c>
      <c r="O152" s="109">
        <f t="shared" si="26"/>
        <v>0</v>
      </c>
      <c r="P152" s="1137">
        <f t="shared" si="24"/>
        <v>0</v>
      </c>
      <c r="Q152" s="1131"/>
    </row>
    <row r="153" spans="2:17">
      <c r="B153" s="1132" t="s">
        <v>963</v>
      </c>
      <c r="C153" s="1133">
        <v>0.15</v>
      </c>
      <c r="D153" s="1134">
        <v>0</v>
      </c>
      <c r="E153" s="1134">
        <v>0</v>
      </c>
      <c r="F153" s="1133">
        <v>8.4176235000000002E-2</v>
      </c>
      <c r="G153" s="1133">
        <v>6.2865000000000004E-2</v>
      </c>
      <c r="H153" s="1135">
        <f t="shared" si="22"/>
        <v>6.5823764999999992E-2</v>
      </c>
      <c r="J153" s="1136">
        <v>6.7340988000000003E-3</v>
      </c>
      <c r="K153" s="1135">
        <f t="shared" si="23"/>
        <v>5.9089666199999995E-2</v>
      </c>
      <c r="M153" s="106">
        <f t="shared" si="25"/>
        <v>0.64997744183841055</v>
      </c>
      <c r="N153" s="1133">
        <v>0.17611887953258654</v>
      </c>
      <c r="O153" s="109">
        <f t="shared" si="26"/>
        <v>0</v>
      </c>
      <c r="P153" s="1137">
        <f t="shared" si="24"/>
        <v>0</v>
      </c>
      <c r="Q153" s="1131"/>
    </row>
    <row r="154" spans="2:17">
      <c r="B154" s="1132" t="s">
        <v>964</v>
      </c>
      <c r="C154" s="1133">
        <v>0.13930000000000001</v>
      </c>
      <c r="D154" s="1134">
        <v>0</v>
      </c>
      <c r="E154" s="1134">
        <v>0</v>
      </c>
      <c r="F154" s="1133">
        <v>0.12711744999999999</v>
      </c>
      <c r="G154" s="1133">
        <v>0.123415</v>
      </c>
      <c r="H154" s="1135">
        <f t="shared" si="22"/>
        <v>1.2182550000000014E-2</v>
      </c>
      <c r="J154" s="1136">
        <v>1.0169395999999999E-2</v>
      </c>
      <c r="K154" s="1135">
        <f t="shared" si="23"/>
        <v>2.0131540000000153E-3</v>
      </c>
      <c r="M154" s="106">
        <f t="shared" si="25"/>
        <v>1.4663852063438149E-2</v>
      </c>
      <c r="N154" s="1133">
        <v>0.13816222446090839</v>
      </c>
      <c r="O154" s="109">
        <f t="shared" si="26"/>
        <v>0</v>
      </c>
      <c r="P154" s="1137">
        <f t="shared" si="24"/>
        <v>0</v>
      </c>
      <c r="Q154" s="1131"/>
    </row>
    <row r="155" spans="2:17">
      <c r="B155" s="1132" t="s">
        <v>965</v>
      </c>
      <c r="C155" s="1133">
        <v>0.91197225850434771</v>
      </c>
      <c r="D155" s="1134">
        <v>0</v>
      </c>
      <c r="E155" s="1134">
        <v>0</v>
      </c>
      <c r="F155" s="1133">
        <v>0.92585282720000006</v>
      </c>
      <c r="G155" s="1133">
        <v>0.736792</v>
      </c>
      <c r="H155" s="1135">
        <f t="shared" si="22"/>
        <v>-1.3880568695652351E-2</v>
      </c>
      <c r="J155" s="1136">
        <v>8.9856133558465556E-2</v>
      </c>
      <c r="K155" s="1135">
        <f t="shared" si="23"/>
        <v>-0.10373670225411791</v>
      </c>
      <c r="M155" s="106">
        <f t="shared" si="25"/>
        <v>-0.10213230980718536</v>
      </c>
      <c r="N155" s="1133">
        <v>0.99598262908083413</v>
      </c>
      <c r="O155" s="109">
        <f t="shared" si="26"/>
        <v>1.8614748925551802E-4</v>
      </c>
      <c r="P155" s="1137">
        <f t="shared" si="24"/>
        <v>1.941706081126897E-4</v>
      </c>
      <c r="Q155" s="1131"/>
    </row>
    <row r="156" spans="2:17">
      <c r="B156" s="1132" t="s">
        <v>966</v>
      </c>
      <c r="C156" s="1133">
        <v>0</v>
      </c>
      <c r="D156" s="1134">
        <v>0</v>
      </c>
      <c r="E156" s="1134">
        <v>0</v>
      </c>
      <c r="F156" s="1133">
        <v>2.5973120000000002E-2</v>
      </c>
      <c r="G156" s="1133">
        <v>2.2304000000000001E-2</v>
      </c>
      <c r="H156" s="1135">
        <f t="shared" si="22"/>
        <v>-2.5973120000000002E-2</v>
      </c>
      <c r="J156" s="1136">
        <v>2.0778496000000003E-3</v>
      </c>
      <c r="K156" s="1135">
        <f t="shared" si="23"/>
        <v>-2.8050969600000003E-2</v>
      </c>
      <c r="M156" s="106">
        <f t="shared" si="25"/>
        <v>-1</v>
      </c>
      <c r="N156" s="1133">
        <v>1.6700928231538376E-2</v>
      </c>
      <c r="O156" s="109">
        <f t="shared" si="26"/>
        <v>3.1213755820285031E-6</v>
      </c>
      <c r="P156" s="1137">
        <f t="shared" si="24"/>
        <v>3.121375582028503E-4</v>
      </c>
      <c r="Q156" s="1131"/>
    </row>
    <row r="157" spans="2:17">
      <c r="B157" s="1132" t="s">
        <v>967</v>
      </c>
      <c r="C157" s="1133">
        <v>0.37402427818461553</v>
      </c>
      <c r="D157" s="1134">
        <v>0</v>
      </c>
      <c r="E157" s="1134">
        <v>0</v>
      </c>
      <c r="F157" s="1133">
        <v>0.7590978048</v>
      </c>
      <c r="G157" s="1133">
        <v>0.57577199999999995</v>
      </c>
      <c r="H157" s="1135">
        <f t="shared" si="22"/>
        <v>-0.38507352661538446</v>
      </c>
      <c r="J157" s="1136">
        <v>8.5600849335385851E-2</v>
      </c>
      <c r="K157" s="1135">
        <f t="shared" si="23"/>
        <v>-0.47067437595077033</v>
      </c>
      <c r="M157" s="106">
        <f t="shared" si="25"/>
        <v>-0.55720980925741126</v>
      </c>
      <c r="N157" s="1133">
        <v>1.0142018235152397</v>
      </c>
      <c r="O157" s="109">
        <f t="shared" si="26"/>
        <v>1.8955262625409459E-4</v>
      </c>
      <c r="P157" s="1137">
        <f t="shared" si="24"/>
        <v>5.8852824750669644E-3</v>
      </c>
      <c r="Q157" s="1131"/>
    </row>
    <row r="158" spans="2:17">
      <c r="B158" s="1132" t="s">
        <v>968</v>
      </c>
      <c r="C158" s="1133">
        <v>9.0545E-2</v>
      </c>
      <c r="D158" s="1134">
        <v>0</v>
      </c>
      <c r="E158" s="1134">
        <v>0</v>
      </c>
      <c r="F158" s="1133">
        <v>6.0791629999999999E-2</v>
      </c>
      <c r="G158" s="1133">
        <v>5.9020999999999997E-2</v>
      </c>
      <c r="H158" s="1135">
        <f t="shared" si="22"/>
        <v>2.9753370000000001E-2</v>
      </c>
      <c r="J158" s="1136">
        <v>4.8633304E-3</v>
      </c>
      <c r="K158" s="1135">
        <f t="shared" si="23"/>
        <v>2.48900396E-2</v>
      </c>
      <c r="M158" s="106">
        <f t="shared" si="25"/>
        <v>0.37910371810992666</v>
      </c>
      <c r="N158" s="1133">
        <v>0.13208915964943993</v>
      </c>
      <c r="O158" s="109">
        <f t="shared" si="26"/>
        <v>0</v>
      </c>
      <c r="P158" s="1137">
        <f t="shared" si="24"/>
        <v>0</v>
      </c>
      <c r="Q158" s="1131"/>
    </row>
    <row r="159" spans="2:17">
      <c r="B159" s="1132" t="s">
        <v>969</v>
      </c>
      <c r="C159" s="1133">
        <v>0.16337443391428574</v>
      </c>
      <c r="D159" s="1134">
        <v>0</v>
      </c>
      <c r="E159" s="1134">
        <v>0</v>
      </c>
      <c r="F159" s="1133">
        <v>0.2145151542</v>
      </c>
      <c r="G159" s="1133">
        <v>0.14666699999999999</v>
      </c>
      <c r="H159" s="1135">
        <f t="shared" si="22"/>
        <v>-5.1140720285714258E-2</v>
      </c>
      <c r="J159" s="1136">
        <v>1.7161212336000001E-2</v>
      </c>
      <c r="K159" s="1135">
        <f t="shared" si="23"/>
        <v>-6.8301932621714259E-2</v>
      </c>
      <c r="M159" s="106">
        <f t="shared" si="25"/>
        <v>-0.2948161422028383</v>
      </c>
      <c r="N159" s="1133">
        <v>0.28998884474762093</v>
      </c>
      <c r="O159" s="109">
        <f t="shared" si="26"/>
        <v>5.4198430560676744E-5</v>
      </c>
      <c r="P159" s="1137">
        <f t="shared" si="24"/>
        <v>4.7107410172588367E-4</v>
      </c>
      <c r="Q159" s="1131"/>
    </row>
    <row r="160" spans="2:17">
      <c r="B160" s="1132" t="s">
        <v>970</v>
      </c>
      <c r="C160" s="1133">
        <v>0.6169</v>
      </c>
      <c r="D160" s="1134">
        <v>0</v>
      </c>
      <c r="E160" s="1134">
        <v>0</v>
      </c>
      <c r="F160" s="1133">
        <v>0.38376461000000001</v>
      </c>
      <c r="G160" s="1133">
        <v>0.372587</v>
      </c>
      <c r="H160" s="1135">
        <f t="shared" si="22"/>
        <v>0.23313539</v>
      </c>
      <c r="J160" s="1136">
        <v>3.8221382504659229E-2</v>
      </c>
      <c r="K160" s="1135">
        <f t="shared" si="23"/>
        <v>0.19491400749534077</v>
      </c>
      <c r="M160" s="106">
        <f t="shared" si="25"/>
        <v>0.46189686614583225</v>
      </c>
      <c r="N160" s="1133">
        <v>0.82138201575111491</v>
      </c>
      <c r="O160" s="109">
        <f t="shared" si="26"/>
        <v>0</v>
      </c>
      <c r="P160" s="1137">
        <f t="shared" si="24"/>
        <v>0</v>
      </c>
      <c r="Q160" s="1131"/>
    </row>
    <row r="161" spans="2:17">
      <c r="B161" s="1132" t="s">
        <v>971</v>
      </c>
      <c r="C161" s="1133">
        <v>4.1000000000000002E-2</v>
      </c>
      <c r="D161" s="1134">
        <v>0</v>
      </c>
      <c r="E161" s="1134">
        <v>0</v>
      </c>
      <c r="F161" s="1133">
        <v>1.17362938E-2</v>
      </c>
      <c r="G161" s="1133">
        <v>7.5459999999999998E-3</v>
      </c>
      <c r="H161" s="1135">
        <f t="shared" si="22"/>
        <v>2.9263706200000003E-2</v>
      </c>
      <c r="J161" s="1136">
        <v>9.3890350400000009E-4</v>
      </c>
      <c r="K161" s="1135">
        <f t="shared" si="23"/>
        <v>2.8324802696000004E-2</v>
      </c>
      <c r="M161" s="106">
        <f t="shared" si="25"/>
        <v>2.2346636519071263</v>
      </c>
      <c r="N161" s="1133">
        <v>3.0365324057342505E-2</v>
      </c>
      <c r="O161" s="109">
        <f t="shared" si="26"/>
        <v>0</v>
      </c>
      <c r="P161" s="1137">
        <f t="shared" si="24"/>
        <v>0</v>
      </c>
      <c r="Q161" s="1131"/>
    </row>
    <row r="162" spans="2:17">
      <c r="B162" s="1132" t="s">
        <v>972</v>
      </c>
      <c r="C162" s="1133">
        <v>1.1639999999999999</v>
      </c>
      <c r="D162" s="1134">
        <v>0</v>
      </c>
      <c r="E162" s="1134">
        <v>0</v>
      </c>
      <c r="F162" s="1133">
        <v>0.69848007999999995</v>
      </c>
      <c r="G162" s="1133">
        <v>0.67813599999999996</v>
      </c>
      <c r="H162" s="1135">
        <f t="shared" si="22"/>
        <v>0.46551991999999998</v>
      </c>
      <c r="J162" s="1136">
        <v>5.5878406399999997E-2</v>
      </c>
      <c r="K162" s="1135">
        <f t="shared" si="23"/>
        <v>0.40964151360000001</v>
      </c>
      <c r="M162" s="106">
        <f t="shared" si="25"/>
        <v>0.54303294916839695</v>
      </c>
      <c r="N162" s="1133">
        <v>1.4560172885495732</v>
      </c>
      <c r="O162" s="109">
        <f t="shared" si="26"/>
        <v>0</v>
      </c>
      <c r="P162" s="1137">
        <f t="shared" si="24"/>
        <v>0</v>
      </c>
      <c r="Q162" s="1131"/>
    </row>
    <row r="163" spans="2:17">
      <c r="B163" s="1132" t="s">
        <v>973</v>
      </c>
      <c r="C163" s="1133">
        <v>0.54433995689361703</v>
      </c>
      <c r="D163" s="1134">
        <v>0</v>
      </c>
      <c r="E163" s="1134">
        <v>0</v>
      </c>
      <c r="F163" s="1133">
        <v>0.65042584200000009</v>
      </c>
      <c r="G163" s="1133">
        <v>0.46776400000000001</v>
      </c>
      <c r="H163" s="1135">
        <f>+C163+D163-E163-F163</f>
        <v>-0.10608588510638306</v>
      </c>
      <c r="J163" s="1136">
        <v>5.3598991810974238E-2</v>
      </c>
      <c r="K163" s="1135">
        <f>+H163-J163</f>
        <v>-0.1596848769173573</v>
      </c>
      <c r="M163" s="106">
        <f>+IF(ISERROR(K163/(F163+J163)),0,K163/(F163+J163))</f>
        <v>-0.22681710821614504</v>
      </c>
      <c r="N163" s="1133">
        <v>0.85782040461992581</v>
      </c>
      <c r="O163" s="109">
        <f t="shared" si="26"/>
        <v>1.6032520034964587E-4</v>
      </c>
      <c r="P163" s="1137">
        <f>(M163^2*O163)*100</f>
        <v>8.2480903501018575E-4</v>
      </c>
      <c r="Q163" s="1131"/>
    </row>
    <row r="164" spans="2:17">
      <c r="B164" s="1132" t="s">
        <v>974</v>
      </c>
      <c r="C164" s="1133">
        <v>0.95449580157710834</v>
      </c>
      <c r="D164" s="1134">
        <v>0</v>
      </c>
      <c r="E164" s="1134">
        <v>0</v>
      </c>
      <c r="F164" s="1133">
        <v>0.92217753999999996</v>
      </c>
      <c r="G164" s="1133">
        <v>0.89531799999999995</v>
      </c>
      <c r="H164" s="1135">
        <f t="shared" ref="H164:H187" si="27">+C164+D164-E164-F164</f>
        <v>3.2318261577108376E-2</v>
      </c>
      <c r="J164" s="1136">
        <v>7.3774203199999999E-2</v>
      </c>
      <c r="K164" s="1135">
        <f t="shared" ref="K164:K187" si="28">+H164-J164</f>
        <v>-4.1455941622891623E-2</v>
      </c>
      <c r="M164" s="106">
        <f>+IF(ISERROR(K164/(F164+J164)),0,K164/(F164+J164))</f>
        <v>-4.1624448077869101E-2</v>
      </c>
      <c r="N164" s="1133">
        <v>1.4803095477954471</v>
      </c>
      <c r="O164" s="109">
        <f t="shared" si="26"/>
        <v>2.7666738113434465E-4</v>
      </c>
      <c r="P164" s="1137">
        <f t="shared" ref="P164:P187" si="29">(M164^2*O164)*100</f>
        <v>4.7935243207069407E-5</v>
      </c>
      <c r="Q164" s="1131"/>
    </row>
    <row r="165" spans="2:17">
      <c r="B165" s="1132" t="s">
        <v>975</v>
      </c>
      <c r="C165" s="1133">
        <v>0.87</v>
      </c>
      <c r="D165" s="1134">
        <v>0</v>
      </c>
      <c r="E165" s="1134">
        <v>0</v>
      </c>
      <c r="F165" s="1133">
        <v>0.95913760680000004</v>
      </c>
      <c r="G165" s="1133">
        <v>0.750969</v>
      </c>
      <c r="H165" s="1135">
        <f t="shared" si="27"/>
        <v>-8.9137606800000047E-2</v>
      </c>
      <c r="J165" s="1136">
        <v>7.6731008544000001E-2</v>
      </c>
      <c r="K165" s="1135">
        <f t="shared" si="28"/>
        <v>-0.16586861534400005</v>
      </c>
      <c r="M165" s="106">
        <f t="shared" ref="M165:M187" si="30">+IF(ISERROR(K165/(F165+J165)),0,K165/(F165+J165))</f>
        <v>-0.16012514800336625</v>
      </c>
      <c r="N165" s="1133">
        <v>1.6531707750499731</v>
      </c>
      <c r="O165" s="109">
        <f t="shared" si="26"/>
        <v>3.0897485568613827E-4</v>
      </c>
      <c r="P165" s="1137">
        <f t="shared" si="29"/>
        <v>7.922134772345796E-4</v>
      </c>
      <c r="Q165" s="1131"/>
    </row>
    <row r="166" spans="2:17">
      <c r="B166" s="1132" t="s">
        <v>976</v>
      </c>
      <c r="C166" s="1133">
        <v>10.166710104505263</v>
      </c>
      <c r="D166" s="1134">
        <v>0</v>
      </c>
      <c r="E166" s="1134">
        <v>0</v>
      </c>
      <c r="F166" s="1133">
        <v>7.8433310144000012</v>
      </c>
      <c r="G166" s="1133">
        <v>6.799004</v>
      </c>
      <c r="H166" s="1135">
        <f t="shared" si="27"/>
        <v>2.323379090105262</v>
      </c>
      <c r="J166" s="1136">
        <v>0.6274664811520001</v>
      </c>
      <c r="K166" s="1135">
        <f t="shared" si="28"/>
        <v>1.6959126089532619</v>
      </c>
      <c r="M166" s="106">
        <f t="shared" si="30"/>
        <v>0.20020695924365822</v>
      </c>
      <c r="N166" s="1133">
        <v>10.768146383407066</v>
      </c>
      <c r="O166" s="109">
        <f t="shared" si="26"/>
        <v>0</v>
      </c>
      <c r="P166" s="1137">
        <f t="shared" si="29"/>
        <v>0</v>
      </c>
      <c r="Q166" s="1131"/>
    </row>
    <row r="167" spans="2:17">
      <c r="B167" s="1132" t="s">
        <v>977</v>
      </c>
      <c r="C167" s="1133">
        <v>3.474548831672251</v>
      </c>
      <c r="D167" s="1134">
        <v>0</v>
      </c>
      <c r="E167" s="1134">
        <v>0</v>
      </c>
      <c r="F167" s="1133">
        <v>3.75319022</v>
      </c>
      <c r="G167" s="1133">
        <v>3.6438739999999998</v>
      </c>
      <c r="H167" s="1135">
        <f t="shared" si="27"/>
        <v>-0.27864138832774898</v>
      </c>
      <c r="J167" s="1136">
        <v>0.30025521760000001</v>
      </c>
      <c r="K167" s="1135">
        <f t="shared" si="28"/>
        <v>-0.57889660592774894</v>
      </c>
      <c r="M167" s="106">
        <f t="shared" si="30"/>
        <v>-0.14281593642728474</v>
      </c>
      <c r="N167" s="1133">
        <v>5.2218733776364701</v>
      </c>
      <c r="O167" s="109">
        <f t="shared" si="26"/>
        <v>9.7595940940689802E-4</v>
      </c>
      <c r="P167" s="1137">
        <f t="shared" si="29"/>
        <v>1.9906050395223636E-3</v>
      </c>
      <c r="Q167" s="1131"/>
    </row>
    <row r="168" spans="2:17">
      <c r="B168" s="1132" t="s">
        <v>978</v>
      </c>
      <c r="C168" s="1133">
        <v>0.19</v>
      </c>
      <c r="D168" s="1134">
        <v>0</v>
      </c>
      <c r="E168" s="1134">
        <v>0</v>
      </c>
      <c r="F168" s="1133">
        <v>0.18240828000000001</v>
      </c>
      <c r="G168" s="1133">
        <v>0.11107599999999999</v>
      </c>
      <c r="H168" s="1135">
        <f t="shared" si="27"/>
        <v>7.5917199999999962E-3</v>
      </c>
      <c r="J168" s="1136">
        <v>1.4592662400000001E-2</v>
      </c>
      <c r="K168" s="1135">
        <f t="shared" si="28"/>
        <v>-7.0009424000000049E-3</v>
      </c>
      <c r="M168" s="106">
        <f t="shared" si="30"/>
        <v>-3.553760867694207E-2</v>
      </c>
      <c r="N168" s="1133">
        <v>0.31234579893214726</v>
      </c>
      <c r="O168" s="109">
        <f t="shared" si="26"/>
        <v>5.8376907943049301E-5</v>
      </c>
      <c r="P168" s="1137">
        <f t="shared" si="29"/>
        <v>7.3725459761552129E-6</v>
      </c>
      <c r="Q168" s="1131"/>
    </row>
    <row r="169" spans="2:17">
      <c r="B169" s="1132" t="s">
        <v>979</v>
      </c>
      <c r="C169" s="1133">
        <v>2.7702893611164643</v>
      </c>
      <c r="D169" s="1134">
        <v>0</v>
      </c>
      <c r="E169" s="1134">
        <v>0</v>
      </c>
      <c r="F169" s="1133">
        <v>2.8715771700000001</v>
      </c>
      <c r="G169" s="1133">
        <v>2.7879390000000002</v>
      </c>
      <c r="H169" s="1135">
        <f t="shared" si="27"/>
        <v>-0.10128780888353583</v>
      </c>
      <c r="J169" s="1136">
        <v>0.63657199665083908</v>
      </c>
      <c r="K169" s="1135">
        <f t="shared" si="28"/>
        <v>-0.73785980553437491</v>
      </c>
      <c r="M169" s="106">
        <f t="shared" si="30"/>
        <v>-0.21032737505822624</v>
      </c>
      <c r="N169" s="1133">
        <v>6.9099504086184655</v>
      </c>
      <c r="O169" s="109">
        <f t="shared" si="26"/>
        <v>1.2914581860042403E-3</v>
      </c>
      <c r="P169" s="1137">
        <f t="shared" si="29"/>
        <v>5.7131016717593087E-3</v>
      </c>
      <c r="Q169" s="1131"/>
    </row>
    <row r="170" spans="2:17">
      <c r="B170" s="1132" t="s">
        <v>980</v>
      </c>
      <c r="C170" s="1133">
        <v>9.873794889034782</v>
      </c>
      <c r="D170" s="1134">
        <v>0</v>
      </c>
      <c r="E170" s="1134">
        <v>0</v>
      </c>
      <c r="F170" s="1133">
        <v>8.2651536300000004</v>
      </c>
      <c r="G170" s="1133">
        <v>8.0244210000000002</v>
      </c>
      <c r="H170" s="1135">
        <f t="shared" si="27"/>
        <v>1.6086412590347816</v>
      </c>
      <c r="J170" s="1136">
        <v>0.66121229040000007</v>
      </c>
      <c r="K170" s="1135">
        <f t="shared" si="28"/>
        <v>0.94742896863478154</v>
      </c>
      <c r="M170" s="106">
        <f t="shared" si="30"/>
        <v>0.10613826243326649</v>
      </c>
      <c r="N170" s="1133">
        <v>12.771245387568648</v>
      </c>
      <c r="O170" s="109">
        <f t="shared" si="26"/>
        <v>0</v>
      </c>
      <c r="P170" s="1137">
        <f t="shared" si="29"/>
        <v>0</v>
      </c>
      <c r="Q170" s="1131"/>
    </row>
    <row r="171" spans="2:17">
      <c r="B171" s="1132" t="s">
        <v>981</v>
      </c>
      <c r="C171" s="1133">
        <v>0.3497945129142857</v>
      </c>
      <c r="D171" s="1134">
        <v>0</v>
      </c>
      <c r="E171" s="1134">
        <v>0</v>
      </c>
      <c r="F171" s="1133">
        <v>0.53061685999999997</v>
      </c>
      <c r="G171" s="1133">
        <v>0.51516200000000001</v>
      </c>
      <c r="H171" s="1135">
        <f t="shared" si="27"/>
        <v>-0.18082234708571426</v>
      </c>
      <c r="J171" s="1136">
        <v>4.2449348800000002E-2</v>
      </c>
      <c r="K171" s="1135">
        <f t="shared" si="28"/>
        <v>-0.22327169588571427</v>
      </c>
      <c r="M171" s="106">
        <f t="shared" si="30"/>
        <v>-0.3896089011307175</v>
      </c>
      <c r="N171" s="1133">
        <v>1.0533348070350139</v>
      </c>
      <c r="O171" s="109">
        <f t="shared" si="26"/>
        <v>1.9686651548929762E-4</v>
      </c>
      <c r="P171" s="1137">
        <f t="shared" si="29"/>
        <v>2.9883371586440924E-3</v>
      </c>
      <c r="Q171" s="1131"/>
    </row>
    <row r="172" spans="2:17">
      <c r="B172" s="1132" t="s">
        <v>982</v>
      </c>
      <c r="C172" s="1133">
        <v>0.24382862600563382</v>
      </c>
      <c r="D172" s="1134">
        <v>0</v>
      </c>
      <c r="E172" s="1134">
        <v>0</v>
      </c>
      <c r="F172" s="1133">
        <v>0.35353439840000001</v>
      </c>
      <c r="G172" s="1133">
        <v>0.22581399999999999</v>
      </c>
      <c r="H172" s="1135">
        <f t="shared" si="27"/>
        <v>-0.10970577239436619</v>
      </c>
      <c r="J172" s="1136">
        <v>2.8282751872000002E-2</v>
      </c>
      <c r="K172" s="1135">
        <f t="shared" si="28"/>
        <v>-0.13798852426636618</v>
      </c>
      <c r="M172" s="106">
        <f t="shared" si="30"/>
        <v>-0.36139949231737106</v>
      </c>
      <c r="N172" s="1133">
        <v>0.42218168427092434</v>
      </c>
      <c r="O172" s="109">
        <f t="shared" si="26"/>
        <v>7.890505139555016E-5</v>
      </c>
      <c r="P172" s="1137">
        <f t="shared" si="29"/>
        <v>1.0305756652145433E-3</v>
      </c>
      <c r="Q172" s="1131"/>
    </row>
    <row r="173" spans="2:17">
      <c r="B173" s="1132" t="s">
        <v>983</v>
      </c>
      <c r="C173" s="1133">
        <v>1.0261916074105264</v>
      </c>
      <c r="D173" s="1134">
        <v>0</v>
      </c>
      <c r="E173" s="1134">
        <v>0</v>
      </c>
      <c r="F173" s="1133">
        <v>0.6737854592000001</v>
      </c>
      <c r="G173" s="1133">
        <v>0.51106300000000005</v>
      </c>
      <c r="H173" s="1135">
        <f t="shared" si="27"/>
        <v>0.35240614821052629</v>
      </c>
      <c r="J173" s="1136">
        <v>6.4095132634725313E-2</v>
      </c>
      <c r="K173" s="1135">
        <f t="shared" si="28"/>
        <v>0.28831101557580097</v>
      </c>
      <c r="M173" s="106">
        <f t="shared" si="30"/>
        <v>0.39072855251406108</v>
      </c>
      <c r="N173" s="1133">
        <v>0.96724887125184911</v>
      </c>
      <c r="O173" s="109">
        <f t="shared" si="26"/>
        <v>0</v>
      </c>
      <c r="P173" s="1137">
        <f t="shared" si="29"/>
        <v>0</v>
      </c>
      <c r="Q173" s="1131"/>
    </row>
    <row r="174" spans="2:17">
      <c r="B174" s="1132" t="s">
        <v>984</v>
      </c>
      <c r="C174" s="1133">
        <v>0.2</v>
      </c>
      <c r="D174" s="1134">
        <v>0</v>
      </c>
      <c r="E174" s="1134">
        <v>0</v>
      </c>
      <c r="F174" s="1133">
        <v>0.24448911210000002</v>
      </c>
      <c r="G174" s="1133">
        <v>0.181197</v>
      </c>
      <c r="H174" s="1135">
        <f t="shared" si="27"/>
        <v>-4.4489112100000006E-2</v>
      </c>
      <c r="J174" s="1136">
        <v>1.9559128968000002E-2</v>
      </c>
      <c r="K174" s="1135">
        <f t="shared" si="28"/>
        <v>-6.4048241068E-2</v>
      </c>
      <c r="M174" s="106">
        <f t="shared" si="30"/>
        <v>-0.24256264994965726</v>
      </c>
      <c r="N174" s="1133">
        <v>0.37340199414719044</v>
      </c>
      <c r="O174" s="109">
        <f t="shared" si="26"/>
        <v>6.9788208814093556E-5</v>
      </c>
      <c r="P174" s="1137">
        <f t="shared" si="29"/>
        <v>4.1061036589615425E-4</v>
      </c>
      <c r="Q174" s="1131"/>
    </row>
    <row r="175" spans="2:17">
      <c r="B175" s="1132" t="s">
        <v>985</v>
      </c>
      <c r="C175" s="1133">
        <v>1.7643634999999998E-2</v>
      </c>
      <c r="D175" s="1134">
        <v>0</v>
      </c>
      <c r="E175" s="1134">
        <v>0</v>
      </c>
      <c r="F175" s="1133">
        <v>2.668626E-2</v>
      </c>
      <c r="G175" s="1133">
        <v>1.8141999999999998E-2</v>
      </c>
      <c r="H175" s="1135">
        <f t="shared" si="27"/>
        <v>-9.0426250000000021E-3</v>
      </c>
      <c r="J175" s="1136">
        <v>2.1349008000000002E-3</v>
      </c>
      <c r="K175" s="1135">
        <f t="shared" si="28"/>
        <v>-1.1177525800000003E-2</v>
      </c>
      <c r="M175" s="106">
        <f t="shared" si="30"/>
        <v>-0.38782358134582851</v>
      </c>
      <c r="N175" s="1133">
        <v>3.7307209751798E-2</v>
      </c>
      <c r="O175" s="109">
        <f t="shared" si="26"/>
        <v>6.9726551685295982E-6</v>
      </c>
      <c r="P175" s="1137">
        <f t="shared" si="29"/>
        <v>1.0487370541067553E-4</v>
      </c>
      <c r="Q175" s="1131"/>
    </row>
    <row r="176" spans="2:17">
      <c r="B176" s="1132" t="s">
        <v>986</v>
      </c>
      <c r="C176" s="1133">
        <v>7.0522625673684205</v>
      </c>
      <c r="D176" s="1134">
        <v>0</v>
      </c>
      <c r="E176" s="1134">
        <v>0</v>
      </c>
      <c r="F176" s="1133">
        <v>8.04217622</v>
      </c>
      <c r="G176" s="1133">
        <v>6.570074</v>
      </c>
      <c r="H176" s="1135">
        <f t="shared" si="27"/>
        <v>-0.98991365263157949</v>
      </c>
      <c r="J176" s="1136">
        <v>0.64337409759999997</v>
      </c>
      <c r="K176" s="1135">
        <f t="shared" si="28"/>
        <v>-1.6332877502315795</v>
      </c>
      <c r="M176" s="106">
        <f t="shared" si="30"/>
        <v>-0.18804654748496016</v>
      </c>
      <c r="N176" s="1133">
        <v>13.428302707712934</v>
      </c>
      <c r="O176" s="109">
        <f t="shared" si="26"/>
        <v>2.5097273396331144E-3</v>
      </c>
      <c r="P176" s="1137">
        <f t="shared" si="29"/>
        <v>8.8747733412083592E-3</v>
      </c>
      <c r="Q176" s="1131"/>
    </row>
    <row r="177" spans="2:17">
      <c r="B177" s="1132" t="s">
        <v>987</v>
      </c>
      <c r="C177" s="1133">
        <v>5.7301129411764518E-4</v>
      </c>
      <c r="D177" s="1134">
        <v>0</v>
      </c>
      <c r="E177" s="1134">
        <v>0</v>
      </c>
      <c r="F177" s="1133">
        <v>5.6229760000000009E-3</v>
      </c>
      <c r="G177" s="1133">
        <v>3.4120000000000001E-3</v>
      </c>
      <c r="H177" s="1135">
        <f t="shared" si="27"/>
        <v>-5.0499647058823557E-3</v>
      </c>
      <c r="J177" s="1136">
        <v>4.498380800000001E-4</v>
      </c>
      <c r="K177" s="1135">
        <f t="shared" si="28"/>
        <v>-5.4998027858823555E-3</v>
      </c>
      <c r="M177" s="106">
        <f t="shared" si="30"/>
        <v>-0.90564320155876643</v>
      </c>
      <c r="N177" s="1133">
        <v>1.1335565580158621E-2</v>
      </c>
      <c r="O177" s="109">
        <f t="shared" si="26"/>
        <v>2.1185982671054616E-6</v>
      </c>
      <c r="P177" s="1137">
        <f t="shared" si="29"/>
        <v>1.7376522833287438E-4</v>
      </c>
      <c r="Q177" s="1131"/>
    </row>
    <row r="178" spans="2:17">
      <c r="B178" s="1132" t="s">
        <v>988</v>
      </c>
      <c r="C178" s="1133">
        <v>5.9525737311111118E-2</v>
      </c>
      <c r="D178" s="1134">
        <v>0</v>
      </c>
      <c r="E178" s="1134">
        <v>0</v>
      </c>
      <c r="F178" s="1133">
        <v>0.2403649612</v>
      </c>
      <c r="G178" s="1133">
        <v>0.19128200000000001</v>
      </c>
      <c r="H178" s="1135">
        <f t="shared" si="27"/>
        <v>-0.1808392238888889</v>
      </c>
      <c r="J178" s="1136">
        <v>2.0348556737692217E-2</v>
      </c>
      <c r="K178" s="1135">
        <f t="shared" si="28"/>
        <v>-0.2011877806265811</v>
      </c>
      <c r="M178" s="106">
        <f t="shared" si="30"/>
        <v>-0.77168143108967169</v>
      </c>
      <c r="N178" s="1133">
        <v>0.37484863131568463</v>
      </c>
      <c r="O178" s="109">
        <f t="shared" si="26"/>
        <v>7.005858288379738E-5</v>
      </c>
      <c r="P178" s="1137">
        <f t="shared" si="29"/>
        <v>4.1719341828378364E-3</v>
      </c>
      <c r="Q178" s="1131"/>
    </row>
    <row r="179" spans="2:17">
      <c r="B179" s="1132" t="s">
        <v>989</v>
      </c>
      <c r="C179" s="1133">
        <v>13.871</v>
      </c>
      <c r="D179" s="1134">
        <v>0</v>
      </c>
      <c r="E179" s="1134">
        <v>0</v>
      </c>
      <c r="F179" s="1133">
        <v>9.4855038100000009</v>
      </c>
      <c r="G179" s="1133">
        <v>9.2092270000000003</v>
      </c>
      <c r="H179" s="1135">
        <f t="shared" si="27"/>
        <v>4.3854961899999996</v>
      </c>
      <c r="J179" s="1136">
        <v>2.6686847407587622</v>
      </c>
      <c r="K179" s="1135">
        <f t="shared" si="28"/>
        <v>1.7168114492412374</v>
      </c>
      <c r="M179" s="106">
        <f t="shared" si="30"/>
        <v>0.14125265887322935</v>
      </c>
      <c r="N179" s="1133">
        <v>19.492369952116569</v>
      </c>
      <c r="O179" s="109">
        <f t="shared" si="26"/>
        <v>0</v>
      </c>
      <c r="P179" s="1137">
        <f t="shared" si="29"/>
        <v>0</v>
      </c>
      <c r="Q179" s="1131"/>
    </row>
    <row r="180" spans="2:17">
      <c r="B180" s="1132" t="s">
        <v>990</v>
      </c>
      <c r="C180" s="1133">
        <v>215.36160507378835</v>
      </c>
      <c r="D180" s="1134">
        <v>0</v>
      </c>
      <c r="E180" s="1134">
        <v>0</v>
      </c>
      <c r="F180" s="1133">
        <v>192.55564278</v>
      </c>
      <c r="G180" s="1133">
        <v>186.947226</v>
      </c>
      <c r="H180" s="1135">
        <f t="shared" si="27"/>
        <v>22.805962293788355</v>
      </c>
      <c r="J180" s="1136">
        <v>15.926355660097768</v>
      </c>
      <c r="K180" s="1135">
        <f t="shared" si="28"/>
        <v>6.879606633690587</v>
      </c>
      <c r="M180" s="106">
        <f t="shared" si="30"/>
        <v>3.299856431329861E-2</v>
      </c>
      <c r="N180" s="1133">
        <v>729.47394211002882</v>
      </c>
      <c r="O180" s="109">
        <f t="shared" si="26"/>
        <v>0</v>
      </c>
      <c r="P180" s="1137">
        <f t="shared" si="29"/>
        <v>0</v>
      </c>
      <c r="Q180" s="1131"/>
    </row>
    <row r="181" spans="2:17">
      <c r="B181" s="1132" t="s">
        <v>991</v>
      </c>
      <c r="C181" s="1133">
        <v>624.21310599999993</v>
      </c>
      <c r="D181" s="1134">
        <v>0</v>
      </c>
      <c r="E181" s="1134">
        <v>0</v>
      </c>
      <c r="F181" s="1133">
        <v>411.51198497000001</v>
      </c>
      <c r="G181" s="1133">
        <v>399.52619900000002</v>
      </c>
      <c r="H181" s="1135">
        <f t="shared" si="27"/>
        <v>212.70112102999991</v>
      </c>
      <c r="J181" s="1136">
        <v>32.920958797600001</v>
      </c>
      <c r="K181" s="1135">
        <f t="shared" si="28"/>
        <v>179.7801622323999</v>
      </c>
      <c r="M181" s="106">
        <f t="shared" si="30"/>
        <v>0.40451583248610251</v>
      </c>
      <c r="N181" s="1133">
        <v>1303.0578526212225</v>
      </c>
      <c r="O181" s="109">
        <f t="shared" si="26"/>
        <v>0</v>
      </c>
      <c r="P181" s="1137">
        <f t="shared" si="29"/>
        <v>0</v>
      </c>
      <c r="Q181" s="1131"/>
    </row>
    <row r="182" spans="2:17">
      <c r="B182" s="1132" t="s">
        <v>992</v>
      </c>
      <c r="C182" s="1133">
        <v>7.9559245043408175</v>
      </c>
      <c r="D182" s="1134">
        <v>0</v>
      </c>
      <c r="E182" s="1134">
        <v>0</v>
      </c>
      <c r="F182" s="1133">
        <v>8.8115912899999991</v>
      </c>
      <c r="G182" s="1133">
        <v>8.5549429999999997</v>
      </c>
      <c r="H182" s="1135">
        <f t="shared" si="27"/>
        <v>-0.85566678565918153</v>
      </c>
      <c r="J182" s="1136">
        <v>0.80911540393951076</v>
      </c>
      <c r="K182" s="1135">
        <f t="shared" si="28"/>
        <v>-1.6647821895986923</v>
      </c>
      <c r="M182" s="106">
        <f t="shared" si="30"/>
        <v>-0.17304156987213931</v>
      </c>
      <c r="N182" s="1133">
        <v>34.887784663302128</v>
      </c>
      <c r="O182" s="109">
        <f t="shared" si="26"/>
        <v>6.5204686619426801E-3</v>
      </c>
      <c r="P182" s="1137">
        <f t="shared" si="29"/>
        <v>1.9524490289780979E-2</v>
      </c>
      <c r="Q182" s="1131"/>
    </row>
    <row r="183" spans="2:17">
      <c r="B183" s="1132" t="s">
        <v>993</v>
      </c>
      <c r="C183" s="1133">
        <v>18.262708909220404</v>
      </c>
      <c r="D183" s="1134">
        <v>0</v>
      </c>
      <c r="E183" s="1134">
        <v>0</v>
      </c>
      <c r="F183" s="1133">
        <v>11.72418306</v>
      </c>
      <c r="G183" s="1133">
        <v>11.382702</v>
      </c>
      <c r="H183" s="1135">
        <f t="shared" si="27"/>
        <v>6.5385258492204041</v>
      </c>
      <c r="J183" s="1136">
        <v>1.0034855607384914</v>
      </c>
      <c r="K183" s="1135">
        <f t="shared" si="28"/>
        <v>5.5350402884819125</v>
      </c>
      <c r="M183" s="106">
        <f t="shared" si="30"/>
        <v>0.43488249524843109</v>
      </c>
      <c r="N183" s="1133">
        <v>49.591012738273157</v>
      </c>
      <c r="O183" s="109">
        <f t="shared" si="26"/>
        <v>0</v>
      </c>
      <c r="P183" s="1137">
        <f t="shared" si="29"/>
        <v>0</v>
      </c>
      <c r="Q183" s="1131"/>
    </row>
    <row r="184" spans="2:17">
      <c r="B184" s="1132" t="s">
        <v>994</v>
      </c>
      <c r="C184" s="1133">
        <v>22.795000000000002</v>
      </c>
      <c r="D184" s="1134">
        <v>0</v>
      </c>
      <c r="E184" s="1134">
        <v>0</v>
      </c>
      <c r="F184" s="1133">
        <v>15.661245790000001</v>
      </c>
      <c r="G184" s="1133">
        <v>15.205093</v>
      </c>
      <c r="H184" s="1135">
        <f t="shared" si="27"/>
        <v>7.1337542100000011</v>
      </c>
      <c r="J184" s="1136">
        <v>1.5498528709703898</v>
      </c>
      <c r="K184" s="1135">
        <f t="shared" si="28"/>
        <v>5.5839013390296115</v>
      </c>
      <c r="M184" s="106">
        <f t="shared" si="30"/>
        <v>0.32443607749993469</v>
      </c>
      <c r="N184" s="1133">
        <v>50.412683836291016</v>
      </c>
      <c r="O184" s="109">
        <f t="shared" si="26"/>
        <v>0</v>
      </c>
      <c r="P184" s="1137">
        <f t="shared" si="29"/>
        <v>0</v>
      </c>
      <c r="Q184" s="1131"/>
    </row>
    <row r="185" spans="2:17">
      <c r="B185" s="1132" t="s">
        <v>995</v>
      </c>
      <c r="C185" s="1133">
        <v>1.8812055102040816E-3</v>
      </c>
      <c r="D185" s="1134">
        <v>0</v>
      </c>
      <c r="E185" s="1134">
        <v>0</v>
      </c>
      <c r="F185" s="1133">
        <v>9.3318000000000003E-4</v>
      </c>
      <c r="G185" s="1133">
        <v>9.0600000000000001E-4</v>
      </c>
      <c r="H185" s="1135">
        <f t="shared" si="27"/>
        <v>9.4802551020408158E-4</v>
      </c>
      <c r="J185" s="1136">
        <v>7.4654400000000008E-5</v>
      </c>
      <c r="K185" s="1135">
        <f t="shared" si="28"/>
        <v>8.733711102040816E-4</v>
      </c>
      <c r="M185" s="106">
        <f t="shared" si="30"/>
        <v>0.86658196049279668</v>
      </c>
      <c r="N185" s="1133">
        <v>1.5182662028671251E-3</v>
      </c>
      <c r="O185" s="109">
        <f t="shared" si="26"/>
        <v>0</v>
      </c>
      <c r="P185" s="1137">
        <f t="shared" si="29"/>
        <v>0</v>
      </c>
      <c r="Q185" s="1131"/>
    </row>
    <row r="186" spans="2:17">
      <c r="B186" s="1132" t="s">
        <v>996</v>
      </c>
      <c r="C186" s="1133">
        <v>1.4999999999999999E-2</v>
      </c>
      <c r="D186" s="1134">
        <v>0</v>
      </c>
      <c r="E186" s="1134">
        <v>0</v>
      </c>
      <c r="F186" s="1133">
        <v>1.3820789999999999E-2</v>
      </c>
      <c r="G186" s="1133">
        <v>7.5929999999999999E-3</v>
      </c>
      <c r="H186" s="1135">
        <f t="shared" si="27"/>
        <v>1.17921E-3</v>
      </c>
      <c r="J186" s="1136">
        <v>1.1056632000000001E-3</v>
      </c>
      <c r="K186" s="1135">
        <f t="shared" si="28"/>
        <v>7.3546799999999911E-5</v>
      </c>
      <c r="M186" s="106">
        <f t="shared" si="30"/>
        <v>4.9272790404086024E-3</v>
      </c>
      <c r="N186" s="1133">
        <v>3.3401856463076751E-2</v>
      </c>
      <c r="O186" s="109">
        <f t="shared" si="26"/>
        <v>0</v>
      </c>
      <c r="P186" s="1137">
        <f t="shared" si="29"/>
        <v>0</v>
      </c>
      <c r="Q186" s="1131"/>
    </row>
    <row r="187" spans="2:17">
      <c r="B187" s="1132" t="s">
        <v>997</v>
      </c>
      <c r="C187" s="1133">
        <v>3.8768432242424237E-3</v>
      </c>
      <c r="D187" s="1134">
        <v>0</v>
      </c>
      <c r="E187" s="1134">
        <v>0</v>
      </c>
      <c r="F187" s="1133">
        <v>9.2370400000000002E-3</v>
      </c>
      <c r="G187" s="1133">
        <v>8.9680000000000003E-3</v>
      </c>
      <c r="H187" s="1135">
        <f t="shared" si="27"/>
        <v>-5.3601967757575765E-3</v>
      </c>
      <c r="J187" s="1136">
        <v>7.3896319999999999E-4</v>
      </c>
      <c r="K187" s="1135">
        <f t="shared" si="28"/>
        <v>-6.0991599757575761E-3</v>
      </c>
      <c r="M187" s="106">
        <f t="shared" si="30"/>
        <v>-0.61138312142457774</v>
      </c>
      <c r="N187" s="1133">
        <v>2.2671131160317243E-2</v>
      </c>
      <c r="O187" s="109">
        <f t="shared" si="26"/>
        <v>4.2371965342109233E-6</v>
      </c>
      <c r="P187" s="1137">
        <f t="shared" si="29"/>
        <v>1.5838188161563241E-4</v>
      </c>
      <c r="Q187" s="1131"/>
    </row>
    <row r="188" spans="2:17">
      <c r="B188" s="1132" t="s">
        <v>998</v>
      </c>
      <c r="C188" s="1133">
        <v>16.155005904680849</v>
      </c>
      <c r="D188" s="1134">
        <v>0</v>
      </c>
      <c r="E188" s="1134">
        <v>0</v>
      </c>
      <c r="F188" s="1133">
        <v>16.414608390000001</v>
      </c>
      <c r="G188" s="1133">
        <v>15.936513</v>
      </c>
      <c r="H188" s="1135">
        <f>+C188+D188-E188-F188</f>
        <v>-0.25960248531915298</v>
      </c>
      <c r="J188" s="1136">
        <v>1.4820302400930345</v>
      </c>
      <c r="K188" s="1135">
        <f>+H188-J188</f>
        <v>-1.7416327254121875</v>
      </c>
      <c r="M188" s="106">
        <f>+IF(ISERROR(K188/(F188+J188)),0,K188/(F188+J188))</f>
        <v>-9.7316192242025146E-2</v>
      </c>
      <c r="N188" s="1133">
        <v>37.840311136462503</v>
      </c>
      <c r="O188" s="109">
        <f t="shared" si="26"/>
        <v>7.0722909266005187E-3</v>
      </c>
      <c r="P188" s="1137">
        <f>(M188^2*O188)*100</f>
        <v>6.6977715882311434E-3</v>
      </c>
      <c r="Q188" s="1131"/>
    </row>
    <row r="189" spans="2:17">
      <c r="B189" s="1132" t="s">
        <v>999</v>
      </c>
      <c r="C189" s="1133">
        <v>84.275710408571427</v>
      </c>
      <c r="D189" s="1134">
        <v>0</v>
      </c>
      <c r="E189" s="1134">
        <v>0</v>
      </c>
      <c r="F189" s="1133">
        <v>81.120889349999999</v>
      </c>
      <c r="G189" s="1133">
        <v>78.758144999999999</v>
      </c>
      <c r="H189" s="1135">
        <f t="shared" ref="H189:H212" si="31">+C189+D189-E189-F189</f>
        <v>3.1548210585714287</v>
      </c>
      <c r="J189" s="1136">
        <v>7.3241839380818137</v>
      </c>
      <c r="K189" s="1135">
        <f t="shared" ref="K189:K212" si="32">+H189-J189</f>
        <v>-4.169362879510385</v>
      </c>
      <c r="M189" s="106">
        <f>+IF(ISERROR(K189/(F189+J189)),0,K189/(F189+J189))</f>
        <v>-4.7140702410071005E-2</v>
      </c>
      <c r="N189" s="1133">
        <v>206.30542773566557</v>
      </c>
      <c r="O189" s="109">
        <f t="shared" si="26"/>
        <v>3.8558139742076808E-2</v>
      </c>
      <c r="P189" s="1137">
        <f t="shared" ref="P189:P212" si="33">(M189^2*O189)*100</f>
        <v>8.5685665012044717E-3</v>
      </c>
      <c r="Q189" s="1131"/>
    </row>
    <row r="190" spans="2:17">
      <c r="B190" s="1132" t="s">
        <v>1000</v>
      </c>
      <c r="C190" s="1133">
        <v>4.5364113081632649</v>
      </c>
      <c r="D190" s="1134">
        <v>0</v>
      </c>
      <c r="E190" s="1134">
        <v>0</v>
      </c>
      <c r="F190" s="1133">
        <v>4.7069248999999997</v>
      </c>
      <c r="G190" s="1133">
        <v>4.5698299999999996</v>
      </c>
      <c r="H190" s="1135">
        <f t="shared" si="31"/>
        <v>-0.17051359183673487</v>
      </c>
      <c r="J190" s="1136">
        <v>0.42497541664756594</v>
      </c>
      <c r="K190" s="1135">
        <f t="shared" si="32"/>
        <v>-0.59548900848430075</v>
      </c>
      <c r="M190" s="106">
        <f t="shared" ref="M190:M212" si="34">+IF(ISERROR(K190/(F190+J190)),0,K190/(F190+J190))</f>
        <v>-0.11603674501481866</v>
      </c>
      <c r="N190" s="1133">
        <v>8.4294647328487589</v>
      </c>
      <c r="O190" s="109">
        <f t="shared" si="26"/>
        <v>1.575452874349661E-3</v>
      </c>
      <c r="P190" s="1137">
        <f t="shared" si="33"/>
        <v>2.1212726493517052E-3</v>
      </c>
      <c r="Q190" s="1131"/>
    </row>
    <row r="191" spans="2:17">
      <c r="B191" s="1132" t="s">
        <v>1001</v>
      </c>
      <c r="C191" s="1133">
        <v>51.451255591898871</v>
      </c>
      <c r="D191" s="1134">
        <v>0</v>
      </c>
      <c r="E191" s="1134">
        <v>0</v>
      </c>
      <c r="F191" s="1133">
        <v>48.429378419999999</v>
      </c>
      <c r="G191" s="1133">
        <v>47.018813999999999</v>
      </c>
      <c r="H191" s="1135">
        <f t="shared" si="31"/>
        <v>3.0218771718988719</v>
      </c>
      <c r="J191" s="1136">
        <v>4.3725565436623262</v>
      </c>
      <c r="K191" s="1135">
        <f t="shared" si="32"/>
        <v>-1.3506793717634542</v>
      </c>
      <c r="M191" s="106">
        <f t="shared" si="34"/>
        <v>-2.5580111272304244E-2</v>
      </c>
      <c r="N191" s="1133">
        <v>119.58020785065303</v>
      </c>
      <c r="O191" s="109">
        <f t="shared" si="26"/>
        <v>2.2349341048844194E-2</v>
      </c>
      <c r="P191" s="1137">
        <f t="shared" si="33"/>
        <v>1.4624114592444201E-3</v>
      </c>
      <c r="Q191" s="1131"/>
    </row>
    <row r="192" spans="2:17">
      <c r="B192" s="1132" t="s">
        <v>1002</v>
      </c>
      <c r="C192" s="1133">
        <v>51.674873023013518</v>
      </c>
      <c r="D192" s="1134">
        <v>0</v>
      </c>
      <c r="E192" s="1134">
        <v>0</v>
      </c>
      <c r="F192" s="1133">
        <v>60.464996790000001</v>
      </c>
      <c r="G192" s="1133">
        <v>50.706792999999998</v>
      </c>
      <c r="H192" s="1135">
        <f t="shared" si="31"/>
        <v>-8.7901237669864827</v>
      </c>
      <c r="J192" s="1136">
        <v>4.8371997432000002</v>
      </c>
      <c r="K192" s="1135">
        <f t="shared" si="32"/>
        <v>-13.627323510186482</v>
      </c>
      <c r="M192" s="106">
        <f t="shared" si="34"/>
        <v>-0.20868093622636835</v>
      </c>
      <c r="N192" s="1133">
        <v>141.34059984897613</v>
      </c>
      <c r="O192" s="109">
        <f t="shared" si="26"/>
        <v>2.6416321955370584E-2</v>
      </c>
      <c r="P192" s="1137">
        <f t="shared" si="33"/>
        <v>0.1150370939166751</v>
      </c>
      <c r="Q192" s="1131"/>
    </row>
    <row r="193" spans="2:17">
      <c r="B193" s="1132" t="s">
        <v>1003</v>
      </c>
      <c r="C193" s="1133">
        <v>16.782399999999999</v>
      </c>
      <c r="D193" s="1134">
        <v>0</v>
      </c>
      <c r="E193" s="1134">
        <v>0</v>
      </c>
      <c r="F193" s="1133">
        <v>15.43110259</v>
      </c>
      <c r="G193" s="1133">
        <v>14.981653</v>
      </c>
      <c r="H193" s="1135">
        <f t="shared" si="31"/>
        <v>1.351297409999999</v>
      </c>
      <c r="J193" s="1136">
        <v>1.2344882072000001</v>
      </c>
      <c r="K193" s="1135">
        <f t="shared" si="32"/>
        <v>0.11680920279999896</v>
      </c>
      <c r="M193" s="106">
        <f t="shared" si="34"/>
        <v>7.0090046144433218E-3</v>
      </c>
      <c r="N193" s="1133">
        <v>32.089021329767704</v>
      </c>
      <c r="O193" s="109">
        <f t="shared" si="26"/>
        <v>0</v>
      </c>
      <c r="P193" s="1137">
        <f t="shared" si="33"/>
        <v>0</v>
      </c>
      <c r="Q193" s="1131"/>
    </row>
    <row r="194" spans="2:17">
      <c r="B194" s="1132" t="s">
        <v>1004</v>
      </c>
      <c r="C194" s="1133">
        <v>8.8124453138061227</v>
      </c>
      <c r="D194" s="1134">
        <v>0</v>
      </c>
      <c r="E194" s="1134">
        <v>0</v>
      </c>
      <c r="F194" s="1133">
        <v>14.69302622</v>
      </c>
      <c r="G194" s="1133">
        <v>14.265074</v>
      </c>
      <c r="H194" s="1135">
        <f t="shared" si="31"/>
        <v>-5.8805809061938774</v>
      </c>
      <c r="J194" s="1136">
        <v>1.1754420976</v>
      </c>
      <c r="K194" s="1135">
        <f t="shared" si="32"/>
        <v>-7.0560230037938769</v>
      </c>
      <c r="M194" s="106">
        <f t="shared" si="34"/>
        <v>-0.44465684164160424</v>
      </c>
      <c r="N194" s="1133">
        <v>30.960304454754311</v>
      </c>
      <c r="O194" s="109">
        <f t="shared" si="26"/>
        <v>5.7864291731248695E-3</v>
      </c>
      <c r="P194" s="1137">
        <f t="shared" si="33"/>
        <v>0.11440910796373449</v>
      </c>
      <c r="Q194" s="1131"/>
    </row>
    <row r="195" spans="2:17">
      <c r="B195" s="1132" t="s">
        <v>1005</v>
      </c>
      <c r="C195" s="1133">
        <v>9.0913109999999993</v>
      </c>
      <c r="D195" s="1134">
        <v>0</v>
      </c>
      <c r="E195" s="1134">
        <v>0</v>
      </c>
      <c r="F195" s="1133">
        <v>5.3076610700000009</v>
      </c>
      <c r="G195" s="1133">
        <v>5.1530690000000003</v>
      </c>
      <c r="H195" s="1135">
        <f t="shared" si="31"/>
        <v>3.7836499299999984</v>
      </c>
      <c r="J195" s="1136">
        <v>0.4246128856000001</v>
      </c>
      <c r="K195" s="1135">
        <f t="shared" si="32"/>
        <v>3.3590370443999982</v>
      </c>
      <c r="M195" s="106">
        <f t="shared" si="34"/>
        <v>0.58598683008136265</v>
      </c>
      <c r="N195" s="1133">
        <v>12.818806878062656</v>
      </c>
      <c r="O195" s="109">
        <f t="shared" si="26"/>
        <v>0</v>
      </c>
      <c r="P195" s="1137">
        <f t="shared" si="33"/>
        <v>0</v>
      </c>
      <c r="Q195" s="1131"/>
    </row>
    <row r="196" spans="2:17">
      <c r="B196" s="1132" t="s">
        <v>1006</v>
      </c>
      <c r="C196" s="1133">
        <v>4.2162318196999991</v>
      </c>
      <c r="D196" s="1134">
        <v>0</v>
      </c>
      <c r="E196" s="1134">
        <v>0</v>
      </c>
      <c r="F196" s="1133">
        <v>3.7946096100000002</v>
      </c>
      <c r="G196" s="1133">
        <v>3.6840869999999999</v>
      </c>
      <c r="H196" s="1135">
        <f t="shared" si="31"/>
        <v>0.42162220969999886</v>
      </c>
      <c r="J196" s="1136">
        <v>0.3035687688</v>
      </c>
      <c r="K196" s="1135">
        <f t="shared" si="32"/>
        <v>0.11805344089999886</v>
      </c>
      <c r="M196" s="106">
        <f t="shared" si="34"/>
        <v>2.8806320757215658E-2</v>
      </c>
      <c r="N196" s="1133">
        <v>4.853231370812936</v>
      </c>
      <c r="O196" s="109">
        <f t="shared" si="26"/>
        <v>0</v>
      </c>
      <c r="P196" s="1137">
        <f t="shared" si="33"/>
        <v>0</v>
      </c>
      <c r="Q196" s="1131"/>
    </row>
    <row r="197" spans="2:17">
      <c r="B197" s="1132" t="s">
        <v>1007</v>
      </c>
      <c r="C197" s="1133">
        <v>5.4320409999999999</v>
      </c>
      <c r="D197" s="1134">
        <v>0</v>
      </c>
      <c r="E197" s="1134">
        <v>0</v>
      </c>
      <c r="F197" s="1133">
        <v>5.3469926499999998</v>
      </c>
      <c r="G197" s="1133">
        <v>5.191255</v>
      </c>
      <c r="H197" s="1135">
        <f t="shared" si="31"/>
        <v>8.5048350000000106E-2</v>
      </c>
      <c r="J197" s="1136">
        <v>0.42775941200000001</v>
      </c>
      <c r="K197" s="1135">
        <f t="shared" si="32"/>
        <v>-0.3427110619999999</v>
      </c>
      <c r="M197" s="106">
        <f t="shared" si="34"/>
        <v>-5.9346454760398314E-2</v>
      </c>
      <c r="N197" s="1133">
        <v>12.458452009542109</v>
      </c>
      <c r="O197" s="109">
        <f t="shared" si="26"/>
        <v>2.3284638646026098E-3</v>
      </c>
      <c r="P197" s="1137">
        <f t="shared" si="33"/>
        <v>8.2008536723535347E-4</v>
      </c>
      <c r="Q197" s="1131"/>
    </row>
    <row r="198" spans="2:17">
      <c r="B198" s="1132" t="s">
        <v>1008</v>
      </c>
      <c r="C198" s="1133">
        <v>112.79054718064759</v>
      </c>
      <c r="D198" s="1134">
        <v>0</v>
      </c>
      <c r="E198" s="1134">
        <v>0</v>
      </c>
      <c r="F198" s="1133">
        <v>102.04025115</v>
      </c>
      <c r="G198" s="1133">
        <v>99.068205000000006</v>
      </c>
      <c r="H198" s="1135">
        <f t="shared" si="31"/>
        <v>10.75029603064759</v>
      </c>
      <c r="J198" s="1136">
        <v>8.1632200919999995</v>
      </c>
      <c r="K198" s="1135">
        <f t="shared" si="32"/>
        <v>2.5870759386475903</v>
      </c>
      <c r="M198" s="106">
        <f t="shared" si="34"/>
        <v>2.3475448726715073E-2</v>
      </c>
      <c r="N198" s="1133">
        <v>160.95081743237122</v>
      </c>
      <c r="O198" s="109">
        <f t="shared" si="26"/>
        <v>0</v>
      </c>
      <c r="P198" s="1137">
        <f t="shared" si="33"/>
        <v>0</v>
      </c>
      <c r="Q198" s="1131"/>
    </row>
    <row r="199" spans="2:17">
      <c r="B199" s="1132" t="s">
        <v>1009</v>
      </c>
      <c r="C199" s="1133">
        <v>59.344867800307476</v>
      </c>
      <c r="D199" s="1134">
        <v>0</v>
      </c>
      <c r="E199" s="1134">
        <v>0</v>
      </c>
      <c r="F199" s="1133">
        <v>68.64802195</v>
      </c>
      <c r="G199" s="1133">
        <v>66.648565000000005</v>
      </c>
      <c r="H199" s="1135">
        <f t="shared" si="31"/>
        <v>-9.3031541496925243</v>
      </c>
      <c r="J199" s="1136">
        <v>5.4918417560000004</v>
      </c>
      <c r="K199" s="1135">
        <f t="shared" si="32"/>
        <v>-14.794995905692524</v>
      </c>
      <c r="M199" s="106">
        <f t="shared" si="34"/>
        <v>-0.19955520776733224</v>
      </c>
      <c r="N199" s="1133">
        <v>175.56084826144158</v>
      </c>
      <c r="O199" s="109">
        <f t="shared" si="26"/>
        <v>3.2812029207372848E-2</v>
      </c>
      <c r="P199" s="1137">
        <f t="shared" si="33"/>
        <v>0.13066498455392431</v>
      </c>
      <c r="Q199" s="1131"/>
    </row>
    <row r="200" spans="2:17">
      <c r="B200" s="1132" t="s">
        <v>1010</v>
      </c>
      <c r="C200" s="1133">
        <v>139.94778024685601</v>
      </c>
      <c r="D200" s="1134">
        <v>0</v>
      </c>
      <c r="E200" s="1134">
        <v>0</v>
      </c>
      <c r="F200" s="1133">
        <v>131.90580360999999</v>
      </c>
      <c r="G200" s="1133">
        <v>128.06388699999999</v>
      </c>
      <c r="H200" s="1135">
        <f t="shared" si="31"/>
        <v>8.0419766368560204</v>
      </c>
      <c r="J200" s="1136">
        <v>10.852722205358493</v>
      </c>
      <c r="K200" s="1135">
        <f t="shared" si="32"/>
        <v>-2.8107455685024725</v>
      </c>
      <c r="M200" s="106">
        <f t="shared" si="34"/>
        <v>-1.9688810545282907E-2</v>
      </c>
      <c r="N200" s="1133">
        <v>383.54787997240538</v>
      </c>
      <c r="O200" s="109">
        <f t="shared" si="26"/>
        <v>7.1684457922755088E-2</v>
      </c>
      <c r="P200" s="1137">
        <f t="shared" si="33"/>
        <v>2.7788427116579163E-3</v>
      </c>
      <c r="Q200" s="1131"/>
    </row>
    <row r="201" spans="2:17">
      <c r="B201" s="1132" t="s">
        <v>1011</v>
      </c>
      <c r="C201" s="1133">
        <v>13.993</v>
      </c>
      <c r="D201" s="1134">
        <v>0</v>
      </c>
      <c r="E201" s="1134">
        <v>0</v>
      </c>
      <c r="F201" s="1133">
        <v>10.83975193</v>
      </c>
      <c r="G201" s="1133">
        <v>10.524031000000001</v>
      </c>
      <c r="H201" s="1135">
        <f t="shared" si="31"/>
        <v>3.1532480700000001</v>
      </c>
      <c r="J201" s="1136">
        <v>0.89185474218489991</v>
      </c>
      <c r="K201" s="1135">
        <f t="shared" si="32"/>
        <v>2.2613933278151004</v>
      </c>
      <c r="M201" s="106">
        <f t="shared" si="34"/>
        <v>0.19276075229974765</v>
      </c>
      <c r="N201" s="1133">
        <v>17.985919201128109</v>
      </c>
      <c r="O201" s="109">
        <f t="shared" si="26"/>
        <v>0</v>
      </c>
      <c r="P201" s="1137">
        <f t="shared" si="33"/>
        <v>0</v>
      </c>
      <c r="Q201" s="1131"/>
    </row>
    <row r="202" spans="2:17">
      <c r="B202" s="1132"/>
      <c r="C202" s="1133"/>
      <c r="D202" s="1134"/>
      <c r="E202" s="1134"/>
      <c r="F202" s="1133"/>
      <c r="G202" s="1133"/>
      <c r="H202" s="1135">
        <f t="shared" si="31"/>
        <v>0</v>
      </c>
      <c r="J202" s="1136"/>
      <c r="K202" s="1135">
        <f t="shared" si="32"/>
        <v>0</v>
      </c>
      <c r="M202" s="106">
        <f t="shared" si="34"/>
        <v>0</v>
      </c>
      <c r="N202" s="1133"/>
      <c r="O202" s="109">
        <f t="shared" si="26"/>
        <v>0</v>
      </c>
      <c r="P202" s="1137">
        <f t="shared" si="33"/>
        <v>0</v>
      </c>
      <c r="Q202" s="1131"/>
    </row>
    <row r="203" spans="2:17">
      <c r="B203" s="1132"/>
      <c r="C203" s="1133"/>
      <c r="D203" s="1134"/>
      <c r="E203" s="1134"/>
      <c r="F203" s="1133"/>
      <c r="G203" s="1133"/>
      <c r="H203" s="1135">
        <f t="shared" si="31"/>
        <v>0</v>
      </c>
      <c r="J203" s="1136"/>
      <c r="K203" s="1135">
        <f t="shared" si="32"/>
        <v>0</v>
      </c>
      <c r="M203" s="106">
        <f t="shared" si="34"/>
        <v>0</v>
      </c>
      <c r="N203" s="1133"/>
      <c r="O203" s="109">
        <f t="shared" si="26"/>
        <v>0</v>
      </c>
      <c r="P203" s="1137">
        <f t="shared" si="33"/>
        <v>0</v>
      </c>
      <c r="Q203" s="1131"/>
    </row>
    <row r="204" spans="2:17">
      <c r="B204" s="1132"/>
      <c r="C204" s="1134"/>
      <c r="D204" s="1134"/>
      <c r="E204" s="1134"/>
      <c r="F204" s="1134"/>
      <c r="G204" s="1134"/>
      <c r="H204" s="1135">
        <f t="shared" si="31"/>
        <v>0</v>
      </c>
      <c r="J204" s="1144"/>
      <c r="K204" s="1135">
        <f t="shared" si="32"/>
        <v>0</v>
      </c>
      <c r="M204" s="106">
        <f t="shared" si="34"/>
        <v>0</v>
      </c>
      <c r="N204" s="1133"/>
      <c r="O204" s="109">
        <f t="shared" si="26"/>
        <v>0</v>
      </c>
      <c r="P204" s="1137">
        <f t="shared" si="33"/>
        <v>0</v>
      </c>
      <c r="Q204" s="1131"/>
    </row>
    <row r="205" spans="2:17">
      <c r="B205" s="1132"/>
      <c r="C205" s="1134"/>
      <c r="D205" s="1134"/>
      <c r="E205" s="1134"/>
      <c r="F205" s="1134"/>
      <c r="G205" s="1134"/>
      <c r="H205" s="1135">
        <f t="shared" si="31"/>
        <v>0</v>
      </c>
      <c r="J205" s="1144"/>
      <c r="K205" s="1135">
        <f t="shared" si="32"/>
        <v>0</v>
      </c>
      <c r="M205" s="106">
        <f t="shared" si="34"/>
        <v>0</v>
      </c>
      <c r="N205" s="1133"/>
      <c r="O205" s="109">
        <f t="shared" si="26"/>
        <v>0</v>
      </c>
      <c r="P205" s="1137">
        <f t="shared" si="33"/>
        <v>0</v>
      </c>
      <c r="Q205" s="1131"/>
    </row>
    <row r="206" spans="2:17">
      <c r="B206" s="1132"/>
      <c r="C206" s="1134"/>
      <c r="D206" s="1134"/>
      <c r="E206" s="1134"/>
      <c r="F206" s="1134"/>
      <c r="G206" s="1134"/>
      <c r="H206" s="1135">
        <f t="shared" si="31"/>
        <v>0</v>
      </c>
      <c r="J206" s="1144"/>
      <c r="K206" s="1135">
        <f t="shared" si="32"/>
        <v>0</v>
      </c>
      <c r="M206" s="106">
        <f t="shared" si="34"/>
        <v>0</v>
      </c>
      <c r="N206" s="1133"/>
      <c r="O206" s="109">
        <f t="shared" ref="O206:O262" si="35">IF(K206&lt;0,N206/$N$263,0)</f>
        <v>0</v>
      </c>
      <c r="P206" s="1137">
        <f t="shared" si="33"/>
        <v>0</v>
      </c>
      <c r="Q206" s="1131"/>
    </row>
    <row r="207" spans="2:17">
      <c r="B207" s="1132"/>
      <c r="C207" s="1134"/>
      <c r="D207" s="1134"/>
      <c r="E207" s="1134"/>
      <c r="F207" s="1134"/>
      <c r="G207" s="1134"/>
      <c r="H207" s="1135">
        <f t="shared" si="31"/>
        <v>0</v>
      </c>
      <c r="J207" s="1144"/>
      <c r="K207" s="1135">
        <f t="shared" si="32"/>
        <v>0</v>
      </c>
      <c r="M207" s="106">
        <f t="shared" si="34"/>
        <v>0</v>
      </c>
      <c r="N207" s="1133"/>
      <c r="O207" s="109">
        <f t="shared" si="35"/>
        <v>0</v>
      </c>
      <c r="P207" s="1137">
        <f t="shared" si="33"/>
        <v>0</v>
      </c>
      <c r="Q207" s="1131"/>
    </row>
    <row r="208" spans="2:17">
      <c r="B208" s="1132"/>
      <c r="C208" s="1134"/>
      <c r="D208" s="1134"/>
      <c r="E208" s="1134"/>
      <c r="F208" s="1134"/>
      <c r="G208" s="1134"/>
      <c r="H208" s="1135">
        <f t="shared" si="31"/>
        <v>0</v>
      </c>
      <c r="J208" s="1144"/>
      <c r="K208" s="1135">
        <f t="shared" si="32"/>
        <v>0</v>
      </c>
      <c r="M208" s="106">
        <f t="shared" si="34"/>
        <v>0</v>
      </c>
      <c r="N208" s="1133"/>
      <c r="O208" s="109">
        <f t="shared" si="35"/>
        <v>0</v>
      </c>
      <c r="P208" s="1137">
        <f t="shared" si="33"/>
        <v>0</v>
      </c>
      <c r="Q208" s="1131"/>
    </row>
    <row r="209" spans="2:17">
      <c r="B209" s="1132"/>
      <c r="C209" s="1134"/>
      <c r="D209" s="1134"/>
      <c r="E209" s="1134"/>
      <c r="F209" s="1134"/>
      <c r="G209" s="1134"/>
      <c r="H209" s="1135">
        <f t="shared" si="31"/>
        <v>0</v>
      </c>
      <c r="J209" s="1144"/>
      <c r="K209" s="1135">
        <f t="shared" si="32"/>
        <v>0</v>
      </c>
      <c r="M209" s="106">
        <f t="shared" si="34"/>
        <v>0</v>
      </c>
      <c r="N209" s="1133"/>
      <c r="O209" s="109">
        <f t="shared" si="35"/>
        <v>0</v>
      </c>
      <c r="P209" s="1137">
        <f t="shared" si="33"/>
        <v>0</v>
      </c>
      <c r="Q209" s="1131"/>
    </row>
    <row r="210" spans="2:17">
      <c r="B210" s="1132"/>
      <c r="C210" s="1134"/>
      <c r="D210" s="1134"/>
      <c r="E210" s="1134"/>
      <c r="F210" s="1134"/>
      <c r="G210" s="1134"/>
      <c r="H210" s="1135">
        <f t="shared" si="31"/>
        <v>0</v>
      </c>
      <c r="J210" s="1144"/>
      <c r="K210" s="1135">
        <f t="shared" si="32"/>
        <v>0</v>
      </c>
      <c r="M210" s="106">
        <f t="shared" si="34"/>
        <v>0</v>
      </c>
      <c r="N210" s="1133"/>
      <c r="O210" s="109">
        <f t="shared" si="35"/>
        <v>0</v>
      </c>
      <c r="P210" s="1137">
        <f t="shared" si="33"/>
        <v>0</v>
      </c>
      <c r="Q210" s="1131"/>
    </row>
    <row r="211" spans="2:17">
      <c r="B211" s="1132"/>
      <c r="C211" s="1134"/>
      <c r="D211" s="1134"/>
      <c r="E211" s="1134"/>
      <c r="F211" s="1134"/>
      <c r="G211" s="1134"/>
      <c r="H211" s="1135">
        <f t="shared" si="31"/>
        <v>0</v>
      </c>
      <c r="J211" s="1144"/>
      <c r="K211" s="1135">
        <f t="shared" si="32"/>
        <v>0</v>
      </c>
      <c r="M211" s="106">
        <f t="shared" si="34"/>
        <v>0</v>
      </c>
      <c r="N211" s="1133"/>
      <c r="O211" s="109">
        <f t="shared" si="35"/>
        <v>0</v>
      </c>
      <c r="P211" s="1137">
        <f t="shared" si="33"/>
        <v>0</v>
      </c>
      <c r="Q211" s="1131"/>
    </row>
    <row r="212" spans="2:17">
      <c r="B212" s="1132"/>
      <c r="C212" s="1134"/>
      <c r="D212" s="1134"/>
      <c r="E212" s="1134"/>
      <c r="F212" s="1134"/>
      <c r="G212" s="1134"/>
      <c r="H212" s="1135">
        <f t="shared" si="31"/>
        <v>0</v>
      </c>
      <c r="J212" s="1144"/>
      <c r="K212" s="1135">
        <f t="shared" si="32"/>
        <v>0</v>
      </c>
      <c r="M212" s="106">
        <f t="shared" si="34"/>
        <v>0</v>
      </c>
      <c r="N212" s="1133"/>
      <c r="O212" s="109">
        <f t="shared" si="35"/>
        <v>0</v>
      </c>
      <c r="P212" s="1137">
        <f t="shared" si="33"/>
        <v>0</v>
      </c>
      <c r="Q212" s="1131"/>
    </row>
    <row r="213" spans="2:17">
      <c r="B213" s="1132"/>
      <c r="C213" s="1134"/>
      <c r="D213" s="1134"/>
      <c r="E213" s="1134"/>
      <c r="F213" s="1134"/>
      <c r="G213" s="1134"/>
      <c r="H213" s="1135">
        <f>+C213+D213-E213-F213</f>
        <v>0</v>
      </c>
      <c r="J213" s="1144"/>
      <c r="K213" s="1135">
        <f>+H213-J213</f>
        <v>0</v>
      </c>
      <c r="M213" s="106">
        <f>+IF(ISERROR(K213/(F213+J213)),0,K213/(F213+J213))</f>
        <v>0</v>
      </c>
      <c r="N213" s="1133"/>
      <c r="O213" s="109">
        <f t="shared" si="35"/>
        <v>0</v>
      </c>
      <c r="P213" s="1137">
        <f>(M213^2*O213)*100</f>
        <v>0</v>
      </c>
      <c r="Q213" s="1131"/>
    </row>
    <row r="214" spans="2:17">
      <c r="B214" s="1132"/>
      <c r="C214" s="1134"/>
      <c r="D214" s="1134"/>
      <c r="E214" s="1134"/>
      <c r="F214" s="1134"/>
      <c r="G214" s="1134"/>
      <c r="H214" s="1135">
        <f t="shared" ref="H214:H237" si="36">+C214+D214-E214-F214</f>
        <v>0</v>
      </c>
      <c r="J214" s="1144"/>
      <c r="K214" s="1135">
        <f t="shared" ref="K214:K237" si="37">+H214-J214</f>
        <v>0</v>
      </c>
      <c r="M214" s="106">
        <f>+IF(ISERROR(K214/(F214+J214)),0,K214/(F214+J214))</f>
        <v>0</v>
      </c>
      <c r="N214" s="1133"/>
      <c r="O214" s="109">
        <f t="shared" si="35"/>
        <v>0</v>
      </c>
      <c r="P214" s="1137">
        <f t="shared" ref="P214:P237" si="38">(M214^2*O214)*100</f>
        <v>0</v>
      </c>
      <c r="Q214" s="1131"/>
    </row>
    <row r="215" spans="2:17">
      <c r="B215" s="1132"/>
      <c r="C215" s="1134"/>
      <c r="D215" s="1134"/>
      <c r="E215" s="1134"/>
      <c r="F215" s="1134"/>
      <c r="G215" s="1134"/>
      <c r="H215" s="1135">
        <f t="shared" si="36"/>
        <v>0</v>
      </c>
      <c r="J215" s="1144"/>
      <c r="K215" s="1135">
        <f t="shared" si="37"/>
        <v>0</v>
      </c>
      <c r="M215" s="106">
        <f t="shared" ref="M215:M237" si="39">+IF(ISERROR(K215/(F215+J215)),0,K215/(F215+J215))</f>
        <v>0</v>
      </c>
      <c r="N215" s="1133"/>
      <c r="O215" s="109">
        <f t="shared" si="35"/>
        <v>0</v>
      </c>
      <c r="P215" s="1137">
        <f t="shared" si="38"/>
        <v>0</v>
      </c>
      <c r="Q215" s="1131"/>
    </row>
    <row r="216" spans="2:17">
      <c r="B216" s="1132"/>
      <c r="C216" s="1134"/>
      <c r="D216" s="1134"/>
      <c r="E216" s="1134"/>
      <c r="F216" s="1134"/>
      <c r="G216" s="1134"/>
      <c r="H216" s="1135">
        <f t="shared" si="36"/>
        <v>0</v>
      </c>
      <c r="J216" s="1144"/>
      <c r="K216" s="1135">
        <f t="shared" si="37"/>
        <v>0</v>
      </c>
      <c r="M216" s="106">
        <f t="shared" si="39"/>
        <v>0</v>
      </c>
      <c r="N216" s="1133"/>
      <c r="O216" s="109">
        <f t="shared" si="35"/>
        <v>0</v>
      </c>
      <c r="P216" s="1137">
        <f t="shared" si="38"/>
        <v>0</v>
      </c>
      <c r="Q216" s="1131"/>
    </row>
    <row r="217" spans="2:17">
      <c r="B217" s="1132"/>
      <c r="C217" s="1134"/>
      <c r="D217" s="1134"/>
      <c r="E217" s="1134"/>
      <c r="F217" s="1134"/>
      <c r="G217" s="1134"/>
      <c r="H217" s="1135">
        <f t="shared" si="36"/>
        <v>0</v>
      </c>
      <c r="J217" s="1144"/>
      <c r="K217" s="1135">
        <f t="shared" si="37"/>
        <v>0</v>
      </c>
      <c r="M217" s="106">
        <f t="shared" si="39"/>
        <v>0</v>
      </c>
      <c r="N217" s="1133"/>
      <c r="O217" s="109">
        <f t="shared" si="35"/>
        <v>0</v>
      </c>
      <c r="P217" s="1137">
        <f t="shared" si="38"/>
        <v>0</v>
      </c>
      <c r="Q217" s="1131"/>
    </row>
    <row r="218" spans="2:17">
      <c r="B218" s="1132"/>
      <c r="C218" s="1134"/>
      <c r="D218" s="1134"/>
      <c r="E218" s="1134"/>
      <c r="F218" s="1134"/>
      <c r="G218" s="1134"/>
      <c r="H218" s="1135">
        <f t="shared" si="36"/>
        <v>0</v>
      </c>
      <c r="J218" s="1144"/>
      <c r="K218" s="1135">
        <f t="shared" si="37"/>
        <v>0</v>
      </c>
      <c r="M218" s="106">
        <f t="shared" si="39"/>
        <v>0</v>
      </c>
      <c r="N218" s="1133"/>
      <c r="O218" s="109">
        <f t="shared" si="35"/>
        <v>0</v>
      </c>
      <c r="P218" s="1137">
        <f t="shared" si="38"/>
        <v>0</v>
      </c>
      <c r="Q218" s="1131"/>
    </row>
    <row r="219" spans="2:17">
      <c r="B219" s="1132"/>
      <c r="C219" s="1134"/>
      <c r="D219" s="1134"/>
      <c r="E219" s="1134"/>
      <c r="F219" s="1134"/>
      <c r="G219" s="1134"/>
      <c r="H219" s="1135">
        <f t="shared" si="36"/>
        <v>0</v>
      </c>
      <c r="J219" s="1144"/>
      <c r="K219" s="1135">
        <f t="shared" si="37"/>
        <v>0</v>
      </c>
      <c r="M219" s="106">
        <f t="shared" si="39"/>
        <v>0</v>
      </c>
      <c r="N219" s="1133"/>
      <c r="O219" s="109">
        <f t="shared" si="35"/>
        <v>0</v>
      </c>
      <c r="P219" s="1137">
        <f t="shared" si="38"/>
        <v>0</v>
      </c>
      <c r="Q219" s="1131"/>
    </row>
    <row r="220" spans="2:17">
      <c r="B220" s="1132"/>
      <c r="C220" s="1134"/>
      <c r="D220" s="1134"/>
      <c r="E220" s="1134"/>
      <c r="F220" s="1134"/>
      <c r="G220" s="1134"/>
      <c r="H220" s="1135">
        <f t="shared" si="36"/>
        <v>0</v>
      </c>
      <c r="J220" s="1144"/>
      <c r="K220" s="1135">
        <f t="shared" si="37"/>
        <v>0</v>
      </c>
      <c r="M220" s="106">
        <f t="shared" si="39"/>
        <v>0</v>
      </c>
      <c r="N220" s="1133"/>
      <c r="O220" s="109">
        <f t="shared" si="35"/>
        <v>0</v>
      </c>
      <c r="P220" s="1137">
        <f t="shared" si="38"/>
        <v>0</v>
      </c>
      <c r="Q220" s="1131"/>
    </row>
    <row r="221" spans="2:17">
      <c r="B221" s="1132"/>
      <c r="C221" s="1134"/>
      <c r="D221" s="1134"/>
      <c r="E221" s="1134"/>
      <c r="F221" s="1134"/>
      <c r="G221" s="1134"/>
      <c r="H221" s="1135">
        <f t="shared" si="36"/>
        <v>0</v>
      </c>
      <c r="J221" s="1144"/>
      <c r="K221" s="1135">
        <f t="shared" si="37"/>
        <v>0</v>
      </c>
      <c r="M221" s="106">
        <f t="shared" si="39"/>
        <v>0</v>
      </c>
      <c r="N221" s="1133"/>
      <c r="O221" s="109">
        <f t="shared" si="35"/>
        <v>0</v>
      </c>
      <c r="P221" s="1137">
        <f t="shared" si="38"/>
        <v>0</v>
      </c>
      <c r="Q221" s="1131"/>
    </row>
    <row r="222" spans="2:17">
      <c r="B222" s="1132"/>
      <c r="C222" s="1134"/>
      <c r="D222" s="1134"/>
      <c r="E222" s="1134"/>
      <c r="F222" s="1134"/>
      <c r="G222" s="1134"/>
      <c r="H222" s="1135">
        <f t="shared" si="36"/>
        <v>0</v>
      </c>
      <c r="J222" s="1144"/>
      <c r="K222" s="1135">
        <f t="shared" si="37"/>
        <v>0</v>
      </c>
      <c r="M222" s="106">
        <f t="shared" si="39"/>
        <v>0</v>
      </c>
      <c r="N222" s="1133"/>
      <c r="O222" s="109">
        <f t="shared" si="35"/>
        <v>0</v>
      </c>
      <c r="P222" s="1137">
        <f t="shared" si="38"/>
        <v>0</v>
      </c>
      <c r="Q222" s="1131"/>
    </row>
    <row r="223" spans="2:17">
      <c r="B223" s="1132"/>
      <c r="C223" s="1134"/>
      <c r="D223" s="1134"/>
      <c r="E223" s="1134"/>
      <c r="F223" s="1134"/>
      <c r="G223" s="1134"/>
      <c r="H223" s="1135">
        <f t="shared" si="36"/>
        <v>0</v>
      </c>
      <c r="J223" s="1144"/>
      <c r="K223" s="1135">
        <f t="shared" si="37"/>
        <v>0</v>
      </c>
      <c r="M223" s="106">
        <f t="shared" si="39"/>
        <v>0</v>
      </c>
      <c r="N223" s="1133"/>
      <c r="O223" s="109">
        <f t="shared" si="35"/>
        <v>0</v>
      </c>
      <c r="P223" s="1137">
        <f t="shared" si="38"/>
        <v>0</v>
      </c>
      <c r="Q223" s="1131"/>
    </row>
    <row r="224" spans="2:17">
      <c r="B224" s="1132"/>
      <c r="C224" s="1134"/>
      <c r="D224" s="1134"/>
      <c r="E224" s="1134"/>
      <c r="F224" s="1134"/>
      <c r="G224" s="1134"/>
      <c r="H224" s="1135">
        <f t="shared" si="36"/>
        <v>0</v>
      </c>
      <c r="J224" s="1144"/>
      <c r="K224" s="1135">
        <f t="shared" si="37"/>
        <v>0</v>
      </c>
      <c r="M224" s="106">
        <f t="shared" si="39"/>
        <v>0</v>
      </c>
      <c r="N224" s="1133"/>
      <c r="O224" s="109">
        <f t="shared" si="35"/>
        <v>0</v>
      </c>
      <c r="P224" s="1137">
        <f t="shared" si="38"/>
        <v>0</v>
      </c>
      <c r="Q224" s="1131"/>
    </row>
    <row r="225" spans="2:17">
      <c r="B225" s="1132"/>
      <c r="C225" s="1134"/>
      <c r="D225" s="1134"/>
      <c r="E225" s="1134"/>
      <c r="F225" s="1134"/>
      <c r="G225" s="1134"/>
      <c r="H225" s="1135">
        <f t="shared" si="36"/>
        <v>0</v>
      </c>
      <c r="J225" s="1144"/>
      <c r="K225" s="1135">
        <f t="shared" si="37"/>
        <v>0</v>
      </c>
      <c r="M225" s="106">
        <f t="shared" si="39"/>
        <v>0</v>
      </c>
      <c r="N225" s="1133"/>
      <c r="O225" s="109">
        <f t="shared" si="35"/>
        <v>0</v>
      </c>
      <c r="P225" s="1137">
        <f t="shared" si="38"/>
        <v>0</v>
      </c>
      <c r="Q225" s="1131"/>
    </row>
    <row r="226" spans="2:17">
      <c r="B226" s="1132"/>
      <c r="C226" s="1134"/>
      <c r="D226" s="1134"/>
      <c r="E226" s="1134"/>
      <c r="F226" s="1134"/>
      <c r="G226" s="1134"/>
      <c r="H226" s="1135">
        <f t="shared" si="36"/>
        <v>0</v>
      </c>
      <c r="J226" s="1144"/>
      <c r="K226" s="1135">
        <f t="shared" si="37"/>
        <v>0</v>
      </c>
      <c r="M226" s="106">
        <f t="shared" si="39"/>
        <v>0</v>
      </c>
      <c r="N226" s="1133"/>
      <c r="O226" s="109">
        <f t="shared" si="35"/>
        <v>0</v>
      </c>
      <c r="P226" s="1137">
        <f t="shared" si="38"/>
        <v>0</v>
      </c>
      <c r="Q226" s="1131"/>
    </row>
    <row r="227" spans="2:17">
      <c r="B227" s="1132"/>
      <c r="C227" s="1134"/>
      <c r="D227" s="1134"/>
      <c r="E227" s="1134"/>
      <c r="F227" s="1134"/>
      <c r="G227" s="1134"/>
      <c r="H227" s="1135">
        <f t="shared" si="36"/>
        <v>0</v>
      </c>
      <c r="J227" s="1144"/>
      <c r="K227" s="1135">
        <f t="shared" si="37"/>
        <v>0</v>
      </c>
      <c r="M227" s="106">
        <f t="shared" si="39"/>
        <v>0</v>
      </c>
      <c r="N227" s="1133"/>
      <c r="O227" s="109">
        <f t="shared" si="35"/>
        <v>0</v>
      </c>
      <c r="P227" s="1137">
        <f t="shared" si="38"/>
        <v>0</v>
      </c>
      <c r="Q227" s="1131"/>
    </row>
    <row r="228" spans="2:17">
      <c r="B228" s="1132"/>
      <c r="C228" s="1134"/>
      <c r="D228" s="1134"/>
      <c r="E228" s="1134"/>
      <c r="F228" s="1134"/>
      <c r="G228" s="1134"/>
      <c r="H228" s="1135">
        <f t="shared" si="36"/>
        <v>0</v>
      </c>
      <c r="J228" s="1144"/>
      <c r="K228" s="1135">
        <f t="shared" si="37"/>
        <v>0</v>
      </c>
      <c r="M228" s="106">
        <f t="shared" si="39"/>
        <v>0</v>
      </c>
      <c r="N228" s="1133"/>
      <c r="O228" s="109">
        <f t="shared" si="35"/>
        <v>0</v>
      </c>
      <c r="P228" s="1137">
        <f t="shared" si="38"/>
        <v>0</v>
      </c>
      <c r="Q228" s="1131"/>
    </row>
    <row r="229" spans="2:17">
      <c r="B229" s="1132"/>
      <c r="C229" s="1134"/>
      <c r="D229" s="1134"/>
      <c r="E229" s="1134"/>
      <c r="F229" s="1134"/>
      <c r="G229" s="1134"/>
      <c r="H229" s="1135">
        <f t="shared" si="36"/>
        <v>0</v>
      </c>
      <c r="J229" s="1144"/>
      <c r="K229" s="1135">
        <f t="shared" si="37"/>
        <v>0</v>
      </c>
      <c r="M229" s="106">
        <f t="shared" si="39"/>
        <v>0</v>
      </c>
      <c r="N229" s="1133"/>
      <c r="O229" s="109">
        <f t="shared" si="35"/>
        <v>0</v>
      </c>
      <c r="P229" s="1137">
        <f t="shared" si="38"/>
        <v>0</v>
      </c>
      <c r="Q229" s="1131"/>
    </row>
    <row r="230" spans="2:17">
      <c r="B230" s="1132"/>
      <c r="C230" s="1134"/>
      <c r="D230" s="1134"/>
      <c r="E230" s="1134"/>
      <c r="F230" s="1134"/>
      <c r="G230" s="1134"/>
      <c r="H230" s="1135">
        <f t="shared" si="36"/>
        <v>0</v>
      </c>
      <c r="J230" s="1144"/>
      <c r="K230" s="1135">
        <f t="shared" si="37"/>
        <v>0</v>
      </c>
      <c r="M230" s="106">
        <f t="shared" si="39"/>
        <v>0</v>
      </c>
      <c r="N230" s="1133"/>
      <c r="O230" s="109">
        <f t="shared" si="35"/>
        <v>0</v>
      </c>
      <c r="P230" s="1137">
        <f t="shared" si="38"/>
        <v>0</v>
      </c>
      <c r="Q230" s="1131"/>
    </row>
    <row r="231" spans="2:17">
      <c r="B231" s="1132"/>
      <c r="C231" s="1134"/>
      <c r="D231" s="1134"/>
      <c r="E231" s="1134"/>
      <c r="F231" s="1134"/>
      <c r="G231" s="1134"/>
      <c r="H231" s="1135">
        <f t="shared" si="36"/>
        <v>0</v>
      </c>
      <c r="J231" s="1144"/>
      <c r="K231" s="1135">
        <f t="shared" si="37"/>
        <v>0</v>
      </c>
      <c r="M231" s="106">
        <f t="shared" si="39"/>
        <v>0</v>
      </c>
      <c r="N231" s="1133"/>
      <c r="O231" s="109">
        <f t="shared" si="35"/>
        <v>0</v>
      </c>
      <c r="P231" s="1137">
        <f t="shared" si="38"/>
        <v>0</v>
      </c>
      <c r="Q231" s="1131"/>
    </row>
    <row r="232" spans="2:17">
      <c r="B232" s="1132"/>
      <c r="C232" s="1134"/>
      <c r="D232" s="1134"/>
      <c r="E232" s="1134"/>
      <c r="F232" s="1134"/>
      <c r="G232" s="1134"/>
      <c r="H232" s="1135">
        <f t="shared" si="36"/>
        <v>0</v>
      </c>
      <c r="J232" s="1144"/>
      <c r="K232" s="1135">
        <f t="shared" si="37"/>
        <v>0</v>
      </c>
      <c r="M232" s="106">
        <f t="shared" si="39"/>
        <v>0</v>
      </c>
      <c r="N232" s="1133"/>
      <c r="O232" s="109">
        <f t="shared" si="35"/>
        <v>0</v>
      </c>
      <c r="P232" s="1137">
        <f t="shared" si="38"/>
        <v>0</v>
      </c>
      <c r="Q232" s="1131"/>
    </row>
    <row r="233" spans="2:17">
      <c r="B233" s="1132"/>
      <c r="C233" s="1134"/>
      <c r="D233" s="1134"/>
      <c r="E233" s="1134"/>
      <c r="F233" s="1134"/>
      <c r="G233" s="1134"/>
      <c r="H233" s="1135">
        <f t="shared" si="36"/>
        <v>0</v>
      </c>
      <c r="J233" s="1144"/>
      <c r="K233" s="1135">
        <f t="shared" si="37"/>
        <v>0</v>
      </c>
      <c r="M233" s="106">
        <f t="shared" si="39"/>
        <v>0</v>
      </c>
      <c r="N233" s="1133"/>
      <c r="O233" s="109">
        <f t="shared" si="35"/>
        <v>0</v>
      </c>
      <c r="P233" s="1137">
        <f t="shared" si="38"/>
        <v>0</v>
      </c>
      <c r="Q233" s="1131"/>
    </row>
    <row r="234" spans="2:17">
      <c r="B234" s="1132"/>
      <c r="C234" s="1134"/>
      <c r="D234" s="1134"/>
      <c r="E234" s="1134"/>
      <c r="F234" s="1134"/>
      <c r="G234" s="1134"/>
      <c r="H234" s="1135">
        <f t="shared" si="36"/>
        <v>0</v>
      </c>
      <c r="J234" s="1144"/>
      <c r="K234" s="1135">
        <f t="shared" si="37"/>
        <v>0</v>
      </c>
      <c r="M234" s="106">
        <f t="shared" si="39"/>
        <v>0</v>
      </c>
      <c r="N234" s="1133"/>
      <c r="O234" s="109">
        <f t="shared" si="35"/>
        <v>0</v>
      </c>
      <c r="P234" s="1137">
        <f t="shared" si="38"/>
        <v>0</v>
      </c>
      <c r="Q234" s="1131"/>
    </row>
    <row r="235" spans="2:17">
      <c r="B235" s="1132"/>
      <c r="C235" s="1134"/>
      <c r="D235" s="1134"/>
      <c r="E235" s="1134"/>
      <c r="F235" s="1134"/>
      <c r="G235" s="1134"/>
      <c r="H235" s="1135">
        <f t="shared" si="36"/>
        <v>0</v>
      </c>
      <c r="J235" s="1144"/>
      <c r="K235" s="1135">
        <f t="shared" si="37"/>
        <v>0</v>
      </c>
      <c r="M235" s="106">
        <f t="shared" si="39"/>
        <v>0</v>
      </c>
      <c r="N235" s="1133"/>
      <c r="O235" s="109">
        <f t="shared" si="35"/>
        <v>0</v>
      </c>
      <c r="P235" s="1137">
        <f t="shared" si="38"/>
        <v>0</v>
      </c>
      <c r="Q235" s="1131"/>
    </row>
    <row r="236" spans="2:17">
      <c r="B236" s="1132"/>
      <c r="C236" s="1134"/>
      <c r="D236" s="1134"/>
      <c r="E236" s="1134"/>
      <c r="F236" s="1134"/>
      <c r="G236" s="1134"/>
      <c r="H236" s="1135">
        <f t="shared" si="36"/>
        <v>0</v>
      </c>
      <c r="J236" s="1144"/>
      <c r="K236" s="1135">
        <f t="shared" si="37"/>
        <v>0</v>
      </c>
      <c r="M236" s="106">
        <f t="shared" si="39"/>
        <v>0</v>
      </c>
      <c r="N236" s="1133"/>
      <c r="O236" s="109">
        <f t="shared" si="35"/>
        <v>0</v>
      </c>
      <c r="P236" s="1137">
        <f t="shared" si="38"/>
        <v>0</v>
      </c>
      <c r="Q236" s="1131"/>
    </row>
    <row r="237" spans="2:17">
      <c r="B237" s="1132"/>
      <c r="C237" s="1134"/>
      <c r="D237" s="1134"/>
      <c r="E237" s="1134"/>
      <c r="F237" s="1134"/>
      <c r="G237" s="1134"/>
      <c r="H237" s="1135">
        <f t="shared" si="36"/>
        <v>0</v>
      </c>
      <c r="J237" s="1144"/>
      <c r="K237" s="1135">
        <f t="shared" si="37"/>
        <v>0</v>
      </c>
      <c r="M237" s="106">
        <f t="shared" si="39"/>
        <v>0</v>
      </c>
      <c r="N237" s="1133"/>
      <c r="O237" s="109">
        <f t="shared" si="35"/>
        <v>0</v>
      </c>
      <c r="P237" s="1137">
        <f t="shared" si="38"/>
        <v>0</v>
      </c>
      <c r="Q237" s="1131"/>
    </row>
    <row r="238" spans="2:17">
      <c r="B238" s="1132"/>
      <c r="C238" s="1134"/>
      <c r="D238" s="1134"/>
      <c r="E238" s="1134"/>
      <c r="F238" s="1134"/>
      <c r="G238" s="1134"/>
      <c r="H238" s="1135">
        <f>+C238+D238-E238-F238</f>
        <v>0</v>
      </c>
      <c r="J238" s="1144"/>
      <c r="K238" s="1135">
        <f>+H238-J238</f>
        <v>0</v>
      </c>
      <c r="M238" s="106">
        <f>+IF(ISERROR(K238/(F238+J238)),0,K238/(F238+J238))</f>
        <v>0</v>
      </c>
      <c r="N238" s="1133"/>
      <c r="O238" s="109">
        <f t="shared" si="35"/>
        <v>0</v>
      </c>
      <c r="P238" s="1137">
        <f>(M238^2*O238)*100</f>
        <v>0</v>
      </c>
      <c r="Q238" s="1131"/>
    </row>
    <row r="239" spans="2:17">
      <c r="B239" s="1132"/>
      <c r="C239" s="1134"/>
      <c r="D239" s="1134"/>
      <c r="E239" s="1134"/>
      <c r="F239" s="1134"/>
      <c r="G239" s="1134"/>
      <c r="H239" s="1135">
        <f t="shared" ref="H239:H262" si="40">+C239+D239-E239-F239</f>
        <v>0</v>
      </c>
      <c r="J239" s="1144"/>
      <c r="K239" s="1135">
        <f t="shared" ref="K239:K262" si="41">+H239-J239</f>
        <v>0</v>
      </c>
      <c r="M239" s="106">
        <f>+IF(ISERROR(K239/(F239+J239)),0,K239/(F239+J239))</f>
        <v>0</v>
      </c>
      <c r="N239" s="1133"/>
      <c r="O239" s="109">
        <f t="shared" si="35"/>
        <v>0</v>
      </c>
      <c r="P239" s="1137">
        <f t="shared" ref="P239:P261" si="42">(M239^2*O239)*100</f>
        <v>0</v>
      </c>
      <c r="Q239" s="1131"/>
    </row>
    <row r="240" spans="2:17">
      <c r="B240" s="1132"/>
      <c r="C240" s="1134"/>
      <c r="D240" s="1134"/>
      <c r="E240" s="1134"/>
      <c r="F240" s="1134"/>
      <c r="G240" s="1134"/>
      <c r="H240" s="1135">
        <f t="shared" si="40"/>
        <v>0</v>
      </c>
      <c r="J240" s="1144"/>
      <c r="K240" s="1135">
        <f t="shared" si="41"/>
        <v>0</v>
      </c>
      <c r="M240" s="106">
        <f t="shared" ref="M240:M262" si="43">+IF(ISERROR(K240/(F240+J240)),0,K240/(F240+J240))</f>
        <v>0</v>
      </c>
      <c r="N240" s="1133"/>
      <c r="O240" s="109">
        <f t="shared" si="35"/>
        <v>0</v>
      </c>
      <c r="P240" s="1137">
        <f t="shared" si="42"/>
        <v>0</v>
      </c>
      <c r="Q240" s="1131"/>
    </row>
    <row r="241" spans="2:17">
      <c r="B241" s="1132"/>
      <c r="C241" s="1134"/>
      <c r="D241" s="1134"/>
      <c r="E241" s="1134"/>
      <c r="F241" s="1134"/>
      <c r="G241" s="1134"/>
      <c r="H241" s="1135">
        <f t="shared" si="40"/>
        <v>0</v>
      </c>
      <c r="J241" s="1144"/>
      <c r="K241" s="1135">
        <f t="shared" si="41"/>
        <v>0</v>
      </c>
      <c r="M241" s="106">
        <f t="shared" si="43"/>
        <v>0</v>
      </c>
      <c r="N241" s="1133"/>
      <c r="O241" s="109">
        <f t="shared" si="35"/>
        <v>0</v>
      </c>
      <c r="P241" s="1137">
        <f t="shared" si="42"/>
        <v>0</v>
      </c>
      <c r="Q241" s="1131"/>
    </row>
    <row r="242" spans="2:17">
      <c r="B242" s="1132"/>
      <c r="C242" s="1134"/>
      <c r="D242" s="1134"/>
      <c r="E242" s="1134"/>
      <c r="F242" s="1134"/>
      <c r="G242" s="1134"/>
      <c r="H242" s="1135">
        <f t="shared" si="40"/>
        <v>0</v>
      </c>
      <c r="J242" s="1144"/>
      <c r="K242" s="1135">
        <f t="shared" si="41"/>
        <v>0</v>
      </c>
      <c r="M242" s="106">
        <f t="shared" si="43"/>
        <v>0</v>
      </c>
      <c r="N242" s="1133"/>
      <c r="O242" s="109">
        <f t="shared" si="35"/>
        <v>0</v>
      </c>
      <c r="P242" s="1137">
        <f t="shared" si="42"/>
        <v>0</v>
      </c>
      <c r="Q242" s="1131"/>
    </row>
    <row r="243" spans="2:17">
      <c r="B243" s="1132"/>
      <c r="C243" s="1134"/>
      <c r="D243" s="1134"/>
      <c r="E243" s="1134"/>
      <c r="F243" s="1134"/>
      <c r="G243" s="1134"/>
      <c r="H243" s="1135">
        <f t="shared" si="40"/>
        <v>0</v>
      </c>
      <c r="J243" s="1144"/>
      <c r="K243" s="1135">
        <f t="shared" si="41"/>
        <v>0</v>
      </c>
      <c r="M243" s="106">
        <f t="shared" si="43"/>
        <v>0</v>
      </c>
      <c r="N243" s="1133"/>
      <c r="O243" s="109">
        <f t="shared" si="35"/>
        <v>0</v>
      </c>
      <c r="P243" s="1137">
        <f t="shared" si="42"/>
        <v>0</v>
      </c>
      <c r="Q243" s="1131"/>
    </row>
    <row r="244" spans="2:17">
      <c r="B244" s="1132"/>
      <c r="C244" s="1134"/>
      <c r="D244" s="1134"/>
      <c r="E244" s="1134"/>
      <c r="F244" s="1134"/>
      <c r="G244" s="1134"/>
      <c r="H244" s="1135">
        <f t="shared" si="40"/>
        <v>0</v>
      </c>
      <c r="J244" s="1144"/>
      <c r="K244" s="1135">
        <f t="shared" si="41"/>
        <v>0</v>
      </c>
      <c r="M244" s="106">
        <f t="shared" si="43"/>
        <v>0</v>
      </c>
      <c r="N244" s="1133"/>
      <c r="O244" s="109">
        <f t="shared" si="35"/>
        <v>0</v>
      </c>
      <c r="P244" s="1137">
        <f t="shared" si="42"/>
        <v>0</v>
      </c>
      <c r="Q244" s="1131"/>
    </row>
    <row r="245" spans="2:17">
      <c r="B245" s="1132"/>
      <c r="C245" s="1134"/>
      <c r="D245" s="1134"/>
      <c r="E245" s="1134"/>
      <c r="F245" s="1134"/>
      <c r="G245" s="1134"/>
      <c r="H245" s="1135">
        <f t="shared" si="40"/>
        <v>0</v>
      </c>
      <c r="J245" s="1144"/>
      <c r="K245" s="1135">
        <f t="shared" si="41"/>
        <v>0</v>
      </c>
      <c r="M245" s="106">
        <f t="shared" si="43"/>
        <v>0</v>
      </c>
      <c r="N245" s="1133"/>
      <c r="O245" s="109">
        <f t="shared" si="35"/>
        <v>0</v>
      </c>
      <c r="P245" s="1137">
        <f t="shared" si="42"/>
        <v>0</v>
      </c>
      <c r="Q245" s="1131"/>
    </row>
    <row r="246" spans="2:17">
      <c r="B246" s="1132"/>
      <c r="C246" s="1134"/>
      <c r="D246" s="1134"/>
      <c r="E246" s="1134"/>
      <c r="F246" s="1134"/>
      <c r="G246" s="1134"/>
      <c r="H246" s="1135">
        <f t="shared" si="40"/>
        <v>0</v>
      </c>
      <c r="J246" s="1144"/>
      <c r="K246" s="1135">
        <f t="shared" si="41"/>
        <v>0</v>
      </c>
      <c r="M246" s="106">
        <f t="shared" si="43"/>
        <v>0</v>
      </c>
      <c r="N246" s="1133"/>
      <c r="O246" s="109">
        <f t="shared" si="35"/>
        <v>0</v>
      </c>
      <c r="P246" s="1137">
        <f t="shared" si="42"/>
        <v>0</v>
      </c>
      <c r="Q246" s="1131"/>
    </row>
    <row r="247" spans="2:17">
      <c r="B247" s="1132"/>
      <c r="C247" s="1134"/>
      <c r="D247" s="1134"/>
      <c r="E247" s="1134"/>
      <c r="F247" s="1134"/>
      <c r="G247" s="1134"/>
      <c r="H247" s="1135">
        <f t="shared" si="40"/>
        <v>0</v>
      </c>
      <c r="J247" s="1144"/>
      <c r="K247" s="1135">
        <f t="shared" si="41"/>
        <v>0</v>
      </c>
      <c r="M247" s="106">
        <f t="shared" si="43"/>
        <v>0</v>
      </c>
      <c r="N247" s="1133"/>
      <c r="O247" s="109">
        <f t="shared" si="35"/>
        <v>0</v>
      </c>
      <c r="P247" s="1137">
        <f t="shared" si="42"/>
        <v>0</v>
      </c>
      <c r="Q247" s="1131"/>
    </row>
    <row r="248" spans="2:17">
      <c r="B248" s="1132"/>
      <c r="C248" s="1134"/>
      <c r="D248" s="1134"/>
      <c r="E248" s="1134"/>
      <c r="F248" s="1134"/>
      <c r="G248" s="1134"/>
      <c r="H248" s="1135">
        <f t="shared" si="40"/>
        <v>0</v>
      </c>
      <c r="J248" s="1144"/>
      <c r="K248" s="1135">
        <f t="shared" si="41"/>
        <v>0</v>
      </c>
      <c r="M248" s="106">
        <f t="shared" si="43"/>
        <v>0</v>
      </c>
      <c r="N248" s="1133"/>
      <c r="O248" s="109">
        <f t="shared" si="35"/>
        <v>0</v>
      </c>
      <c r="P248" s="1137">
        <f t="shared" si="42"/>
        <v>0</v>
      </c>
      <c r="Q248" s="1131"/>
    </row>
    <row r="249" spans="2:17">
      <c r="B249" s="1132"/>
      <c r="C249" s="1134"/>
      <c r="D249" s="1134"/>
      <c r="E249" s="1134"/>
      <c r="F249" s="1134"/>
      <c r="G249" s="1134"/>
      <c r="H249" s="1135">
        <f t="shared" si="40"/>
        <v>0</v>
      </c>
      <c r="J249" s="1144"/>
      <c r="K249" s="1135">
        <f t="shared" si="41"/>
        <v>0</v>
      </c>
      <c r="M249" s="106">
        <f t="shared" si="43"/>
        <v>0</v>
      </c>
      <c r="N249" s="1133"/>
      <c r="O249" s="109">
        <f t="shared" si="35"/>
        <v>0</v>
      </c>
      <c r="P249" s="1137">
        <f t="shared" si="42"/>
        <v>0</v>
      </c>
      <c r="Q249" s="1131"/>
    </row>
    <row r="250" spans="2:17">
      <c r="B250" s="1132"/>
      <c r="C250" s="1134"/>
      <c r="D250" s="1134"/>
      <c r="E250" s="1134"/>
      <c r="F250" s="1134"/>
      <c r="G250" s="1134"/>
      <c r="H250" s="1135">
        <f t="shared" si="40"/>
        <v>0</v>
      </c>
      <c r="J250" s="1144"/>
      <c r="K250" s="1135">
        <f t="shared" si="41"/>
        <v>0</v>
      </c>
      <c r="M250" s="106">
        <f t="shared" si="43"/>
        <v>0</v>
      </c>
      <c r="N250" s="1133"/>
      <c r="O250" s="109">
        <f t="shared" si="35"/>
        <v>0</v>
      </c>
      <c r="P250" s="1137">
        <f t="shared" si="42"/>
        <v>0</v>
      </c>
      <c r="Q250" s="1131"/>
    </row>
    <row r="251" spans="2:17">
      <c r="B251" s="1132"/>
      <c r="C251" s="1134"/>
      <c r="D251" s="1134"/>
      <c r="E251" s="1134"/>
      <c r="F251" s="1134"/>
      <c r="G251" s="1134"/>
      <c r="H251" s="1135">
        <f t="shared" si="40"/>
        <v>0</v>
      </c>
      <c r="J251" s="1144"/>
      <c r="K251" s="1135">
        <f t="shared" si="41"/>
        <v>0</v>
      </c>
      <c r="M251" s="106">
        <f t="shared" si="43"/>
        <v>0</v>
      </c>
      <c r="N251" s="1133"/>
      <c r="O251" s="109">
        <f t="shared" si="35"/>
        <v>0</v>
      </c>
      <c r="P251" s="1137">
        <f t="shared" si="42"/>
        <v>0</v>
      </c>
      <c r="Q251" s="1131"/>
    </row>
    <row r="252" spans="2:17">
      <c r="B252" s="1132"/>
      <c r="C252" s="1134"/>
      <c r="D252" s="1134"/>
      <c r="E252" s="1134"/>
      <c r="F252" s="1134"/>
      <c r="G252" s="1134"/>
      <c r="H252" s="1135">
        <f t="shared" si="40"/>
        <v>0</v>
      </c>
      <c r="J252" s="1144"/>
      <c r="K252" s="1135">
        <f t="shared" si="41"/>
        <v>0</v>
      </c>
      <c r="M252" s="106">
        <f t="shared" si="43"/>
        <v>0</v>
      </c>
      <c r="N252" s="1133"/>
      <c r="O252" s="109">
        <f t="shared" si="35"/>
        <v>0</v>
      </c>
      <c r="P252" s="1137">
        <f t="shared" si="42"/>
        <v>0</v>
      </c>
      <c r="Q252" s="1131"/>
    </row>
    <row r="253" spans="2:17">
      <c r="B253" s="1132"/>
      <c r="C253" s="1134"/>
      <c r="D253" s="1134"/>
      <c r="E253" s="1134"/>
      <c r="F253" s="1134"/>
      <c r="G253" s="1134"/>
      <c r="H253" s="1135">
        <f t="shared" si="40"/>
        <v>0</v>
      </c>
      <c r="J253" s="1144"/>
      <c r="K253" s="1135">
        <f t="shared" si="41"/>
        <v>0</v>
      </c>
      <c r="M253" s="106">
        <f t="shared" si="43"/>
        <v>0</v>
      </c>
      <c r="N253" s="1133"/>
      <c r="O253" s="109">
        <f t="shared" si="35"/>
        <v>0</v>
      </c>
      <c r="P253" s="1137">
        <f t="shared" si="42"/>
        <v>0</v>
      </c>
      <c r="Q253" s="1131"/>
    </row>
    <row r="254" spans="2:17">
      <c r="B254" s="1132"/>
      <c r="C254" s="1134"/>
      <c r="D254" s="1134"/>
      <c r="E254" s="1134"/>
      <c r="F254" s="1134"/>
      <c r="G254" s="1134"/>
      <c r="H254" s="1135">
        <f t="shared" si="40"/>
        <v>0</v>
      </c>
      <c r="J254" s="1144"/>
      <c r="K254" s="1135">
        <f t="shared" si="41"/>
        <v>0</v>
      </c>
      <c r="M254" s="106">
        <f t="shared" si="43"/>
        <v>0</v>
      </c>
      <c r="N254" s="1133"/>
      <c r="O254" s="109">
        <f t="shared" si="35"/>
        <v>0</v>
      </c>
      <c r="P254" s="1137">
        <f t="shared" si="42"/>
        <v>0</v>
      </c>
      <c r="Q254" s="1131"/>
    </row>
    <row r="255" spans="2:17">
      <c r="B255" s="1132"/>
      <c r="C255" s="1134"/>
      <c r="D255" s="1134"/>
      <c r="E255" s="1134"/>
      <c r="F255" s="1134"/>
      <c r="G255" s="1134"/>
      <c r="H255" s="1135">
        <f t="shared" si="40"/>
        <v>0</v>
      </c>
      <c r="J255" s="1144"/>
      <c r="K255" s="1135">
        <f t="shared" si="41"/>
        <v>0</v>
      </c>
      <c r="M255" s="106">
        <f t="shared" si="43"/>
        <v>0</v>
      </c>
      <c r="N255" s="1133"/>
      <c r="O255" s="109">
        <f t="shared" si="35"/>
        <v>0</v>
      </c>
      <c r="P255" s="1137">
        <f t="shared" si="42"/>
        <v>0</v>
      </c>
      <c r="Q255" s="1131"/>
    </row>
    <row r="256" spans="2:17">
      <c r="B256" s="1132"/>
      <c r="C256" s="1134"/>
      <c r="D256" s="1134"/>
      <c r="E256" s="1134"/>
      <c r="F256" s="1134"/>
      <c r="G256" s="1134"/>
      <c r="H256" s="1135">
        <f t="shared" si="40"/>
        <v>0</v>
      </c>
      <c r="J256" s="1144"/>
      <c r="K256" s="1135">
        <f t="shared" si="41"/>
        <v>0</v>
      </c>
      <c r="M256" s="106">
        <f t="shared" si="43"/>
        <v>0</v>
      </c>
      <c r="N256" s="1133"/>
      <c r="O256" s="109">
        <f t="shared" si="35"/>
        <v>0</v>
      </c>
      <c r="P256" s="1137">
        <f t="shared" si="42"/>
        <v>0</v>
      </c>
      <c r="Q256" s="1131"/>
    </row>
    <row r="257" spans="1:18">
      <c r="B257" s="1132"/>
      <c r="C257" s="1134"/>
      <c r="D257" s="1134"/>
      <c r="E257" s="1134"/>
      <c r="F257" s="1134"/>
      <c r="G257" s="1134"/>
      <c r="H257" s="1135">
        <f t="shared" si="40"/>
        <v>0</v>
      </c>
      <c r="J257" s="1144"/>
      <c r="K257" s="1135">
        <f t="shared" si="41"/>
        <v>0</v>
      </c>
      <c r="M257" s="106">
        <f t="shared" si="43"/>
        <v>0</v>
      </c>
      <c r="N257" s="1133"/>
      <c r="O257" s="109">
        <f t="shared" si="35"/>
        <v>0</v>
      </c>
      <c r="P257" s="1137">
        <f t="shared" si="42"/>
        <v>0</v>
      </c>
      <c r="Q257" s="1131"/>
    </row>
    <row r="258" spans="1:18">
      <c r="B258" s="1132"/>
      <c r="C258" s="1134"/>
      <c r="D258" s="1134"/>
      <c r="E258" s="1134"/>
      <c r="F258" s="1134"/>
      <c r="G258" s="1134"/>
      <c r="H258" s="1135">
        <f t="shared" si="40"/>
        <v>0</v>
      </c>
      <c r="J258" s="1144"/>
      <c r="K258" s="1135">
        <f t="shared" si="41"/>
        <v>0</v>
      </c>
      <c r="M258" s="106">
        <f t="shared" si="43"/>
        <v>0</v>
      </c>
      <c r="N258" s="1133"/>
      <c r="O258" s="109">
        <f t="shared" si="35"/>
        <v>0</v>
      </c>
      <c r="P258" s="1137">
        <f t="shared" si="42"/>
        <v>0</v>
      </c>
      <c r="Q258" s="1131"/>
    </row>
    <row r="259" spans="1:18">
      <c r="B259" s="1132"/>
      <c r="C259" s="1134"/>
      <c r="D259" s="1134"/>
      <c r="E259" s="1134"/>
      <c r="F259" s="1134"/>
      <c r="G259" s="1134"/>
      <c r="H259" s="1135">
        <f t="shared" si="40"/>
        <v>0</v>
      </c>
      <c r="J259" s="1144"/>
      <c r="K259" s="1135">
        <f t="shared" si="41"/>
        <v>0</v>
      </c>
      <c r="M259" s="106">
        <f t="shared" si="43"/>
        <v>0</v>
      </c>
      <c r="N259" s="1133"/>
      <c r="O259" s="109">
        <f t="shared" si="35"/>
        <v>0</v>
      </c>
      <c r="P259" s="1137">
        <f t="shared" si="42"/>
        <v>0</v>
      </c>
      <c r="Q259" s="1131"/>
    </row>
    <row r="260" spans="1:18">
      <c r="B260" s="1132"/>
      <c r="C260" s="1134"/>
      <c r="D260" s="1134"/>
      <c r="E260" s="1134"/>
      <c r="F260" s="1134"/>
      <c r="G260" s="1134"/>
      <c r="H260" s="1135">
        <f t="shared" si="40"/>
        <v>0</v>
      </c>
      <c r="J260" s="1144"/>
      <c r="K260" s="1135">
        <f t="shared" si="41"/>
        <v>0</v>
      </c>
      <c r="M260" s="106">
        <f t="shared" si="43"/>
        <v>0</v>
      </c>
      <c r="N260" s="1133"/>
      <c r="O260" s="109">
        <f t="shared" si="35"/>
        <v>0</v>
      </c>
      <c r="P260" s="1137">
        <f t="shared" si="42"/>
        <v>0</v>
      </c>
      <c r="Q260" s="1131"/>
    </row>
    <row r="261" spans="1:18">
      <c r="B261" s="1132"/>
      <c r="C261" s="1134"/>
      <c r="D261" s="1134"/>
      <c r="E261" s="1134"/>
      <c r="F261" s="1134"/>
      <c r="G261" s="1134"/>
      <c r="H261" s="1135">
        <f t="shared" si="40"/>
        <v>0</v>
      </c>
      <c r="J261" s="1144"/>
      <c r="K261" s="1135">
        <f t="shared" si="41"/>
        <v>0</v>
      </c>
      <c r="M261" s="106">
        <f t="shared" si="43"/>
        <v>0</v>
      </c>
      <c r="N261" s="1133"/>
      <c r="O261" s="109">
        <f t="shared" si="35"/>
        <v>0</v>
      </c>
      <c r="P261" s="1137">
        <f t="shared" si="42"/>
        <v>0</v>
      </c>
      <c r="Q261" s="1131"/>
    </row>
    <row r="262" spans="1:18" ht="12.95" thickBot="1">
      <c r="B262" s="1145"/>
      <c r="C262" s="1146"/>
      <c r="D262" s="1146"/>
      <c r="E262" s="1146"/>
      <c r="F262" s="1146"/>
      <c r="G262" s="1146"/>
      <c r="H262" s="1147">
        <f t="shared" si="40"/>
        <v>0</v>
      </c>
      <c r="J262" s="1148"/>
      <c r="K262" s="1147">
        <f t="shared" si="41"/>
        <v>0</v>
      </c>
      <c r="M262" s="107">
        <f t="shared" si="43"/>
        <v>0</v>
      </c>
      <c r="N262" s="1149"/>
      <c r="O262" s="110">
        <f t="shared" si="35"/>
        <v>0</v>
      </c>
      <c r="P262" s="1150">
        <f>(M262^2*O262)*100</f>
        <v>0</v>
      </c>
      <c r="Q262" s="1131"/>
    </row>
    <row r="263" spans="1:18" ht="13.5" thickBot="1">
      <c r="B263" s="1151" t="s">
        <v>1012</v>
      </c>
      <c r="C263" s="1152">
        <f>SUM(C13:C262)</f>
        <v>2209.1169468287289</v>
      </c>
      <c r="D263" s="1152">
        <f>SUM(D13:D262)</f>
        <v>0</v>
      </c>
      <c r="E263" s="1152">
        <f>SUM(E13:E262)</f>
        <v>0</v>
      </c>
      <c r="F263" s="1152">
        <f>SUM(F13:F262)</f>
        <v>1925.6484040624996</v>
      </c>
      <c r="G263" s="1153">
        <f>SUM(G13:G262)</f>
        <v>1837.7338140000006</v>
      </c>
      <c r="H263" s="1131"/>
      <c r="I263" s="1154"/>
      <c r="J263" s="1154"/>
      <c r="K263" s="1131"/>
      <c r="L263" s="1154"/>
      <c r="M263" s="97"/>
      <c r="N263" s="1155">
        <f>SUM(N13:N262)</f>
        <v>5350.5026206057728</v>
      </c>
      <c r="O263" s="98"/>
      <c r="P263" s="1155">
        <f>SUM(P13:P262)</f>
        <v>0.99552406140816629</v>
      </c>
      <c r="Q263" s="1156">
        <f>(1-P263)*100</f>
        <v>0.44759385918337058</v>
      </c>
      <c r="R263" s="1157">
        <f>1-SUM(O13:O262)</f>
        <v>0.52602119105768042</v>
      </c>
    </row>
    <row r="267" spans="1:18" ht="12.95" thickBot="1"/>
    <row r="268" spans="1:18" customFormat="1">
      <c r="A268" s="13" t="s">
        <v>145</v>
      </c>
      <c r="B268" s="3"/>
      <c r="C268" s="197" t="s">
        <v>40</v>
      </c>
      <c r="D268" s="3"/>
      <c r="E268" s="3"/>
      <c r="F268" s="14"/>
    </row>
    <row r="269" spans="1:18" customFormat="1">
      <c r="A269" s="8"/>
      <c r="B269" s="1269"/>
      <c r="C269" s="1269"/>
      <c r="D269" s="1269"/>
      <c r="E269" s="1269"/>
      <c r="F269" s="15"/>
    </row>
    <row r="270" spans="1:18" customFormat="1">
      <c r="A270" s="6" t="s">
        <v>41</v>
      </c>
      <c r="B270" s="1269"/>
      <c r="C270" s="207" t="s">
        <v>40</v>
      </c>
      <c r="D270" s="1269"/>
      <c r="E270" s="1269"/>
      <c r="F270" s="15"/>
    </row>
    <row r="271" spans="1:18" customFormat="1">
      <c r="A271" s="8"/>
      <c r="B271" s="1269"/>
      <c r="C271" s="1269"/>
      <c r="D271" s="1269"/>
      <c r="E271" s="1269"/>
      <c r="F271" s="15"/>
    </row>
    <row r="272" spans="1:18" customFormat="1" ht="12.95" thickBot="1">
      <c r="A272" s="9" t="s">
        <v>42</v>
      </c>
      <c r="B272" s="10"/>
      <c r="C272" s="10" t="s">
        <v>146</v>
      </c>
      <c r="D272" s="10"/>
      <c r="E272" s="10"/>
      <c r="F272" s="16"/>
    </row>
    <row r="273" spans="2:3" customFormat="1"/>
    <row r="275" spans="2:3">
      <c r="B275" s="17"/>
      <c r="C275" s="43"/>
    </row>
  </sheetData>
  <mergeCells count="17">
    <mergeCell ref="P10:P12"/>
    <mergeCell ref="Q10:Q12"/>
    <mergeCell ref="R10:R12"/>
    <mergeCell ref="H10:H12"/>
    <mergeCell ref="J10:J12"/>
    <mergeCell ref="K10:K12"/>
    <mergeCell ref="M10:M12"/>
    <mergeCell ref="N10:N12"/>
    <mergeCell ref="O10:O12"/>
    <mergeCell ref="A6:G6"/>
    <mergeCell ref="A7:G7"/>
    <mergeCell ref="B10:B12"/>
    <mergeCell ref="C10:C12"/>
    <mergeCell ref="D10:D12"/>
    <mergeCell ref="E10:E12"/>
    <mergeCell ref="F10:F12"/>
    <mergeCell ref="G10:G12"/>
  </mergeCells>
  <pageMargins left="0.74803149606299213" right="0.74803149606299213" top="0.98425196850393704" bottom="0.98425196850393704" header="0.51181102362204722" footer="0.51181102362204722"/>
  <pageSetup paperSize="8" scale="30" orientation="portrait" r:id="rId1"/>
  <headerFooter alignWithMargins="0">
    <oddFooter>&amp;R&amp;"CG Omega,Regular" Date: Feb 2010
Revision 13.0&amp;L&amp;"Calibri"&amp;11&amp;K000000&amp;"CG Omega,Regular"Table 8 of 10_x000D_&amp;1#&amp;"Arial"&amp;11&amp;K000000SW Private Commercial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A3646-36C1-4A6E-88AA-E60641E5180D}">
  <sheetPr>
    <pageSetUpPr fitToPage="1"/>
  </sheetPr>
  <dimension ref="A1:R275"/>
  <sheetViews>
    <sheetView zoomScaleNormal="100" zoomScalePageLayoutView="55" workbookViewId="0">
      <selection sqref="A1:XFD1048576"/>
    </sheetView>
  </sheetViews>
  <sheetFormatPr defaultColWidth="9.42578125" defaultRowHeight="12.6"/>
  <cols>
    <col min="1" max="1" width="7.42578125" style="91" customWidth="1"/>
    <col min="2" max="2" width="54.5703125" style="91" customWidth="1"/>
    <col min="3" max="3" width="19.5703125" style="91" customWidth="1"/>
    <col min="4" max="4" width="16.42578125" style="91" customWidth="1"/>
    <col min="5" max="5" width="12.42578125" style="91" customWidth="1"/>
    <col min="6" max="6" width="19.42578125" style="91" customWidth="1"/>
    <col min="7" max="7" width="20.5703125" style="91" customWidth="1"/>
    <col min="8" max="8" width="18" style="91" customWidth="1"/>
    <col min="9" max="9" width="1.5703125" style="91" customWidth="1"/>
    <col min="10" max="10" width="14.5703125" style="91" customWidth="1"/>
    <col min="11" max="11" width="11.5703125" style="91" customWidth="1"/>
    <col min="12" max="12" width="2.42578125" style="91" customWidth="1"/>
    <col min="13" max="13" width="23.5703125" style="91" customWidth="1"/>
    <col min="14" max="14" width="12.42578125" style="91" customWidth="1"/>
    <col min="15" max="15" width="23.5703125" style="91" customWidth="1"/>
    <col min="16" max="16" width="25.5703125" style="91" customWidth="1"/>
    <col min="17" max="17" width="12.5703125" style="91" customWidth="1"/>
    <col min="18" max="18" width="15.5703125" style="91" customWidth="1"/>
    <col min="19" max="16384" width="9.42578125" style="91"/>
  </cols>
  <sheetData>
    <row r="1" spans="1:18" s="86" customFormat="1" ht="20.100000000000001">
      <c r="A1" s="84" t="s">
        <v>0</v>
      </c>
      <c r="B1" s="85"/>
      <c r="C1" s="85"/>
    </row>
    <row r="2" spans="1:18" s="86" customFormat="1" ht="20.100000000000001"/>
    <row r="3" spans="1:18" s="86" customFormat="1" ht="20.100000000000001">
      <c r="A3" s="238" t="str">
        <f>"ANNUAL RETURN INFORMATION REQUIREMENTS "&amp;_reportyear</f>
        <v>ANNUAL RETURN INFORMATION REQUIREMENTS 2023-24</v>
      </c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 ht="15.6">
      <c r="A4" s="89"/>
      <c r="B4" s="90"/>
      <c r="C4" s="90"/>
    </row>
    <row r="5" spans="1:18" ht="15.95" thickBot="1">
      <c r="A5" s="89"/>
      <c r="B5" s="90"/>
      <c r="C5" s="90"/>
    </row>
    <row r="6" spans="1:18" ht="20.100000000000001">
      <c r="A6" s="1349" t="s">
        <v>1</v>
      </c>
      <c r="B6" s="1350"/>
      <c r="C6" s="1350"/>
      <c r="D6" s="1350"/>
      <c r="E6" s="1350"/>
      <c r="F6" s="1350"/>
      <c r="G6" s="1351"/>
    </row>
    <row r="7" spans="1:18" ht="20.100000000000001">
      <c r="A7" s="1352" t="s">
        <v>1016</v>
      </c>
      <c r="B7" s="1353"/>
      <c r="C7" s="1353"/>
      <c r="D7" s="1353"/>
      <c r="E7" s="1353"/>
      <c r="F7" s="1353"/>
      <c r="G7" s="1354"/>
    </row>
    <row r="8" spans="1:18" ht="16.350000000000001" customHeight="1">
      <c r="A8" s="89"/>
      <c r="R8" s="385"/>
    </row>
    <row r="9" spans="1:18" ht="16.350000000000001" customHeight="1">
      <c r="A9" s="89"/>
      <c r="B9" s="92">
        <v>1</v>
      </c>
      <c r="C9" s="93">
        <v>2</v>
      </c>
      <c r="D9" s="93">
        <v>3</v>
      </c>
      <c r="E9" s="93">
        <v>4</v>
      </c>
      <c r="F9" s="93">
        <v>5</v>
      </c>
      <c r="G9" s="93">
        <v>6</v>
      </c>
      <c r="H9" s="94">
        <v>7</v>
      </c>
      <c r="J9" s="95">
        <v>8</v>
      </c>
      <c r="K9" s="96">
        <v>9</v>
      </c>
      <c r="M9" s="92">
        <v>10</v>
      </c>
      <c r="N9" s="93">
        <v>11</v>
      </c>
      <c r="O9" s="93">
        <v>12</v>
      </c>
      <c r="P9" s="93">
        <v>13</v>
      </c>
      <c r="Q9" s="94">
        <v>14</v>
      </c>
      <c r="R9" s="94">
        <v>15</v>
      </c>
    </row>
    <row r="10" spans="1:18" ht="12.6" customHeight="1">
      <c r="B10" s="1355" t="s">
        <v>810</v>
      </c>
      <c r="C10" s="1358" t="s">
        <v>811</v>
      </c>
      <c r="D10" s="1358" t="s">
        <v>812</v>
      </c>
      <c r="E10" s="1358" t="s">
        <v>813</v>
      </c>
      <c r="F10" s="1358" t="s">
        <v>814</v>
      </c>
      <c r="G10" s="1358" t="s">
        <v>815</v>
      </c>
      <c r="H10" s="1362" t="s">
        <v>816</v>
      </c>
      <c r="J10" s="1365" t="s">
        <v>817</v>
      </c>
      <c r="K10" s="1368" t="s">
        <v>818</v>
      </c>
      <c r="M10" s="1355" t="s">
        <v>819</v>
      </c>
      <c r="N10" s="1358" t="s">
        <v>820</v>
      </c>
      <c r="O10" s="1358" t="s">
        <v>821</v>
      </c>
      <c r="P10" s="1358" t="s">
        <v>822</v>
      </c>
      <c r="Q10" s="1362" t="s">
        <v>764</v>
      </c>
      <c r="R10" s="1362" t="s">
        <v>777</v>
      </c>
    </row>
    <row r="11" spans="1:18" ht="12.6" customHeight="1">
      <c r="B11" s="1356"/>
      <c r="C11" s="1358"/>
      <c r="D11" s="1358"/>
      <c r="E11" s="1358"/>
      <c r="F11" s="1358"/>
      <c r="G11" s="1358"/>
      <c r="H11" s="1363" t="s">
        <v>750</v>
      </c>
      <c r="J11" s="1366" t="s">
        <v>750</v>
      </c>
      <c r="K11" s="1369" t="s">
        <v>750</v>
      </c>
      <c r="M11" s="1356"/>
      <c r="N11" s="1360"/>
      <c r="O11" s="1360"/>
      <c r="P11" s="1360"/>
      <c r="Q11" s="1363"/>
      <c r="R11" s="1363"/>
    </row>
    <row r="12" spans="1:18" ht="13.35" customHeight="1">
      <c r="B12" s="1357"/>
      <c r="C12" s="1359"/>
      <c r="D12" s="1359"/>
      <c r="E12" s="1359"/>
      <c r="F12" s="1359"/>
      <c r="G12" s="1359"/>
      <c r="H12" s="1364"/>
      <c r="J12" s="1367"/>
      <c r="K12" s="1370"/>
      <c r="M12" s="1357"/>
      <c r="N12" s="1361"/>
      <c r="O12" s="1361"/>
      <c r="P12" s="1361"/>
      <c r="Q12" s="1364"/>
      <c r="R12" s="1364"/>
    </row>
    <row r="13" spans="1:18">
      <c r="B13" s="1125" t="s">
        <v>823</v>
      </c>
      <c r="C13" s="1126">
        <v>43.538412590789243</v>
      </c>
      <c r="D13" s="1127">
        <v>0</v>
      </c>
      <c r="E13" s="1127">
        <v>0</v>
      </c>
      <c r="F13" s="1126">
        <v>35.72103654</v>
      </c>
      <c r="G13" s="1126">
        <v>34.680618000000003</v>
      </c>
      <c r="H13" s="1128">
        <f>+C13+D13-E13-F13</f>
        <v>7.8173760507892425</v>
      </c>
      <c r="J13" s="1129">
        <v>2.8576829232000001</v>
      </c>
      <c r="K13" s="1128">
        <f>+H13-J13</f>
        <v>4.959693127589242</v>
      </c>
      <c r="M13" s="105">
        <f>+IF(ISERROR(K13/(F13+J13)),0,K13/(F13+J13))</f>
        <v>0.12856033576542794</v>
      </c>
      <c r="N13" s="1126">
        <v>96.461717997572492</v>
      </c>
      <c r="O13" s="108">
        <f>IF(K13&lt;0,N13/$N$263,0)</f>
        <v>0</v>
      </c>
      <c r="P13" s="1130">
        <f>(M13^2*O13)*100</f>
        <v>0</v>
      </c>
      <c r="Q13" s="1131"/>
    </row>
    <row r="14" spans="1:18">
      <c r="B14" s="1132" t="s">
        <v>824</v>
      </c>
      <c r="C14" s="1133">
        <v>11.606906545810693</v>
      </c>
      <c r="D14" s="1134">
        <v>0</v>
      </c>
      <c r="E14" s="1134">
        <v>0</v>
      </c>
      <c r="F14" s="1133">
        <v>10.329233460000001</v>
      </c>
      <c r="G14" s="1133">
        <v>10.028382000000001</v>
      </c>
      <c r="H14" s="1135">
        <f>+C14+D14-E14-F14</f>
        <v>1.2776730858106919</v>
      </c>
      <c r="J14" s="1136">
        <v>0.82633867680000006</v>
      </c>
      <c r="K14" s="1135">
        <f t="shared" ref="K14:K37" si="0">+H14-J14</f>
        <v>0.45133440901069188</v>
      </c>
      <c r="M14" s="106">
        <f>+IF(ISERROR(K14/(F14+J14)),0,K14/(F14+J14))</f>
        <v>4.0458203620218625E-2</v>
      </c>
      <c r="N14" s="1133">
        <v>35.958425916330448</v>
      </c>
      <c r="O14" s="109">
        <f t="shared" ref="O14:O77" si="1">IF(K14&lt;0,N14/$N$263,0)</f>
        <v>0</v>
      </c>
      <c r="P14" s="1137">
        <f t="shared" ref="P14:P37" si="2">(M14^2*O14)*100</f>
        <v>0</v>
      </c>
      <c r="Q14" s="1131"/>
    </row>
    <row r="15" spans="1:18">
      <c r="B15" s="1132" t="s">
        <v>825</v>
      </c>
      <c r="C15" s="1133">
        <v>95.11999832593807</v>
      </c>
      <c r="D15" s="1134">
        <v>0</v>
      </c>
      <c r="E15" s="1134">
        <v>0</v>
      </c>
      <c r="F15" s="1133">
        <v>95.898326130000001</v>
      </c>
      <c r="G15" s="1133">
        <v>93.105170999999999</v>
      </c>
      <c r="H15" s="1135">
        <f t="shared" ref="H15:H37" si="3">+C15+D15-E15-F15</f>
        <v>-0.77832780406193081</v>
      </c>
      <c r="J15" s="1136">
        <v>7.6718660904</v>
      </c>
      <c r="K15" s="1135">
        <f t="shared" si="0"/>
        <v>-8.4501938944619308</v>
      </c>
      <c r="M15" s="106">
        <f>+IF(ISERROR(K15/(F15+J15)),0,K15/(F15+J15))</f>
        <v>-8.1589052924413846E-2</v>
      </c>
      <c r="N15" s="1133">
        <v>301.6719100557126</v>
      </c>
      <c r="O15" s="109">
        <f>IF(K15&lt;0,N15/$N$263,0)</f>
        <v>5.6381975946319211E-2</v>
      </c>
      <c r="P15" s="1137">
        <f>(M15^2*O15)*100</f>
        <v>3.7532204657666407E-2</v>
      </c>
      <c r="Q15" s="1131"/>
    </row>
    <row r="16" spans="1:18">
      <c r="B16" s="1132" t="s">
        <v>826</v>
      </c>
      <c r="C16" s="1133">
        <v>24.261232180175281</v>
      </c>
      <c r="D16" s="1134">
        <v>0</v>
      </c>
      <c r="E16" s="1134">
        <v>0</v>
      </c>
      <c r="F16" s="1133">
        <v>17.851696320000002</v>
      </c>
      <c r="G16" s="1133">
        <v>17.331744</v>
      </c>
      <c r="H16" s="1135">
        <f t="shared" si="3"/>
        <v>6.4095358601752785</v>
      </c>
      <c r="J16" s="1136">
        <v>1.4281357056000001</v>
      </c>
      <c r="K16" s="1135">
        <f t="shared" si="0"/>
        <v>4.9814001545752786</v>
      </c>
      <c r="M16" s="106">
        <f t="shared" ref="M16:M37" si="4">+IF(ISERROR(K16/(F16+J16)),0,K16/(F16+J16))</f>
        <v>0.25837362835738992</v>
      </c>
      <c r="N16" s="1133">
        <v>56.942466876744888</v>
      </c>
      <c r="O16" s="109">
        <f>IF(K16&lt;0,N16/$N$263,0)</f>
        <v>0</v>
      </c>
      <c r="P16" s="1137">
        <f>(M16^2*O16)*100</f>
        <v>0</v>
      </c>
      <c r="Q16" s="1131"/>
    </row>
    <row r="17" spans="2:17">
      <c r="B17" s="1132" t="s">
        <v>827</v>
      </c>
      <c r="C17" s="1133">
        <v>2.5448476943591833</v>
      </c>
      <c r="D17" s="1134">
        <v>0</v>
      </c>
      <c r="E17" s="1134">
        <v>0</v>
      </c>
      <c r="F17" s="1133">
        <v>4.9073361200000001</v>
      </c>
      <c r="G17" s="1133">
        <v>4.7644039999999999</v>
      </c>
      <c r="H17" s="1135">
        <f t="shared" si="3"/>
        <v>-2.3624884256408167</v>
      </c>
      <c r="J17" s="1136">
        <v>0.47504368734702213</v>
      </c>
      <c r="K17" s="1135">
        <f t="shared" si="0"/>
        <v>-2.837532112987839</v>
      </c>
      <c r="M17" s="106">
        <f t="shared" si="4"/>
        <v>-0.52718912721740085</v>
      </c>
      <c r="N17" s="1133">
        <v>8.2390723337071474</v>
      </c>
      <c r="O17" s="109">
        <f t="shared" si="1"/>
        <v>1.5398688530638149E-3</v>
      </c>
      <c r="P17" s="1137">
        <f t="shared" si="2"/>
        <v>4.2797324936364463E-2</v>
      </c>
      <c r="Q17" s="1131"/>
    </row>
    <row r="18" spans="2:17">
      <c r="B18" s="1132" t="s">
        <v>828</v>
      </c>
      <c r="C18" s="1133">
        <v>0.29682845076530612</v>
      </c>
      <c r="D18" s="1134">
        <v>0</v>
      </c>
      <c r="E18" s="1134">
        <v>0</v>
      </c>
      <c r="F18" s="1133">
        <v>0.1236</v>
      </c>
      <c r="G18" s="1133">
        <v>0.12</v>
      </c>
      <c r="H18" s="1135">
        <f t="shared" si="3"/>
        <v>0.17322845076530613</v>
      </c>
      <c r="J18" s="1136">
        <v>9.888000000000001E-3</v>
      </c>
      <c r="K18" s="1135">
        <f t="shared" si="0"/>
        <v>0.16334045076530612</v>
      </c>
      <c r="M18" s="106">
        <f t="shared" si="4"/>
        <v>1.2236339653400015</v>
      </c>
      <c r="N18" s="1133">
        <v>0.34592844375176973</v>
      </c>
      <c r="O18" s="109">
        <f t="shared" si="1"/>
        <v>0</v>
      </c>
      <c r="P18" s="1137">
        <f t="shared" si="2"/>
        <v>0</v>
      </c>
      <c r="Q18" s="1131"/>
    </row>
    <row r="19" spans="2:17">
      <c r="B19" s="1132" t="s">
        <v>829</v>
      </c>
      <c r="C19" s="1133">
        <v>0.17909999999999998</v>
      </c>
      <c r="D19" s="1134">
        <v>0</v>
      </c>
      <c r="E19" s="1134">
        <v>0</v>
      </c>
      <c r="F19" s="1133">
        <v>0.18152205000000002</v>
      </c>
      <c r="G19" s="1133">
        <v>0.176235</v>
      </c>
      <c r="H19" s="1135">
        <f t="shared" si="3"/>
        <v>-2.4220500000000367E-3</v>
      </c>
      <c r="J19" s="1136">
        <v>1.6377079571353533E-2</v>
      </c>
      <c r="K19" s="1135">
        <f t="shared" si="0"/>
        <v>-1.879912957135357E-2</v>
      </c>
      <c r="M19" s="106">
        <f t="shared" si="4"/>
        <v>-9.4993492958115544E-2</v>
      </c>
      <c r="N19" s="1133">
        <v>0.39614386300605892</v>
      </c>
      <c r="O19" s="109">
        <f t="shared" si="1"/>
        <v>7.4038626105972892E-5</v>
      </c>
      <c r="P19" s="1137">
        <f t="shared" si="2"/>
        <v>6.6810706697750224E-5</v>
      </c>
      <c r="Q19" s="1131"/>
    </row>
    <row r="20" spans="2:17">
      <c r="B20" s="1132" t="s">
        <v>830</v>
      </c>
      <c r="C20" s="1133">
        <v>19.126630916368292</v>
      </c>
      <c r="D20" s="1134">
        <v>0</v>
      </c>
      <c r="E20" s="1134">
        <v>0</v>
      </c>
      <c r="F20" s="1133">
        <v>25.250075079999998</v>
      </c>
      <c r="G20" s="1133">
        <v>24.514635999999999</v>
      </c>
      <c r="H20" s="1135">
        <f t="shared" si="3"/>
        <v>-6.1234441636317065</v>
      </c>
      <c r="J20" s="1136">
        <v>2.0200060064000001</v>
      </c>
      <c r="K20" s="1135">
        <f t="shared" si="0"/>
        <v>-8.1434501700317057</v>
      </c>
      <c r="M20" s="106">
        <f t="shared" si="4"/>
        <v>-0.29862214726207642</v>
      </c>
      <c r="N20" s="1133">
        <v>68.004967021720987</v>
      </c>
      <c r="O20" s="109">
        <f t="shared" si="1"/>
        <v>1.2710014711481742E-2</v>
      </c>
      <c r="P20" s="1137">
        <f t="shared" si="2"/>
        <v>0.11334179365772355</v>
      </c>
      <c r="Q20" s="1131"/>
    </row>
    <row r="21" spans="2:17">
      <c r="B21" s="1132" t="s">
        <v>831</v>
      </c>
      <c r="C21" s="1133">
        <v>108.19242300000002</v>
      </c>
      <c r="D21" s="1134">
        <v>0</v>
      </c>
      <c r="E21" s="1134">
        <v>0</v>
      </c>
      <c r="F21" s="1133">
        <v>98.798233449999998</v>
      </c>
      <c r="G21" s="1133">
        <v>95.920614999999998</v>
      </c>
      <c r="H21" s="1135">
        <f t="shared" si="3"/>
        <v>9.3941895500000214</v>
      </c>
      <c r="J21" s="1136">
        <v>7.9038586759999996</v>
      </c>
      <c r="K21" s="1135">
        <f t="shared" si="0"/>
        <v>1.4903308740000218</v>
      </c>
      <c r="M21" s="106">
        <f t="shared" si="4"/>
        <v>1.3967213241143885E-2</v>
      </c>
      <c r="N21" s="1133">
        <v>342.2293845436605</v>
      </c>
      <c r="O21" s="109">
        <f t="shared" si="1"/>
        <v>0</v>
      </c>
      <c r="P21" s="1137">
        <f t="shared" si="2"/>
        <v>0</v>
      </c>
      <c r="Q21" s="1131"/>
    </row>
    <row r="22" spans="2:17">
      <c r="B22" s="1132" t="s">
        <v>832</v>
      </c>
      <c r="C22" s="1133">
        <v>1.746</v>
      </c>
      <c r="D22" s="1134">
        <v>0</v>
      </c>
      <c r="E22" s="1134">
        <v>0</v>
      </c>
      <c r="F22" s="1133">
        <v>1.0185433100000001</v>
      </c>
      <c r="G22" s="1133">
        <v>0.98887700000000001</v>
      </c>
      <c r="H22" s="1135">
        <f t="shared" si="3"/>
        <v>0.72745668999999991</v>
      </c>
      <c r="J22" s="1136">
        <v>8.1483464800000002E-2</v>
      </c>
      <c r="K22" s="1135">
        <f t="shared" si="0"/>
        <v>0.64597322519999989</v>
      </c>
      <c r="M22" s="106">
        <f t="shared" si="4"/>
        <v>0.58723409284055528</v>
      </c>
      <c r="N22" s="1133">
        <v>3.6106713337824581</v>
      </c>
      <c r="O22" s="109">
        <f t="shared" si="1"/>
        <v>0</v>
      </c>
      <c r="P22" s="1137">
        <f t="shared" si="2"/>
        <v>0</v>
      </c>
      <c r="Q22" s="1131"/>
    </row>
    <row r="23" spans="2:17">
      <c r="B23" s="1132" t="s">
        <v>833</v>
      </c>
      <c r="C23" s="1133">
        <v>0.18330982861800002</v>
      </c>
      <c r="D23" s="1134">
        <v>0</v>
      </c>
      <c r="E23" s="1134">
        <v>0</v>
      </c>
      <c r="F23" s="1133">
        <v>1.69123219</v>
      </c>
      <c r="G23" s="1133">
        <v>1.6419729999999999</v>
      </c>
      <c r="H23" s="1135">
        <f t="shared" si="3"/>
        <v>-1.5079223613820001</v>
      </c>
      <c r="J23" s="1136">
        <v>0.16240275333866869</v>
      </c>
      <c r="K23" s="1135">
        <f t="shared" si="0"/>
        <v>-1.6703251147206688</v>
      </c>
      <c r="M23" s="106">
        <f t="shared" si="4"/>
        <v>-0.9011079127113174</v>
      </c>
      <c r="N23" s="1133">
        <v>5.6343877850728976</v>
      </c>
      <c r="O23" s="109">
        <f t="shared" si="1"/>
        <v>1.0530576629144766E-3</v>
      </c>
      <c r="P23" s="1137">
        <f t="shared" si="2"/>
        <v>8.5507805230490966E-2</v>
      </c>
      <c r="Q23" s="1131"/>
    </row>
    <row r="24" spans="2:17">
      <c r="B24" s="1132" t="s">
        <v>834</v>
      </c>
      <c r="C24" s="1133">
        <v>0.43651086246829274</v>
      </c>
      <c r="D24" s="1134">
        <v>0</v>
      </c>
      <c r="E24" s="1134">
        <v>0</v>
      </c>
      <c r="F24" s="1133">
        <v>0.34949136000000003</v>
      </c>
      <c r="G24" s="1133">
        <v>0.339312</v>
      </c>
      <c r="H24" s="1135">
        <f t="shared" si="3"/>
        <v>8.7019502468292709E-2</v>
      </c>
      <c r="J24" s="1136">
        <v>2.7959308800000002E-2</v>
      </c>
      <c r="K24" s="1135">
        <f t="shared" si="0"/>
        <v>5.906019366829271E-2</v>
      </c>
      <c r="M24" s="106">
        <f t="shared" si="4"/>
        <v>0.15647129161555934</v>
      </c>
      <c r="N24" s="1133">
        <v>0.70578080898727436</v>
      </c>
      <c r="O24" s="109">
        <f t="shared" si="1"/>
        <v>0</v>
      </c>
      <c r="P24" s="1137">
        <f t="shared" si="2"/>
        <v>0</v>
      </c>
      <c r="Q24" s="1131"/>
    </row>
    <row r="25" spans="2:17">
      <c r="B25" s="1132" t="s">
        <v>835</v>
      </c>
      <c r="C25" s="1133">
        <v>2</v>
      </c>
      <c r="D25" s="1134">
        <v>0</v>
      </c>
      <c r="E25" s="1134">
        <v>0</v>
      </c>
      <c r="F25" s="1133">
        <v>1.3603869200000001</v>
      </c>
      <c r="G25" s="1133">
        <v>1.320764</v>
      </c>
      <c r="H25" s="1135">
        <f t="shared" si="3"/>
        <v>0.63961307999999995</v>
      </c>
      <c r="J25" s="1136">
        <v>0.1088309536</v>
      </c>
      <c r="K25" s="1135">
        <f t="shared" si="0"/>
        <v>0.53078212639999989</v>
      </c>
      <c r="M25" s="106">
        <f t="shared" si="4"/>
        <v>0.36126849253435317</v>
      </c>
      <c r="N25" s="1133">
        <v>5.4070630615047843</v>
      </c>
      <c r="O25" s="109">
        <f t="shared" si="1"/>
        <v>0</v>
      </c>
      <c r="P25" s="1137">
        <f t="shared" si="2"/>
        <v>0</v>
      </c>
      <c r="Q25" s="1131"/>
    </row>
    <row r="26" spans="2:17">
      <c r="B26" s="1132" t="s">
        <v>836</v>
      </c>
      <c r="C26" s="1133">
        <v>3.5820000000000005E-2</v>
      </c>
      <c r="D26" s="1134">
        <v>0</v>
      </c>
      <c r="E26" s="1134">
        <v>0</v>
      </c>
      <c r="F26" s="1133">
        <v>6.7526800000000005E-3</v>
      </c>
      <c r="G26" s="1133">
        <v>6.5560000000000002E-3</v>
      </c>
      <c r="H26" s="1135">
        <f t="shared" si="3"/>
        <v>2.9067320000000004E-2</v>
      </c>
      <c r="J26" s="1136">
        <v>5.4021440000000004E-4</v>
      </c>
      <c r="K26" s="1135">
        <f t="shared" si="0"/>
        <v>2.8527105600000005E-2</v>
      </c>
      <c r="M26" s="106">
        <f t="shared" si="4"/>
        <v>3.9116301478326636</v>
      </c>
      <c r="N26" s="1133">
        <v>4.5187185941258416E-2</v>
      </c>
      <c r="O26" s="109">
        <f t="shared" si="1"/>
        <v>0</v>
      </c>
      <c r="P26" s="1137">
        <f t="shared" si="2"/>
        <v>0</v>
      </c>
      <c r="Q26" s="1131"/>
    </row>
    <row r="27" spans="2:17">
      <c r="B27" s="1132" t="s">
        <v>837</v>
      </c>
      <c r="C27" s="1133">
        <v>0.24875</v>
      </c>
      <c r="D27" s="1134">
        <v>0</v>
      </c>
      <c r="E27" s="1134">
        <v>0</v>
      </c>
      <c r="F27" s="1133">
        <v>0.13394738</v>
      </c>
      <c r="G27" s="1133">
        <v>0.13004599999999999</v>
      </c>
      <c r="H27" s="1135">
        <f t="shared" si="3"/>
        <v>0.11480261999999999</v>
      </c>
      <c r="J27" s="1136">
        <v>1.0715790400000001E-2</v>
      </c>
      <c r="K27" s="1135">
        <f t="shared" si="0"/>
        <v>0.10408682959999999</v>
      </c>
      <c r="M27" s="106">
        <f t="shared" si="4"/>
        <v>0.71951160279562054</v>
      </c>
      <c r="N27" s="1133">
        <v>0.44756831789436913</v>
      </c>
      <c r="O27" s="109">
        <f t="shared" si="1"/>
        <v>0</v>
      </c>
      <c r="P27" s="1137">
        <f t="shared" si="2"/>
        <v>0</v>
      </c>
      <c r="Q27" s="1131"/>
    </row>
    <row r="28" spans="2:17">
      <c r="B28" s="1132" t="s">
        <v>838</v>
      </c>
      <c r="C28" s="1133">
        <v>9.4524999999999998E-2</v>
      </c>
      <c r="D28" s="1134">
        <v>0</v>
      </c>
      <c r="E28" s="1134">
        <v>0</v>
      </c>
      <c r="F28" s="1133">
        <v>9.5644770000000004E-2</v>
      </c>
      <c r="G28" s="1133">
        <v>9.2858999999999997E-2</v>
      </c>
      <c r="H28" s="1135">
        <f t="shared" si="3"/>
        <v>-1.119770000000006E-3</v>
      </c>
      <c r="J28" s="1136">
        <v>7.6515816000000004E-3</v>
      </c>
      <c r="K28" s="1135">
        <f t="shared" si="0"/>
        <v>-8.7713516000000064E-3</v>
      </c>
      <c r="M28" s="106">
        <f t="shared" si="4"/>
        <v>-8.4914437578258145E-2</v>
      </c>
      <c r="N28" s="1133">
        <v>0.15068903590886634</v>
      </c>
      <c r="O28" s="109">
        <f t="shared" si="1"/>
        <v>2.8163529035297555E-5</v>
      </c>
      <c r="P28" s="1137">
        <f t="shared" si="2"/>
        <v>2.0307204770585383E-5</v>
      </c>
      <c r="Q28" s="1131"/>
    </row>
    <row r="29" spans="2:17">
      <c r="B29" s="1132" t="s">
        <v>839</v>
      </c>
      <c r="C29" s="1133">
        <v>0.14924999999999999</v>
      </c>
      <c r="D29" s="1134">
        <v>0</v>
      </c>
      <c r="E29" s="1134">
        <v>0</v>
      </c>
      <c r="F29" s="1133">
        <v>0.10753715</v>
      </c>
      <c r="G29" s="1133">
        <v>0.104405</v>
      </c>
      <c r="H29" s="1135">
        <f t="shared" si="3"/>
        <v>4.1712849999999996E-2</v>
      </c>
      <c r="J29" s="1136">
        <v>1.2968059166299169E-2</v>
      </c>
      <c r="K29" s="1135">
        <f t="shared" si="0"/>
        <v>2.8744790833700826E-2</v>
      </c>
      <c r="M29" s="106">
        <f t="shared" si="4"/>
        <v>0.2385356702217955</v>
      </c>
      <c r="N29" s="1133">
        <v>0.42858310213041206</v>
      </c>
      <c r="O29" s="109">
        <f t="shared" si="1"/>
        <v>0</v>
      </c>
      <c r="P29" s="1137">
        <f t="shared" si="2"/>
        <v>0</v>
      </c>
      <c r="Q29" s="1131"/>
    </row>
    <row r="30" spans="2:17">
      <c r="B30" s="1132" t="s">
        <v>840</v>
      </c>
      <c r="C30" s="1133">
        <v>20.141951632327711</v>
      </c>
      <c r="D30" s="1134">
        <v>0</v>
      </c>
      <c r="E30" s="1134">
        <v>0</v>
      </c>
      <c r="F30" s="1133">
        <v>26.478241930000003</v>
      </c>
      <c r="G30" s="1133">
        <v>25.707031000000001</v>
      </c>
      <c r="H30" s="1135">
        <f t="shared" si="3"/>
        <v>-6.3362902976722921</v>
      </c>
      <c r="J30" s="1136">
        <v>2.206636344587924</v>
      </c>
      <c r="K30" s="1135">
        <f t="shared" si="0"/>
        <v>-8.5429266422602161</v>
      </c>
      <c r="M30" s="106">
        <f t="shared" si="4"/>
        <v>-0.29781986733506333</v>
      </c>
      <c r="N30" s="1133">
        <v>81.060021016692119</v>
      </c>
      <c r="O30" s="109">
        <f t="shared" si="1"/>
        <v>1.5149982490339322E-2</v>
      </c>
      <c r="P30" s="1137">
        <f t="shared" si="2"/>
        <v>0.13437530486503879</v>
      </c>
      <c r="Q30" s="1131"/>
    </row>
    <row r="31" spans="2:17">
      <c r="B31" s="1132" t="s">
        <v>841</v>
      </c>
      <c r="C31" s="1133">
        <v>3.88</v>
      </c>
      <c r="D31" s="1134">
        <v>0</v>
      </c>
      <c r="E31" s="1134">
        <v>0</v>
      </c>
      <c r="F31" s="1133">
        <v>3.0520578900000004</v>
      </c>
      <c r="G31" s="1133">
        <v>2.9631630000000002</v>
      </c>
      <c r="H31" s="1135">
        <f t="shared" si="3"/>
        <v>0.82794210999999951</v>
      </c>
      <c r="J31" s="1136">
        <v>0.24416463120000004</v>
      </c>
      <c r="K31" s="1135">
        <f t="shared" si="0"/>
        <v>0.58377747879999942</v>
      </c>
      <c r="M31" s="106">
        <f t="shared" si="4"/>
        <v>0.17710499671832633</v>
      </c>
      <c r="N31" s="1133">
        <v>5.936059211389713</v>
      </c>
      <c r="O31" s="109">
        <f t="shared" si="1"/>
        <v>0</v>
      </c>
      <c r="P31" s="1137">
        <f t="shared" si="2"/>
        <v>0</v>
      </c>
      <c r="Q31" s="1131"/>
    </row>
    <row r="32" spans="2:17">
      <c r="B32" s="1132" t="s">
        <v>842</v>
      </c>
      <c r="C32" s="1133">
        <v>0.5441746007382352</v>
      </c>
      <c r="D32" s="1134">
        <v>0</v>
      </c>
      <c r="E32" s="1134">
        <v>0</v>
      </c>
      <c r="F32" s="1133">
        <v>0.30049117000000003</v>
      </c>
      <c r="G32" s="1133">
        <v>0.29173900000000003</v>
      </c>
      <c r="H32" s="1135">
        <f t="shared" si="3"/>
        <v>0.24368343073823517</v>
      </c>
      <c r="J32" s="1136">
        <v>2.4039293600000004E-2</v>
      </c>
      <c r="K32" s="1135">
        <f t="shared" si="0"/>
        <v>0.21964413713823516</v>
      </c>
      <c r="M32" s="106">
        <f t="shared" si="4"/>
        <v>0.67680591430996595</v>
      </c>
      <c r="N32" s="1133">
        <v>0.42459157765141536</v>
      </c>
      <c r="O32" s="109">
        <f t="shared" si="1"/>
        <v>0</v>
      </c>
      <c r="P32" s="1137">
        <f t="shared" si="2"/>
        <v>0</v>
      </c>
      <c r="Q32" s="1131"/>
    </row>
    <row r="33" spans="2:17">
      <c r="B33" s="1132" t="s">
        <v>843</v>
      </c>
      <c r="C33" s="1133">
        <v>0.99095217966086979</v>
      </c>
      <c r="D33" s="1134">
        <v>0</v>
      </c>
      <c r="E33" s="1134">
        <v>0</v>
      </c>
      <c r="F33" s="1133">
        <v>1.3533983700000001</v>
      </c>
      <c r="G33" s="1133">
        <v>1.313979</v>
      </c>
      <c r="H33" s="1135">
        <f t="shared" si="3"/>
        <v>-0.36244619033913028</v>
      </c>
      <c r="J33" s="1136">
        <v>0.11909207996619746</v>
      </c>
      <c r="K33" s="1135">
        <f t="shared" si="0"/>
        <v>-0.48153827030532775</v>
      </c>
      <c r="M33" s="106">
        <f t="shared" si="4"/>
        <v>-0.32702301757976221</v>
      </c>
      <c r="N33" s="1133">
        <v>2.7056609739042075</v>
      </c>
      <c r="O33" s="109">
        <f t="shared" si="1"/>
        <v>5.0568351531764656E-4</v>
      </c>
      <c r="P33" s="1137">
        <f t="shared" si="2"/>
        <v>5.4079845182680251E-3</v>
      </c>
      <c r="Q33" s="1131"/>
    </row>
    <row r="34" spans="2:17">
      <c r="B34" s="1132" t="s">
        <v>844</v>
      </c>
      <c r="C34" s="1133">
        <v>1.04575</v>
      </c>
      <c r="D34" s="1134">
        <v>0</v>
      </c>
      <c r="E34" s="1134">
        <v>0</v>
      </c>
      <c r="F34" s="1133">
        <v>0.85414192</v>
      </c>
      <c r="G34" s="1133">
        <v>0.829264</v>
      </c>
      <c r="H34" s="1135">
        <f t="shared" si="3"/>
        <v>0.19160807999999996</v>
      </c>
      <c r="J34" s="1136">
        <v>0.11776352722095296</v>
      </c>
      <c r="K34" s="1135">
        <f t="shared" si="0"/>
        <v>7.3844552779047001E-2</v>
      </c>
      <c r="M34" s="106">
        <f t="shared" si="4"/>
        <v>7.5979153106093433E-2</v>
      </c>
      <c r="N34" s="1133">
        <v>1.5743388413955453</v>
      </c>
      <c r="O34" s="109">
        <f t="shared" si="1"/>
        <v>0</v>
      </c>
      <c r="P34" s="1137">
        <f t="shared" si="2"/>
        <v>0</v>
      </c>
      <c r="Q34" s="1131"/>
    </row>
    <row r="35" spans="2:17">
      <c r="B35" s="1132" t="s">
        <v>845</v>
      </c>
      <c r="C35" s="1133">
        <v>0.97</v>
      </c>
      <c r="D35" s="1134">
        <v>0</v>
      </c>
      <c r="E35" s="1134">
        <v>0</v>
      </c>
      <c r="F35" s="1133">
        <v>0.63065561000000003</v>
      </c>
      <c r="G35" s="1133">
        <v>0.61228700000000003</v>
      </c>
      <c r="H35" s="1135">
        <f t="shared" si="3"/>
        <v>0.33934438999999994</v>
      </c>
      <c r="J35" s="1136">
        <v>5.0452448800000001E-2</v>
      </c>
      <c r="K35" s="1135">
        <f t="shared" si="0"/>
        <v>0.28889194119999995</v>
      </c>
      <c r="M35" s="106">
        <f t="shared" si="4"/>
        <v>0.42414993842383814</v>
      </c>
      <c r="N35" s="1133">
        <v>1.017953866084774</v>
      </c>
      <c r="O35" s="109">
        <f t="shared" si="1"/>
        <v>0</v>
      </c>
      <c r="P35" s="1137">
        <f t="shared" si="2"/>
        <v>0</v>
      </c>
      <c r="Q35" s="1131"/>
    </row>
    <row r="36" spans="2:17">
      <c r="B36" s="1132" t="s">
        <v>846</v>
      </c>
      <c r="C36" s="1133">
        <v>6.984</v>
      </c>
      <c r="D36" s="1134">
        <v>0</v>
      </c>
      <c r="E36" s="1134">
        <v>0</v>
      </c>
      <c r="F36" s="1133">
        <v>6.5609352000000003</v>
      </c>
      <c r="G36" s="1133">
        <v>6.3698399999999999</v>
      </c>
      <c r="H36" s="1135">
        <f t="shared" si="3"/>
        <v>0.42306479999999969</v>
      </c>
      <c r="J36" s="1136">
        <v>0.52487481600000008</v>
      </c>
      <c r="K36" s="1135">
        <f t="shared" si="0"/>
        <v>-0.10181001600000039</v>
      </c>
      <c r="M36" s="106">
        <f t="shared" si="4"/>
        <v>-1.4368154913850345E-2</v>
      </c>
      <c r="N36" s="1133">
        <v>12.623901208046995</v>
      </c>
      <c r="O36" s="109">
        <f t="shared" si="1"/>
        <v>2.3593860433653506E-3</v>
      </c>
      <c r="P36" s="1137">
        <f t="shared" si="2"/>
        <v>4.8708079889590354E-5</v>
      </c>
      <c r="Q36" s="1131"/>
    </row>
    <row r="37" spans="2:17">
      <c r="B37" s="1138" t="s">
        <v>847</v>
      </c>
      <c r="C37" s="1139">
        <v>0.15920000000000001</v>
      </c>
      <c r="D37" s="1140">
        <v>0</v>
      </c>
      <c r="E37" s="1140">
        <v>0</v>
      </c>
      <c r="F37" s="1139">
        <v>8.3780199999999999E-2</v>
      </c>
      <c r="G37" s="1139">
        <v>8.1339999999999996E-2</v>
      </c>
      <c r="H37" s="1141">
        <f t="shared" si="3"/>
        <v>7.5419800000000009E-2</v>
      </c>
      <c r="J37" s="1142">
        <v>6.7024160000000001E-3</v>
      </c>
      <c r="K37" s="1141">
        <f t="shared" si="0"/>
        <v>6.8717384000000006E-2</v>
      </c>
      <c r="M37" s="111">
        <f t="shared" si="4"/>
        <v>0.75945399279790948</v>
      </c>
      <c r="N37" s="1139">
        <v>7.2837885705891336E-2</v>
      </c>
      <c r="O37" s="112">
        <f t="shared" si="1"/>
        <v>0</v>
      </c>
      <c r="P37" s="1143">
        <f t="shared" si="2"/>
        <v>0</v>
      </c>
      <c r="Q37" s="1131"/>
    </row>
    <row r="38" spans="2:17">
      <c r="B38" s="1132" t="s">
        <v>848</v>
      </c>
      <c r="C38" s="1133">
        <v>1.9900000000000001E-2</v>
      </c>
      <c r="D38" s="1134">
        <v>0</v>
      </c>
      <c r="E38" s="1134">
        <v>0</v>
      </c>
      <c r="F38" s="1133">
        <v>1.0539990000000001E-2</v>
      </c>
      <c r="G38" s="1133">
        <v>1.0233000000000001E-2</v>
      </c>
      <c r="H38" s="1135">
        <f>+C38+D38-E38-F38</f>
        <v>9.3600100000000002E-3</v>
      </c>
      <c r="J38" s="1136">
        <v>8.4319920000000006E-4</v>
      </c>
      <c r="K38" s="1135">
        <f>+H38-J38</f>
        <v>8.5168107999999999E-3</v>
      </c>
      <c r="M38" s="106">
        <f>+IF(ISERROR(K38/(F38+J38)),0,K38/(F38+J38))</f>
        <v>0.74819197417890582</v>
      </c>
      <c r="N38" s="1133">
        <v>5.6849081526549335E-2</v>
      </c>
      <c r="O38" s="109">
        <f t="shared" si="1"/>
        <v>0</v>
      </c>
      <c r="P38" s="1137">
        <f>(M38^2*O38)*100</f>
        <v>0</v>
      </c>
      <c r="Q38" s="1131"/>
    </row>
    <row r="39" spans="2:17">
      <c r="B39" s="1132" t="s">
        <v>849</v>
      </c>
      <c r="C39" s="1133">
        <v>16.975000000000001</v>
      </c>
      <c r="D39" s="1134">
        <v>0</v>
      </c>
      <c r="E39" s="1134">
        <v>0</v>
      </c>
      <c r="F39" s="1133">
        <v>13.94905516</v>
      </c>
      <c r="G39" s="1133">
        <v>13.542771999999999</v>
      </c>
      <c r="H39" s="1135">
        <f t="shared" ref="H39:H62" si="5">+C39+D39-E39-F39</f>
        <v>3.0259448400000011</v>
      </c>
      <c r="J39" s="1136">
        <v>1.1159244128000001</v>
      </c>
      <c r="K39" s="1135">
        <f t="shared" ref="K39:K62" si="6">+H39-J39</f>
        <v>1.910020427200001</v>
      </c>
      <c r="M39" s="106">
        <f>+IF(ISERROR(K39/(F39+J39)),0,K39/(F39+J39))</f>
        <v>0.12678546412691893</v>
      </c>
      <c r="N39" s="1133">
        <v>26.697579041032569</v>
      </c>
      <c r="O39" s="109">
        <f t="shared" si="1"/>
        <v>0</v>
      </c>
      <c r="P39" s="1137">
        <f t="shared" ref="P39:P62" si="7">(M39^2*O39)*100</f>
        <v>0</v>
      </c>
      <c r="Q39" s="1131"/>
    </row>
    <row r="40" spans="2:17">
      <c r="B40" s="1132" t="s">
        <v>850</v>
      </c>
      <c r="C40" s="1133">
        <v>0.24875</v>
      </c>
      <c r="D40" s="1134">
        <v>0</v>
      </c>
      <c r="E40" s="1134">
        <v>0</v>
      </c>
      <c r="F40" s="1133">
        <v>0.16761190000000001</v>
      </c>
      <c r="G40" s="1133">
        <v>0.16273000000000001</v>
      </c>
      <c r="H40" s="1135">
        <f t="shared" si="5"/>
        <v>8.1138099999999991E-2</v>
      </c>
      <c r="J40" s="1136">
        <v>1.3408952000000002E-2</v>
      </c>
      <c r="K40" s="1135">
        <f t="shared" si="6"/>
        <v>6.7729147999999989E-2</v>
      </c>
      <c r="M40" s="106">
        <f t="shared" ref="M40:M62" si="8">+IF(ISERROR(K40/(F40+J40)),0,K40/(F40+J40))</f>
        <v>0.37415108398672209</v>
      </c>
      <c r="N40" s="1133">
        <v>0.31622301599143071</v>
      </c>
      <c r="O40" s="109">
        <f t="shared" si="1"/>
        <v>0</v>
      </c>
      <c r="P40" s="1137">
        <f t="shared" si="7"/>
        <v>0</v>
      </c>
      <c r="Q40" s="1131"/>
    </row>
    <row r="41" spans="2:17">
      <c r="B41" s="1132" t="s">
        <v>851</v>
      </c>
      <c r="C41" s="1133">
        <v>0.34825</v>
      </c>
      <c r="D41" s="1134">
        <v>0</v>
      </c>
      <c r="E41" s="1134">
        <v>0</v>
      </c>
      <c r="F41" s="1133">
        <v>0.31482052999999999</v>
      </c>
      <c r="G41" s="1133">
        <v>0.30565100000000001</v>
      </c>
      <c r="H41" s="1135">
        <f t="shared" si="5"/>
        <v>3.3429470000000017E-2</v>
      </c>
      <c r="J41" s="1136">
        <v>2.51856424E-2</v>
      </c>
      <c r="K41" s="1135">
        <f t="shared" si="6"/>
        <v>8.2438276000000171E-3</v>
      </c>
      <c r="M41" s="106">
        <f t="shared" si="8"/>
        <v>2.4246111597943501E-2</v>
      </c>
      <c r="N41" s="1133">
        <v>0.44768651702157602</v>
      </c>
      <c r="O41" s="109">
        <f t="shared" si="1"/>
        <v>0</v>
      </c>
      <c r="P41" s="1137">
        <f t="shared" si="7"/>
        <v>0</v>
      </c>
      <c r="Q41" s="1131"/>
    </row>
    <row r="42" spans="2:17">
      <c r="B42" s="1132" t="s">
        <v>852</v>
      </c>
      <c r="C42" s="1133">
        <v>0.12934999999999999</v>
      </c>
      <c r="D42" s="1134">
        <v>0</v>
      </c>
      <c r="E42" s="1134">
        <v>0</v>
      </c>
      <c r="F42" s="1133">
        <v>9.7818070000000007E-2</v>
      </c>
      <c r="G42" s="1133">
        <v>9.4968999999999998E-2</v>
      </c>
      <c r="H42" s="1135">
        <f t="shared" si="5"/>
        <v>3.1531929999999986E-2</v>
      </c>
      <c r="J42" s="1136">
        <v>7.8254456000000014E-3</v>
      </c>
      <c r="K42" s="1135">
        <f t="shared" si="6"/>
        <v>2.3706484399999984E-2</v>
      </c>
      <c r="M42" s="106">
        <f t="shared" si="8"/>
        <v>0.22440075252474825</v>
      </c>
      <c r="N42" s="1133">
        <v>0.17410031217505736</v>
      </c>
      <c r="O42" s="109">
        <f t="shared" si="1"/>
        <v>0</v>
      </c>
      <c r="P42" s="1137">
        <f t="shared" si="7"/>
        <v>0</v>
      </c>
      <c r="Q42" s="1131"/>
    </row>
    <row r="43" spans="2:17">
      <c r="B43" s="1132" t="s">
        <v>853</v>
      </c>
      <c r="C43" s="1133">
        <v>2.3880000000000002E-2</v>
      </c>
      <c r="D43" s="1134">
        <v>0</v>
      </c>
      <c r="E43" s="1134">
        <v>0</v>
      </c>
      <c r="F43" s="1133">
        <v>1.1125029999999999E-2</v>
      </c>
      <c r="G43" s="1133">
        <v>1.0801E-2</v>
      </c>
      <c r="H43" s="1135">
        <f t="shared" si="5"/>
        <v>1.2754970000000003E-2</v>
      </c>
      <c r="J43" s="1136">
        <v>8.9000240000000001E-4</v>
      </c>
      <c r="K43" s="1135">
        <f t="shared" si="6"/>
        <v>1.1864967600000003E-2</v>
      </c>
      <c r="M43" s="106">
        <f t="shared" si="8"/>
        <v>0.98751024591494274</v>
      </c>
      <c r="N43" s="1133">
        <v>2.4871473167865331E-2</v>
      </c>
      <c r="O43" s="109">
        <f t="shared" si="1"/>
        <v>0</v>
      </c>
      <c r="P43" s="1137">
        <f t="shared" si="7"/>
        <v>0</v>
      </c>
      <c r="Q43" s="1131"/>
    </row>
    <row r="44" spans="2:17">
      <c r="B44" s="1132" t="s">
        <v>854</v>
      </c>
      <c r="C44" s="1133">
        <v>0.39749999999999996</v>
      </c>
      <c r="D44" s="1134">
        <v>0</v>
      </c>
      <c r="E44" s="1134">
        <v>0</v>
      </c>
      <c r="F44" s="1133">
        <v>0.38299314000000001</v>
      </c>
      <c r="G44" s="1133">
        <v>0.371838</v>
      </c>
      <c r="H44" s="1135">
        <f t="shared" si="5"/>
        <v>1.4506859999999955E-2</v>
      </c>
      <c r="J44" s="1136">
        <v>3.0639451200000001E-2</v>
      </c>
      <c r="K44" s="1135">
        <f t="shared" si="6"/>
        <v>-1.6132591200000046E-2</v>
      </c>
      <c r="M44" s="106">
        <f t="shared" si="8"/>
        <v>-3.9002224542310303E-2</v>
      </c>
      <c r="N44" s="1133">
        <v>0.87760769606610545</v>
      </c>
      <c r="O44" s="109">
        <f t="shared" si="1"/>
        <v>1.6402341205969627E-4</v>
      </c>
      <c r="P44" s="1137">
        <f t="shared" si="7"/>
        <v>2.4950807096204299E-5</v>
      </c>
      <c r="Q44" s="1131"/>
    </row>
    <row r="45" spans="2:17">
      <c r="B45" s="1132" t="s">
        <v>855</v>
      </c>
      <c r="C45" s="1133">
        <v>2.2720255218977528</v>
      </c>
      <c r="D45" s="1134">
        <v>0</v>
      </c>
      <c r="E45" s="1134">
        <v>0</v>
      </c>
      <c r="F45" s="1133">
        <v>2.04033833</v>
      </c>
      <c r="G45" s="1133">
        <v>1.9809110000000001</v>
      </c>
      <c r="H45" s="1135">
        <f t="shared" si="5"/>
        <v>0.23168719189775278</v>
      </c>
      <c r="J45" s="1136">
        <v>0.33429004284920871</v>
      </c>
      <c r="K45" s="1135">
        <f t="shared" si="6"/>
        <v>-0.10260285095145594</v>
      </c>
      <c r="M45" s="106">
        <f t="shared" si="8"/>
        <v>-4.3207961348641445E-2</v>
      </c>
      <c r="N45" s="1133">
        <v>4.6528947959057039</v>
      </c>
      <c r="O45" s="109">
        <f t="shared" si="1"/>
        <v>8.6961826314906337E-4</v>
      </c>
      <c r="P45" s="1137">
        <f t="shared" si="7"/>
        <v>1.6235146186113555E-4</v>
      </c>
      <c r="Q45" s="1131"/>
    </row>
    <row r="46" spans="2:17">
      <c r="B46" s="1132" t="s">
        <v>856</v>
      </c>
      <c r="C46" s="1133">
        <v>0.5006858475275362</v>
      </c>
      <c r="D46" s="1134">
        <v>0</v>
      </c>
      <c r="E46" s="1134">
        <v>0</v>
      </c>
      <c r="F46" s="1133">
        <v>0.47487223000000001</v>
      </c>
      <c r="G46" s="1133">
        <v>0.46104099999999998</v>
      </c>
      <c r="H46" s="1135">
        <f t="shared" si="5"/>
        <v>2.5813617527536192E-2</v>
      </c>
      <c r="J46" s="1136">
        <v>5.2046008315315813E-2</v>
      </c>
      <c r="K46" s="1135">
        <f t="shared" si="6"/>
        <v>-2.6232390787779621E-2</v>
      </c>
      <c r="M46" s="106">
        <f t="shared" si="8"/>
        <v>-4.9784556464871808E-2</v>
      </c>
      <c r="N46" s="1133">
        <v>0.56171457670388514</v>
      </c>
      <c r="O46" s="109">
        <f t="shared" si="1"/>
        <v>1.0498351585524296E-4</v>
      </c>
      <c r="P46" s="1137">
        <f t="shared" si="7"/>
        <v>2.6020186056564373E-5</v>
      </c>
      <c r="Q46" s="1131"/>
    </row>
    <row r="47" spans="2:17">
      <c r="B47" s="1132" t="s">
        <v>857</v>
      </c>
      <c r="C47" s="1133">
        <v>7.4624999999999997E-2</v>
      </c>
      <c r="D47" s="1134">
        <v>0</v>
      </c>
      <c r="E47" s="1134">
        <v>0</v>
      </c>
      <c r="F47" s="1133">
        <v>4.0079360000000001E-2</v>
      </c>
      <c r="G47" s="1133">
        <v>3.8912000000000002E-2</v>
      </c>
      <c r="H47" s="1135">
        <f t="shared" si="5"/>
        <v>3.4545639999999996E-2</v>
      </c>
      <c r="J47" s="1136">
        <v>3.2063488000000002E-3</v>
      </c>
      <c r="K47" s="1135">
        <f t="shared" si="6"/>
        <v>3.1339291199999994E-2</v>
      </c>
      <c r="M47" s="106">
        <f t="shared" si="8"/>
        <v>0.72401011947851002</v>
      </c>
      <c r="N47" s="1133">
        <v>5.3296013931140002E-2</v>
      </c>
      <c r="O47" s="109">
        <f t="shared" si="1"/>
        <v>0</v>
      </c>
      <c r="P47" s="1137">
        <f t="shared" si="7"/>
        <v>0</v>
      </c>
      <c r="Q47" s="1131"/>
    </row>
    <row r="48" spans="2:17">
      <c r="B48" s="1132" t="s">
        <v>858</v>
      </c>
      <c r="C48" s="1133">
        <v>0.17909999999999998</v>
      </c>
      <c r="D48" s="1134">
        <v>0</v>
      </c>
      <c r="E48" s="1134">
        <v>0</v>
      </c>
      <c r="F48" s="1133">
        <v>0.13389793999999999</v>
      </c>
      <c r="G48" s="1133">
        <v>0.129998</v>
      </c>
      <c r="H48" s="1135">
        <f t="shared" si="5"/>
        <v>4.5202059999999988E-2</v>
      </c>
      <c r="J48" s="1136">
        <v>1.702372212817941E-2</v>
      </c>
      <c r="K48" s="1135">
        <f t="shared" si="6"/>
        <v>2.8178337871820579E-2</v>
      </c>
      <c r="M48" s="106">
        <f t="shared" si="8"/>
        <v>0.1867083722407484</v>
      </c>
      <c r="N48" s="1133">
        <v>0.298457678014384</v>
      </c>
      <c r="O48" s="109">
        <f t="shared" si="1"/>
        <v>0</v>
      </c>
      <c r="P48" s="1137">
        <f t="shared" si="7"/>
        <v>0</v>
      </c>
      <c r="Q48" s="1131"/>
    </row>
    <row r="49" spans="2:17">
      <c r="B49" s="1132" t="s">
        <v>859</v>
      </c>
      <c r="C49" s="1133">
        <v>4.9750000000000003E-2</v>
      </c>
      <c r="D49" s="1134">
        <v>0</v>
      </c>
      <c r="E49" s="1134">
        <v>0</v>
      </c>
      <c r="F49" s="1133">
        <v>2.996064E-2</v>
      </c>
      <c r="G49" s="1133">
        <v>2.9087999999999999E-2</v>
      </c>
      <c r="H49" s="1135">
        <f t="shared" si="5"/>
        <v>1.9789360000000002E-2</v>
      </c>
      <c r="J49" s="1136">
        <v>2.3968512000000003E-3</v>
      </c>
      <c r="K49" s="1135">
        <f t="shared" si="6"/>
        <v>1.7392508800000001E-2</v>
      </c>
      <c r="M49" s="106">
        <f t="shared" si="8"/>
        <v>0.53751104164713492</v>
      </c>
      <c r="N49" s="1133">
        <v>0.11935766107542313</v>
      </c>
      <c r="O49" s="109">
        <f t="shared" si="1"/>
        <v>0</v>
      </c>
      <c r="P49" s="1137">
        <f t="shared" si="7"/>
        <v>0</v>
      </c>
      <c r="Q49" s="1131"/>
    </row>
    <row r="50" spans="2:17">
      <c r="B50" s="1132" t="s">
        <v>860</v>
      </c>
      <c r="C50" s="1133">
        <v>1.4161999999999999</v>
      </c>
      <c r="D50" s="1134">
        <v>0</v>
      </c>
      <c r="E50" s="1134">
        <v>0</v>
      </c>
      <c r="F50" s="1133">
        <v>1.1891216100000002</v>
      </c>
      <c r="G50" s="1133">
        <v>1.154487</v>
      </c>
      <c r="H50" s="1135">
        <f t="shared" si="5"/>
        <v>0.22707838999999974</v>
      </c>
      <c r="J50" s="1136">
        <v>9.5129728800000021E-2</v>
      </c>
      <c r="K50" s="1135">
        <f t="shared" si="6"/>
        <v>0.13194866119999971</v>
      </c>
      <c r="M50" s="106">
        <f t="shared" si="8"/>
        <v>0.10274364309660138</v>
      </c>
      <c r="N50" s="1133">
        <v>1.9950474548223407</v>
      </c>
      <c r="O50" s="109">
        <f t="shared" si="1"/>
        <v>0</v>
      </c>
      <c r="P50" s="1137">
        <f t="shared" si="7"/>
        <v>0</v>
      </c>
      <c r="Q50" s="1131"/>
    </row>
    <row r="51" spans="2:17">
      <c r="B51" s="1132" t="s">
        <v>861</v>
      </c>
      <c r="C51" s="1133">
        <v>0.14924999999999999</v>
      </c>
      <c r="D51" s="1134">
        <v>0</v>
      </c>
      <c r="E51" s="1134">
        <v>0</v>
      </c>
      <c r="F51" s="1133">
        <v>0.10877727</v>
      </c>
      <c r="G51" s="1133">
        <v>0.10560899999999999</v>
      </c>
      <c r="H51" s="1135">
        <f t="shared" si="5"/>
        <v>4.0472729999999998E-2</v>
      </c>
      <c r="J51" s="1136">
        <v>8.7021815999999991E-3</v>
      </c>
      <c r="K51" s="1135">
        <f t="shared" si="6"/>
        <v>3.1770548400000001E-2</v>
      </c>
      <c r="M51" s="106">
        <f t="shared" si="8"/>
        <v>0.27043493961968751</v>
      </c>
      <c r="N51" s="1133">
        <v>0.143899237614078</v>
      </c>
      <c r="O51" s="109">
        <f t="shared" si="1"/>
        <v>0</v>
      </c>
      <c r="P51" s="1137">
        <f t="shared" si="7"/>
        <v>0</v>
      </c>
      <c r="Q51" s="1131"/>
    </row>
    <row r="52" spans="2:17">
      <c r="B52" s="1132" t="s">
        <v>862</v>
      </c>
      <c r="C52" s="1133">
        <v>0.32612731706585374</v>
      </c>
      <c r="D52" s="1134">
        <v>0</v>
      </c>
      <c r="E52" s="1134">
        <v>0</v>
      </c>
      <c r="F52" s="1133">
        <v>0.24578066000000001</v>
      </c>
      <c r="G52" s="1133">
        <v>0.238622</v>
      </c>
      <c r="H52" s="1135">
        <f t="shared" si="5"/>
        <v>8.0346657065853727E-2</v>
      </c>
      <c r="J52" s="1136">
        <v>2.4670642359388113E-2</v>
      </c>
      <c r="K52" s="1135">
        <f t="shared" si="6"/>
        <v>5.5676014706465618E-2</v>
      </c>
      <c r="M52" s="106">
        <f t="shared" si="8"/>
        <v>0.2058633632774331</v>
      </c>
      <c r="N52" s="1133">
        <v>0.35708329333863797</v>
      </c>
      <c r="O52" s="109">
        <f t="shared" si="1"/>
        <v>0</v>
      </c>
      <c r="P52" s="1137">
        <f t="shared" si="7"/>
        <v>0</v>
      </c>
      <c r="Q52" s="1131"/>
    </row>
    <row r="53" spans="2:17">
      <c r="B53" s="1132" t="s">
        <v>863</v>
      </c>
      <c r="C53" s="1133">
        <v>0.14924999999999999</v>
      </c>
      <c r="D53" s="1134">
        <v>0</v>
      </c>
      <c r="E53" s="1134">
        <v>0</v>
      </c>
      <c r="F53" s="1133">
        <v>0.10914807</v>
      </c>
      <c r="G53" s="1133">
        <v>0.10596899999999999</v>
      </c>
      <c r="H53" s="1135">
        <f t="shared" si="5"/>
        <v>4.0101929999999994E-2</v>
      </c>
      <c r="J53" s="1136">
        <v>8.7318455999999996E-3</v>
      </c>
      <c r="K53" s="1135">
        <f t="shared" si="6"/>
        <v>3.1370084399999998E-2</v>
      </c>
      <c r="M53" s="106">
        <f t="shared" si="8"/>
        <v>0.26611899270820311</v>
      </c>
      <c r="N53" s="1133">
        <v>0.11192162925539401</v>
      </c>
      <c r="O53" s="109">
        <f t="shared" si="1"/>
        <v>0</v>
      </c>
      <c r="P53" s="1137">
        <f t="shared" si="7"/>
        <v>0</v>
      </c>
      <c r="Q53" s="1131"/>
    </row>
    <row r="54" spans="2:17">
      <c r="B54" s="1132" t="s">
        <v>864</v>
      </c>
      <c r="C54" s="1133">
        <v>0.44775000000000004</v>
      </c>
      <c r="D54" s="1134">
        <v>0</v>
      </c>
      <c r="E54" s="1134">
        <v>0</v>
      </c>
      <c r="F54" s="1133">
        <v>0.46011336000000003</v>
      </c>
      <c r="G54" s="1133">
        <v>0.446712</v>
      </c>
      <c r="H54" s="1135">
        <f t="shared" si="5"/>
        <v>-1.236335999999999E-2</v>
      </c>
      <c r="J54" s="1136">
        <v>8.1435975794062865E-2</v>
      </c>
      <c r="K54" s="1135">
        <f t="shared" si="6"/>
        <v>-9.3799335794062855E-2</v>
      </c>
      <c r="M54" s="106">
        <f t="shared" si="8"/>
        <v>-0.17320552273695763</v>
      </c>
      <c r="N54" s="1133">
        <v>0.77634526959693939</v>
      </c>
      <c r="O54" s="109">
        <f t="shared" si="1"/>
        <v>1.4509763374511594E-4</v>
      </c>
      <c r="P54" s="1137">
        <f t="shared" si="7"/>
        <v>4.3529512277563459E-4</v>
      </c>
      <c r="Q54" s="1131"/>
    </row>
    <row r="55" spans="2:17">
      <c r="B55" s="1132" t="s">
        <v>865</v>
      </c>
      <c r="C55" s="1133">
        <v>0.19900000000000001</v>
      </c>
      <c r="D55" s="1134">
        <v>0</v>
      </c>
      <c r="E55" s="1134">
        <v>0</v>
      </c>
      <c r="F55" s="1133">
        <v>0.15099182</v>
      </c>
      <c r="G55" s="1133">
        <v>0.146594</v>
      </c>
      <c r="H55" s="1135">
        <f t="shared" si="5"/>
        <v>4.8008180000000011E-2</v>
      </c>
      <c r="J55" s="1136">
        <v>3.1294426191662068E-2</v>
      </c>
      <c r="K55" s="1135">
        <f t="shared" si="6"/>
        <v>1.6713753808337943E-2</v>
      </c>
      <c r="M55" s="106">
        <f t="shared" si="8"/>
        <v>9.1689604440943526E-2</v>
      </c>
      <c r="N55" s="1133">
        <v>0.28602194143045129</v>
      </c>
      <c r="O55" s="109">
        <f t="shared" si="1"/>
        <v>0</v>
      </c>
      <c r="P55" s="1137">
        <f t="shared" si="7"/>
        <v>0</v>
      </c>
      <c r="Q55" s="1131"/>
    </row>
    <row r="56" spans="2:17">
      <c r="B56" s="1132" t="s">
        <v>866</v>
      </c>
      <c r="C56" s="1133">
        <v>9.9500000000000005E-2</v>
      </c>
      <c r="D56" s="1134">
        <v>0</v>
      </c>
      <c r="E56" s="1134">
        <v>0</v>
      </c>
      <c r="F56" s="1133">
        <v>5.9180710000000004E-2</v>
      </c>
      <c r="G56" s="1133">
        <v>5.7457000000000001E-2</v>
      </c>
      <c r="H56" s="1135">
        <f t="shared" si="5"/>
        <v>4.0319290000000001E-2</v>
      </c>
      <c r="J56" s="1136">
        <v>4.7344568000000009E-3</v>
      </c>
      <c r="K56" s="1135">
        <f t="shared" si="6"/>
        <v>3.5584833199999999E-2</v>
      </c>
      <c r="M56" s="106">
        <f t="shared" si="8"/>
        <v>0.55675100264308464</v>
      </c>
      <c r="N56" s="1133">
        <v>0.101262426469166</v>
      </c>
      <c r="O56" s="109">
        <f t="shared" si="1"/>
        <v>0</v>
      </c>
      <c r="P56" s="1137">
        <f t="shared" si="7"/>
        <v>0</v>
      </c>
      <c r="Q56" s="1131"/>
    </row>
    <row r="57" spans="2:17">
      <c r="B57" s="1132" t="s">
        <v>867</v>
      </c>
      <c r="C57" s="1133">
        <v>9.9282555224626839E-2</v>
      </c>
      <c r="D57" s="1134">
        <v>0</v>
      </c>
      <c r="E57" s="1134">
        <v>0</v>
      </c>
      <c r="F57" s="1133">
        <v>8.0493469999999998E-2</v>
      </c>
      <c r="G57" s="1133">
        <v>7.8148999999999996E-2</v>
      </c>
      <c r="H57" s="1135">
        <f t="shared" si="5"/>
        <v>1.8789085224626842E-2</v>
      </c>
      <c r="J57" s="1136">
        <v>6.4394776000000001E-3</v>
      </c>
      <c r="K57" s="1135">
        <f t="shared" si="6"/>
        <v>1.2349607624626842E-2</v>
      </c>
      <c r="M57" s="106">
        <f t="shared" si="8"/>
        <v>0.14205900024752918</v>
      </c>
      <c r="N57" s="1133">
        <v>0.149228839007192</v>
      </c>
      <c r="O57" s="109">
        <f t="shared" si="1"/>
        <v>0</v>
      </c>
      <c r="P57" s="1137">
        <f t="shared" si="7"/>
        <v>0</v>
      </c>
      <c r="Q57" s="1131"/>
    </row>
    <row r="58" spans="2:17">
      <c r="B58" s="1132" t="s">
        <v>868</v>
      </c>
      <c r="C58" s="1133">
        <v>5.4950973344444445E-2</v>
      </c>
      <c r="D58" s="1134">
        <v>0</v>
      </c>
      <c r="E58" s="1134">
        <v>0</v>
      </c>
      <c r="F58" s="1133">
        <v>5.1524720000000003E-2</v>
      </c>
      <c r="G58" s="1133">
        <v>5.0023999999999999E-2</v>
      </c>
      <c r="H58" s="1135">
        <f t="shared" si="5"/>
        <v>3.4262533444444424E-3</v>
      </c>
      <c r="J58" s="1136">
        <v>4.1219776E-3</v>
      </c>
      <c r="K58" s="1135">
        <f t="shared" si="6"/>
        <v>-6.9572425555555761E-4</v>
      </c>
      <c r="M58" s="106">
        <f t="shared" si="8"/>
        <v>-1.2502525496779122E-2</v>
      </c>
      <c r="N58" s="1133">
        <v>0.101262426469166</v>
      </c>
      <c r="O58" s="109">
        <f t="shared" si="1"/>
        <v>1.8925778314580336E-5</v>
      </c>
      <c r="P58" s="1137">
        <f t="shared" si="7"/>
        <v>2.9583479071687234E-7</v>
      </c>
      <c r="Q58" s="1131"/>
    </row>
    <row r="59" spans="2:17">
      <c r="B59" s="1132" t="s">
        <v>869</v>
      </c>
      <c r="C59" s="1133">
        <v>3.9800000000000002E-2</v>
      </c>
      <c r="D59" s="1134">
        <v>0</v>
      </c>
      <c r="E59" s="1134">
        <v>0</v>
      </c>
      <c r="F59" s="1133">
        <v>2.4161740000000001E-2</v>
      </c>
      <c r="G59" s="1133">
        <v>2.3458E-2</v>
      </c>
      <c r="H59" s="1135">
        <f t="shared" si="5"/>
        <v>1.5638260000000001E-2</v>
      </c>
      <c r="J59" s="1136">
        <v>1.9329392000000001E-3</v>
      </c>
      <c r="K59" s="1135">
        <f t="shared" si="6"/>
        <v>1.37053208E-2</v>
      </c>
      <c r="M59" s="106">
        <f t="shared" si="8"/>
        <v>0.52521514807509107</v>
      </c>
      <c r="N59" s="1133">
        <v>7.106135190818666E-2</v>
      </c>
      <c r="O59" s="109">
        <f t="shared" si="1"/>
        <v>0</v>
      </c>
      <c r="P59" s="1137">
        <f t="shared" si="7"/>
        <v>0</v>
      </c>
      <c r="Q59" s="1131"/>
    </row>
    <row r="60" spans="2:17">
      <c r="B60" s="1132" t="s">
        <v>870</v>
      </c>
      <c r="C60" s="1133">
        <v>0.15670917006666668</v>
      </c>
      <c r="D60" s="1134">
        <v>0</v>
      </c>
      <c r="E60" s="1134">
        <v>0</v>
      </c>
      <c r="F60" s="1133">
        <v>0.10791104</v>
      </c>
      <c r="G60" s="1133">
        <v>0.104768</v>
      </c>
      <c r="H60" s="1135">
        <f t="shared" si="5"/>
        <v>4.8798130066666681E-2</v>
      </c>
      <c r="J60" s="1136">
        <v>8.6328832000000001E-3</v>
      </c>
      <c r="K60" s="1135">
        <f t="shared" si="6"/>
        <v>4.0165246866666685E-2</v>
      </c>
      <c r="M60" s="106">
        <f t="shared" si="8"/>
        <v>0.3446361317161038</v>
      </c>
      <c r="N60" s="1133">
        <v>0.24693819788094867</v>
      </c>
      <c r="O60" s="109">
        <f t="shared" si="1"/>
        <v>0</v>
      </c>
      <c r="P60" s="1137">
        <f t="shared" si="7"/>
        <v>0</v>
      </c>
      <c r="Q60" s="1131"/>
    </row>
    <row r="61" spans="2:17">
      <c r="B61" s="1132" t="s">
        <v>871</v>
      </c>
      <c r="C61" s="1133">
        <v>4.9750000000000003E-2</v>
      </c>
      <c r="D61" s="1134">
        <v>0</v>
      </c>
      <c r="E61" s="1134">
        <v>0</v>
      </c>
      <c r="F61" s="1133">
        <v>2.2684719999999998E-2</v>
      </c>
      <c r="G61" s="1133">
        <v>2.2023999999999998E-2</v>
      </c>
      <c r="H61" s="1135">
        <f t="shared" si="5"/>
        <v>2.7065280000000004E-2</v>
      </c>
      <c r="J61" s="1136">
        <v>1.8147775999999998E-3</v>
      </c>
      <c r="K61" s="1135">
        <f t="shared" si="6"/>
        <v>2.5250502400000003E-2</v>
      </c>
      <c r="M61" s="106">
        <f t="shared" si="8"/>
        <v>1.0306538857351917</v>
      </c>
      <c r="N61" s="1133">
        <v>4.7966412538026006E-2</v>
      </c>
      <c r="O61" s="109">
        <f t="shared" si="1"/>
        <v>0</v>
      </c>
      <c r="P61" s="1137">
        <f t="shared" si="7"/>
        <v>0</v>
      </c>
      <c r="Q61" s="1131"/>
    </row>
    <row r="62" spans="2:17">
      <c r="B62" s="1132" t="s">
        <v>872</v>
      </c>
      <c r="C62" s="1133">
        <v>0.37101914800416641</v>
      </c>
      <c r="D62" s="1134">
        <v>0</v>
      </c>
      <c r="E62" s="1134">
        <v>0</v>
      </c>
      <c r="F62" s="1133">
        <v>0.28854317000000002</v>
      </c>
      <c r="G62" s="1133">
        <v>0.28013900000000003</v>
      </c>
      <c r="H62" s="1135">
        <f t="shared" si="5"/>
        <v>8.2475978004166395E-2</v>
      </c>
      <c r="J62" s="1136">
        <v>2.3083453600000001E-2</v>
      </c>
      <c r="K62" s="1135">
        <f t="shared" si="6"/>
        <v>5.9392524404166397E-2</v>
      </c>
      <c r="M62" s="106">
        <f t="shared" si="8"/>
        <v>0.19058873634751403</v>
      </c>
      <c r="N62" s="1133">
        <v>0.95044558177199667</v>
      </c>
      <c r="O62" s="109">
        <f t="shared" si="1"/>
        <v>0</v>
      </c>
      <c r="P62" s="1137">
        <f t="shared" si="7"/>
        <v>0</v>
      </c>
      <c r="Q62" s="1131"/>
    </row>
    <row r="63" spans="2:17">
      <c r="B63" s="1132" t="s">
        <v>873</v>
      </c>
      <c r="C63" s="1133">
        <v>1.4550000000000001</v>
      </c>
      <c r="D63" s="1134">
        <v>0</v>
      </c>
      <c r="E63" s="1134">
        <v>0</v>
      </c>
      <c r="F63" s="1133">
        <v>1.0042170399999999</v>
      </c>
      <c r="G63" s="1133">
        <v>0.97496799999999995</v>
      </c>
      <c r="H63" s="1135">
        <f>+C63+D63-E63-F63</f>
        <v>0.45078296000000018</v>
      </c>
      <c r="J63" s="1136">
        <v>0.1323797780085971</v>
      </c>
      <c r="K63" s="1135">
        <f>+H63-J63</f>
        <v>0.31840318199140305</v>
      </c>
      <c r="M63" s="106">
        <f>+IF(ISERROR(K63/(F63+J63)),0,K63/(F63+J63))</f>
        <v>0.28013731601789044</v>
      </c>
      <c r="N63" s="1133">
        <v>1.5953273503387908</v>
      </c>
      <c r="O63" s="109">
        <f t="shared" si="1"/>
        <v>0</v>
      </c>
      <c r="P63" s="1137">
        <f>(M63^2*O63)*100</f>
        <v>0</v>
      </c>
      <c r="Q63" s="1131"/>
    </row>
    <row r="64" spans="2:17">
      <c r="B64" s="1132" t="s">
        <v>874</v>
      </c>
      <c r="C64" s="1133">
        <v>5.7710000000000004E-2</v>
      </c>
      <c r="D64" s="1134">
        <v>0</v>
      </c>
      <c r="E64" s="1134">
        <v>0</v>
      </c>
      <c r="F64" s="1133">
        <v>3.7963740000000003E-2</v>
      </c>
      <c r="G64" s="1133">
        <v>3.6858000000000002E-2</v>
      </c>
      <c r="H64" s="1135">
        <f t="shared" ref="H64:H87" si="9">+C64+D64-E64-F64</f>
        <v>1.9746260000000002E-2</v>
      </c>
      <c r="J64" s="1136">
        <v>3.0370992000000002E-3</v>
      </c>
      <c r="K64" s="1135">
        <f t="shared" ref="K64:K87" si="10">+H64-J64</f>
        <v>1.6709160800000001E-2</v>
      </c>
      <c r="M64" s="106">
        <f>+IF(ISERROR(K64/(F64+J64)),0,K64/(F64+J64))</f>
        <v>0.40753216582942531</v>
      </c>
      <c r="N64" s="1133">
        <v>4.7966412538026006E-2</v>
      </c>
      <c r="O64" s="109">
        <f t="shared" si="1"/>
        <v>0</v>
      </c>
      <c r="P64" s="1137">
        <f t="shared" ref="P64:P87" si="11">(M64^2*O64)*100</f>
        <v>0</v>
      </c>
      <c r="Q64" s="1131"/>
    </row>
    <row r="65" spans="2:17">
      <c r="B65" s="1132" t="s">
        <v>875</v>
      </c>
      <c r="C65" s="1133">
        <v>0.16386067193239434</v>
      </c>
      <c r="D65" s="1134">
        <v>0</v>
      </c>
      <c r="E65" s="1134">
        <v>0</v>
      </c>
      <c r="F65" s="1133">
        <v>0.21919636000000001</v>
      </c>
      <c r="G65" s="1133">
        <v>0.212812</v>
      </c>
      <c r="H65" s="1135">
        <f t="shared" si="9"/>
        <v>-5.5335688067605665E-2</v>
      </c>
      <c r="J65" s="1136">
        <v>2.2240568171524266E-2</v>
      </c>
      <c r="K65" s="1135">
        <f t="shared" si="10"/>
        <v>-7.7576256239129934E-2</v>
      </c>
      <c r="M65" s="106">
        <f t="shared" ref="M65:M87" si="12">+IF(ISERROR(K65/(F65+J65)),0,K65/(F65+J65))</f>
        <v>-0.32131064964518335</v>
      </c>
      <c r="N65" s="1133">
        <v>0.52585400412058125</v>
      </c>
      <c r="O65" s="109">
        <f t="shared" si="1"/>
        <v>9.8281234756417176E-5</v>
      </c>
      <c r="P65" s="1137">
        <f t="shared" si="11"/>
        <v>1.0146607116702617E-3</v>
      </c>
      <c r="Q65" s="1131"/>
    </row>
    <row r="66" spans="2:17">
      <c r="B66" s="1132" t="s">
        <v>876</v>
      </c>
      <c r="C66" s="1133">
        <v>2.3880000000000002E-2</v>
      </c>
      <c r="D66" s="1134">
        <v>0</v>
      </c>
      <c r="E66" s="1134">
        <v>0</v>
      </c>
      <c r="F66" s="1133">
        <v>2.6203200000000003E-2</v>
      </c>
      <c r="G66" s="1133">
        <v>2.5440000000000001E-2</v>
      </c>
      <c r="H66" s="1135">
        <f t="shared" si="9"/>
        <v>-2.323200000000001E-3</v>
      </c>
      <c r="J66" s="1136">
        <v>2.0962560000000003E-3</v>
      </c>
      <c r="K66" s="1135">
        <f t="shared" si="10"/>
        <v>-4.4194560000000013E-3</v>
      </c>
      <c r="M66" s="106">
        <f t="shared" si="12"/>
        <v>-0.15616752491638003</v>
      </c>
      <c r="N66" s="1133">
        <v>6.5731750515072657E-2</v>
      </c>
      <c r="O66" s="109">
        <f t="shared" si="1"/>
        <v>1.2285154344552147E-5</v>
      </c>
      <c r="P66" s="1137">
        <f t="shared" si="11"/>
        <v>2.9961397857667178E-5</v>
      </c>
      <c r="Q66" s="1131"/>
    </row>
    <row r="67" spans="2:17">
      <c r="B67" s="1132" t="s">
        <v>877</v>
      </c>
      <c r="C67" s="1133">
        <v>9.0187024677419347E-2</v>
      </c>
      <c r="D67" s="1134">
        <v>0</v>
      </c>
      <c r="E67" s="1134">
        <v>0</v>
      </c>
      <c r="F67" s="1133">
        <v>0.121952</v>
      </c>
      <c r="G67" s="1133">
        <v>0.11840000000000001</v>
      </c>
      <c r="H67" s="1135">
        <f t="shared" si="9"/>
        <v>-3.1764975322580657E-2</v>
      </c>
      <c r="J67" s="1136">
        <v>9.7561599999999998E-3</v>
      </c>
      <c r="K67" s="1135">
        <f t="shared" si="10"/>
        <v>-4.1521135322580657E-2</v>
      </c>
      <c r="M67" s="106">
        <f t="shared" si="12"/>
        <v>-0.31525104687956046</v>
      </c>
      <c r="N67" s="1133">
        <v>0.23094939370160669</v>
      </c>
      <c r="O67" s="109">
        <f t="shared" si="1"/>
        <v>4.316405580518323E-5</v>
      </c>
      <c r="P67" s="1137">
        <f t="shared" si="11"/>
        <v>4.2897829646208941E-4</v>
      </c>
      <c r="Q67" s="1131"/>
    </row>
    <row r="68" spans="2:17">
      <c r="B68" s="1132" t="s">
        <v>878</v>
      </c>
      <c r="C68" s="1133">
        <v>9.9500000000000005E-3</v>
      </c>
      <c r="D68" s="1134">
        <v>0</v>
      </c>
      <c r="E68" s="1134">
        <v>0</v>
      </c>
      <c r="F68" s="1133">
        <v>1.64594E-3</v>
      </c>
      <c r="G68" s="1133">
        <v>1.598E-3</v>
      </c>
      <c r="H68" s="1135">
        <f t="shared" si="9"/>
        <v>8.3040600000000003E-3</v>
      </c>
      <c r="J68" s="1136">
        <v>1.316752E-4</v>
      </c>
      <c r="K68" s="1135">
        <f t="shared" si="10"/>
        <v>8.1723847999999998E-3</v>
      </c>
      <c r="M68" s="106">
        <f t="shared" si="12"/>
        <v>4.5973868810302703</v>
      </c>
      <c r="N68" s="1133">
        <v>2.1318405572455998E-2</v>
      </c>
      <c r="O68" s="109">
        <f t="shared" si="1"/>
        <v>0</v>
      </c>
      <c r="P68" s="1137">
        <f t="shared" si="11"/>
        <v>0</v>
      </c>
      <c r="Q68" s="1131"/>
    </row>
    <row r="69" spans="2:17">
      <c r="B69" s="1132" t="s">
        <v>879</v>
      </c>
      <c r="C69" s="1133">
        <v>0.37809999999999999</v>
      </c>
      <c r="D69" s="1134">
        <v>0</v>
      </c>
      <c r="E69" s="1134">
        <v>0</v>
      </c>
      <c r="F69" s="1133">
        <v>0.22740340000000001</v>
      </c>
      <c r="G69" s="1133">
        <v>0.22078</v>
      </c>
      <c r="H69" s="1135">
        <f t="shared" si="9"/>
        <v>0.15069659999999999</v>
      </c>
      <c r="J69" s="1136">
        <v>1.8192272000000002E-2</v>
      </c>
      <c r="K69" s="1135">
        <f t="shared" si="10"/>
        <v>0.13250432799999998</v>
      </c>
      <c r="M69" s="106">
        <f t="shared" si="12"/>
        <v>0.53952224369817059</v>
      </c>
      <c r="N69" s="1133">
        <v>0.40327317207895935</v>
      </c>
      <c r="O69" s="109">
        <f t="shared" si="1"/>
        <v>0</v>
      </c>
      <c r="P69" s="1137">
        <f t="shared" si="11"/>
        <v>0</v>
      </c>
      <c r="Q69" s="1131"/>
    </row>
    <row r="70" spans="2:17">
      <c r="B70" s="1132" t="s">
        <v>880</v>
      </c>
      <c r="C70" s="1133">
        <v>0.22823562792187499</v>
      </c>
      <c r="D70" s="1134">
        <v>0</v>
      </c>
      <c r="E70" s="1134">
        <v>0</v>
      </c>
      <c r="F70" s="1133">
        <v>0.13668615000000001</v>
      </c>
      <c r="G70" s="1133">
        <v>0.13270499999999999</v>
      </c>
      <c r="H70" s="1135">
        <f t="shared" si="9"/>
        <v>9.1549477921874983E-2</v>
      </c>
      <c r="J70" s="1136">
        <v>1.0934892E-2</v>
      </c>
      <c r="K70" s="1135">
        <f t="shared" si="10"/>
        <v>8.0614585921874982E-2</v>
      </c>
      <c r="M70" s="106">
        <f t="shared" si="12"/>
        <v>0.54609142998648508</v>
      </c>
      <c r="N70" s="1133">
        <v>0.20963098812915065</v>
      </c>
      <c r="O70" s="109">
        <f t="shared" si="1"/>
        <v>0</v>
      </c>
      <c r="P70" s="1137">
        <f t="shared" si="11"/>
        <v>0</v>
      </c>
      <c r="Q70" s="1131"/>
    </row>
    <row r="71" spans="2:17">
      <c r="B71" s="1132" t="s">
        <v>881</v>
      </c>
      <c r="C71" s="1133">
        <v>0.194025</v>
      </c>
      <c r="D71" s="1134">
        <v>0</v>
      </c>
      <c r="E71" s="1134">
        <v>0</v>
      </c>
      <c r="F71" s="1133">
        <v>5.3620770000000005E-2</v>
      </c>
      <c r="G71" s="1133">
        <v>5.2059000000000001E-2</v>
      </c>
      <c r="H71" s="1135">
        <f t="shared" si="9"/>
        <v>0.14040422999999999</v>
      </c>
      <c r="J71" s="1136">
        <v>4.2896616000000004E-3</v>
      </c>
      <c r="K71" s="1135">
        <f t="shared" si="10"/>
        <v>0.1361145684</v>
      </c>
      <c r="M71" s="106">
        <f t="shared" si="12"/>
        <v>2.3504326360434167</v>
      </c>
      <c r="N71" s="1133">
        <v>0.21851365711767401</v>
      </c>
      <c r="O71" s="109">
        <f t="shared" si="1"/>
        <v>0</v>
      </c>
      <c r="P71" s="1137">
        <f t="shared" si="11"/>
        <v>0</v>
      </c>
      <c r="Q71" s="1131"/>
    </row>
    <row r="72" spans="2:17">
      <c r="B72" s="1132" t="s">
        <v>882</v>
      </c>
      <c r="C72" s="1133">
        <v>2.5869999999999997E-2</v>
      </c>
      <c r="D72" s="1134">
        <v>0</v>
      </c>
      <c r="E72" s="1134">
        <v>0</v>
      </c>
      <c r="F72" s="1133">
        <v>1.1116790000000001E-2</v>
      </c>
      <c r="G72" s="1133">
        <v>1.0793000000000001E-2</v>
      </c>
      <c r="H72" s="1135">
        <f t="shared" si="9"/>
        <v>1.4753209999999996E-2</v>
      </c>
      <c r="J72" s="1136">
        <v>1.372950522860515E-3</v>
      </c>
      <c r="K72" s="1135">
        <f t="shared" si="10"/>
        <v>1.3380259477139481E-2</v>
      </c>
      <c r="M72" s="106">
        <f t="shared" si="12"/>
        <v>1.0713000364298209</v>
      </c>
      <c r="N72" s="1133">
        <v>5.3296013931140002E-2</v>
      </c>
      <c r="O72" s="109">
        <f t="shared" si="1"/>
        <v>0</v>
      </c>
      <c r="P72" s="1137">
        <f t="shared" si="11"/>
        <v>0</v>
      </c>
      <c r="Q72" s="1131"/>
    </row>
    <row r="73" spans="2:17">
      <c r="B73" s="1132" t="s">
        <v>883</v>
      </c>
      <c r="C73" s="1133">
        <v>2.1366868340000003</v>
      </c>
      <c r="D73" s="1134">
        <v>0</v>
      </c>
      <c r="E73" s="1134">
        <v>0</v>
      </c>
      <c r="F73" s="1133">
        <v>2.2498444499999999</v>
      </c>
      <c r="G73" s="1133">
        <v>2.1843149999999998</v>
      </c>
      <c r="H73" s="1135">
        <f t="shared" si="9"/>
        <v>-0.11315761599999963</v>
      </c>
      <c r="J73" s="1136">
        <v>0.17998755599999999</v>
      </c>
      <c r="K73" s="1135">
        <f t="shared" si="10"/>
        <v>-0.29314517199999962</v>
      </c>
      <c r="M73" s="106">
        <f t="shared" si="12"/>
        <v>-0.12064421378767518</v>
      </c>
      <c r="N73" s="1133">
        <v>3.8225210572750719</v>
      </c>
      <c r="O73" s="109">
        <f t="shared" si="1"/>
        <v>7.144227988140475E-4</v>
      </c>
      <c r="P73" s="1137">
        <f t="shared" si="11"/>
        <v>1.0398442640665354E-3</v>
      </c>
      <c r="Q73" s="1131"/>
    </row>
    <row r="74" spans="2:17">
      <c r="B74" s="1132" t="s">
        <v>884</v>
      </c>
      <c r="C74" s="1133">
        <v>0.9689522888105262</v>
      </c>
      <c r="D74" s="1134">
        <v>0</v>
      </c>
      <c r="E74" s="1134">
        <v>0</v>
      </c>
      <c r="F74" s="1133">
        <v>0.52026948000000006</v>
      </c>
      <c r="G74" s="1133">
        <v>0.50511600000000001</v>
      </c>
      <c r="H74" s="1135">
        <f t="shared" si="9"/>
        <v>0.44868280881052613</v>
      </c>
      <c r="J74" s="1136">
        <v>7.4617026917230281E-2</v>
      </c>
      <c r="K74" s="1135">
        <f t="shared" si="10"/>
        <v>0.37406578189329587</v>
      </c>
      <c r="M74" s="106">
        <f t="shared" si="12"/>
        <v>0.62880192699570103</v>
      </c>
      <c r="N74" s="1133">
        <v>1.3600489563211113</v>
      </c>
      <c r="O74" s="109">
        <f t="shared" si="1"/>
        <v>0</v>
      </c>
      <c r="P74" s="1137">
        <f t="shared" si="11"/>
        <v>0</v>
      </c>
      <c r="Q74" s="1131"/>
    </row>
    <row r="75" spans="2:17">
      <c r="B75" s="1132" t="s">
        <v>885</v>
      </c>
      <c r="C75" s="1133">
        <v>0.35973728052777776</v>
      </c>
      <c r="D75" s="1134">
        <v>0</v>
      </c>
      <c r="E75" s="1134">
        <v>0</v>
      </c>
      <c r="F75" s="1133">
        <v>0.45975595000000002</v>
      </c>
      <c r="G75" s="1133">
        <v>0.44636500000000001</v>
      </c>
      <c r="H75" s="1135">
        <f t="shared" si="9"/>
        <v>-0.10001866947222227</v>
      </c>
      <c r="J75" s="1136">
        <v>3.6780475999999999E-2</v>
      </c>
      <c r="K75" s="1135">
        <f t="shared" si="10"/>
        <v>-0.13679914547222227</v>
      </c>
      <c r="M75" s="106">
        <f t="shared" si="12"/>
        <v>-0.2755067670951139</v>
      </c>
      <c r="N75" s="1133">
        <v>0.54717240969303726</v>
      </c>
      <c r="O75" s="109">
        <f t="shared" si="1"/>
        <v>1.0226560913843409E-4</v>
      </c>
      <c r="P75" s="1137">
        <f t="shared" si="11"/>
        <v>7.7623666193408017E-4</v>
      </c>
      <c r="Q75" s="1131"/>
    </row>
    <row r="76" spans="2:17">
      <c r="B76" s="1132" t="s">
        <v>886</v>
      </c>
      <c r="C76" s="1133">
        <v>0.29335725318139544</v>
      </c>
      <c r="D76" s="1134">
        <v>0</v>
      </c>
      <c r="E76" s="1134">
        <v>0</v>
      </c>
      <c r="F76" s="1133">
        <v>0.28262788</v>
      </c>
      <c r="G76" s="1133">
        <v>0.27439599999999997</v>
      </c>
      <c r="H76" s="1135">
        <f t="shared" si="9"/>
        <v>1.0729373181395441E-2</v>
      </c>
      <c r="J76" s="1136">
        <v>2.26102304E-2</v>
      </c>
      <c r="K76" s="1135">
        <f t="shared" si="10"/>
        <v>-1.188085721860456E-2</v>
      </c>
      <c r="M76" s="106">
        <f t="shared" si="12"/>
        <v>-3.8923243244545262E-2</v>
      </c>
      <c r="N76" s="1133">
        <v>0.3926139692927314</v>
      </c>
      <c r="O76" s="109">
        <f t="shared" si="1"/>
        <v>7.3378894868811499E-5</v>
      </c>
      <c r="P76" s="1137">
        <f t="shared" si="11"/>
        <v>1.1117040999518242E-5</v>
      </c>
      <c r="Q76" s="1131"/>
    </row>
    <row r="77" spans="2:17">
      <c r="B77" s="1132" t="s">
        <v>887</v>
      </c>
      <c r="C77" s="1133">
        <v>0.39800000000000002</v>
      </c>
      <c r="D77" s="1134">
        <v>0</v>
      </c>
      <c r="E77" s="1134">
        <v>0</v>
      </c>
      <c r="F77" s="1133">
        <v>0.36306470000000002</v>
      </c>
      <c r="G77" s="1133">
        <v>0.35249000000000003</v>
      </c>
      <c r="H77" s="1135">
        <f t="shared" si="9"/>
        <v>3.4935300000000002E-2</v>
      </c>
      <c r="J77" s="1136">
        <v>3.7914338823887013E-2</v>
      </c>
      <c r="K77" s="1135">
        <f t="shared" si="10"/>
        <v>-2.9790388238870105E-3</v>
      </c>
      <c r="M77" s="106">
        <f t="shared" si="12"/>
        <v>-7.4294128506688017E-3</v>
      </c>
      <c r="N77" s="1133">
        <v>0.66264710654384062</v>
      </c>
      <c r="O77" s="109">
        <f t="shared" si="1"/>
        <v>1.2384763704102571E-4</v>
      </c>
      <c r="P77" s="1137">
        <f t="shared" si="11"/>
        <v>6.8359158853110203E-7</v>
      </c>
      <c r="Q77" s="1131"/>
    </row>
    <row r="78" spans="2:17">
      <c r="B78" s="1132" t="s">
        <v>888</v>
      </c>
      <c r="C78" s="1133">
        <v>7.6714388978947376E-2</v>
      </c>
      <c r="D78" s="1134">
        <v>0</v>
      </c>
      <c r="E78" s="1134">
        <v>0</v>
      </c>
      <c r="F78" s="1133">
        <v>0.14163427000000001</v>
      </c>
      <c r="G78" s="1133">
        <v>0.13750899999999999</v>
      </c>
      <c r="H78" s="1135">
        <f t="shared" si="9"/>
        <v>-6.4919881021052631E-2</v>
      </c>
      <c r="J78" s="1136">
        <v>1.1330741600000001E-2</v>
      </c>
      <c r="K78" s="1135">
        <f t="shared" si="10"/>
        <v>-7.625062262105263E-2</v>
      </c>
      <c r="M78" s="106">
        <f t="shared" si="12"/>
        <v>-0.49848407700217262</v>
      </c>
      <c r="N78" s="1133">
        <v>0.34820062435011473</v>
      </c>
      <c r="O78" s="109">
        <f t="shared" ref="O78:O141" si="13">IF(K78&lt;0,N78/$N$263,0)</f>
        <v>6.5078114906276256E-5</v>
      </c>
      <c r="P78" s="1137">
        <f t="shared" si="11"/>
        <v>1.6171024866502E-3</v>
      </c>
      <c r="Q78" s="1131"/>
    </row>
    <row r="79" spans="2:17">
      <c r="B79" s="1132" t="s">
        <v>889</v>
      </c>
      <c r="C79" s="1133">
        <v>0.18905</v>
      </c>
      <c r="D79" s="1134">
        <v>0</v>
      </c>
      <c r="E79" s="1134">
        <v>0</v>
      </c>
      <c r="F79" s="1133">
        <v>0.18548137000000001</v>
      </c>
      <c r="G79" s="1133">
        <v>0.18007899999999999</v>
      </c>
      <c r="H79" s="1135">
        <f t="shared" si="9"/>
        <v>3.5686299999999893E-3</v>
      </c>
      <c r="J79" s="1136">
        <v>1.4838509600000001E-2</v>
      </c>
      <c r="K79" s="1135">
        <f t="shared" si="10"/>
        <v>-1.1269879600000011E-2</v>
      </c>
      <c r="M79" s="106">
        <f t="shared" si="12"/>
        <v>-5.6259416801286911E-2</v>
      </c>
      <c r="N79" s="1133">
        <v>0.54361934209762808</v>
      </c>
      <c r="O79" s="109">
        <f t="shared" si="13"/>
        <v>1.016015467414313E-4</v>
      </c>
      <c r="P79" s="1137">
        <f t="shared" si="11"/>
        <v>3.215812886735056E-5</v>
      </c>
      <c r="Q79" s="1131"/>
    </row>
    <row r="80" spans="2:17">
      <c r="B80" s="1132" t="s">
        <v>890</v>
      </c>
      <c r="C80" s="1133">
        <v>0</v>
      </c>
      <c r="D80" s="1134">
        <v>0</v>
      </c>
      <c r="E80" s="1134">
        <v>0</v>
      </c>
      <c r="F80" s="1133">
        <v>9.8791420000000005E-2</v>
      </c>
      <c r="G80" s="1133">
        <v>9.5913999999999999E-2</v>
      </c>
      <c r="H80" s="1135">
        <f t="shared" si="9"/>
        <v>-9.8791420000000005E-2</v>
      </c>
      <c r="J80" s="1136">
        <v>7.9033135999999997E-3</v>
      </c>
      <c r="K80" s="1135">
        <f t="shared" si="10"/>
        <v>-0.10669473360000001</v>
      </c>
      <c r="M80" s="106">
        <f t="shared" si="12"/>
        <v>-1</v>
      </c>
      <c r="N80" s="1133">
        <v>0.24693819788094867</v>
      </c>
      <c r="O80" s="109">
        <f t="shared" si="13"/>
        <v>4.6152336591695909E-5</v>
      </c>
      <c r="P80" s="1137">
        <f t="shared" si="11"/>
        <v>4.6152336591695911E-3</v>
      </c>
      <c r="Q80" s="1131"/>
    </row>
    <row r="81" spans="2:17">
      <c r="B81" s="1132" t="s">
        <v>891</v>
      </c>
      <c r="C81" s="1133">
        <v>9.1513203078947364E-2</v>
      </c>
      <c r="D81" s="1134">
        <v>0</v>
      </c>
      <c r="E81" s="1134">
        <v>0</v>
      </c>
      <c r="F81" s="1133">
        <v>0.23310444999999999</v>
      </c>
      <c r="G81" s="1133">
        <v>0.22631499999999999</v>
      </c>
      <c r="H81" s="1135">
        <f t="shared" si="9"/>
        <v>-0.14159124692105263</v>
      </c>
      <c r="J81" s="1136">
        <v>3.5019193540761086E-2</v>
      </c>
      <c r="K81" s="1135">
        <f t="shared" si="10"/>
        <v>-0.17661044046181371</v>
      </c>
      <c r="M81" s="106">
        <f t="shared" si="12"/>
        <v>-0.65869028978402933</v>
      </c>
      <c r="N81" s="1133">
        <v>0.54217270492913383</v>
      </c>
      <c r="O81" s="109">
        <f t="shared" si="13"/>
        <v>1.0133117267172746E-4</v>
      </c>
      <c r="P81" s="1137">
        <f t="shared" si="11"/>
        <v>4.3964849530205652E-3</v>
      </c>
      <c r="Q81" s="1131"/>
    </row>
    <row r="82" spans="2:17">
      <c r="B82" s="1132" t="s">
        <v>892</v>
      </c>
      <c r="C82" s="1133">
        <v>0.54613680000000009</v>
      </c>
      <c r="D82" s="1134">
        <v>0</v>
      </c>
      <c r="E82" s="1134">
        <v>0</v>
      </c>
      <c r="F82" s="1133">
        <v>0.47732363000000005</v>
      </c>
      <c r="G82" s="1133">
        <v>0.46342100000000003</v>
      </c>
      <c r="H82" s="1135">
        <f t="shared" si="9"/>
        <v>6.8813170000000035E-2</v>
      </c>
      <c r="J82" s="1136">
        <v>3.8185890400000005E-2</v>
      </c>
      <c r="K82" s="1135">
        <f t="shared" si="10"/>
        <v>3.0627279600000029E-2</v>
      </c>
      <c r="M82" s="106">
        <f t="shared" si="12"/>
        <v>5.9411666299073115E-2</v>
      </c>
      <c r="N82" s="1133">
        <v>0.92202104100872206</v>
      </c>
      <c r="O82" s="109">
        <f t="shared" si="13"/>
        <v>0</v>
      </c>
      <c r="P82" s="1137">
        <f t="shared" si="11"/>
        <v>0</v>
      </c>
      <c r="Q82" s="1131"/>
    </row>
    <row r="83" spans="2:17">
      <c r="B83" s="1132" t="s">
        <v>893</v>
      </c>
      <c r="C83" s="1133">
        <v>5.8652589907679485E-2</v>
      </c>
      <c r="D83" s="1134">
        <v>0</v>
      </c>
      <c r="E83" s="1134">
        <v>0</v>
      </c>
      <c r="F83" s="1133">
        <v>0.15299002</v>
      </c>
      <c r="G83" s="1133">
        <v>0.148534</v>
      </c>
      <c r="H83" s="1135">
        <f t="shared" si="9"/>
        <v>-9.4337430092320512E-2</v>
      </c>
      <c r="J83" s="1136">
        <v>1.904543705794769E-2</v>
      </c>
      <c r="K83" s="1135">
        <f t="shared" si="10"/>
        <v>-0.1133828671502682</v>
      </c>
      <c r="M83" s="106">
        <f t="shared" si="12"/>
        <v>-0.65906685220173411</v>
      </c>
      <c r="N83" s="1133">
        <v>0.26292700206029063</v>
      </c>
      <c r="O83" s="109">
        <f t="shared" si="13"/>
        <v>4.9140617378208588E-5</v>
      </c>
      <c r="P83" s="1137">
        <f t="shared" si="11"/>
        <v>2.1345166514104472E-3</v>
      </c>
      <c r="Q83" s="1131"/>
    </row>
    <row r="84" spans="2:17">
      <c r="B84" s="1132" t="s">
        <v>894</v>
      </c>
      <c r="C84" s="1133">
        <v>0.99958980000000008</v>
      </c>
      <c r="D84" s="1134">
        <v>0</v>
      </c>
      <c r="E84" s="1134">
        <v>0</v>
      </c>
      <c r="F84" s="1133">
        <v>0.82533591000000006</v>
      </c>
      <c r="G84" s="1133">
        <v>0.80129700000000004</v>
      </c>
      <c r="H84" s="1135">
        <f t="shared" si="9"/>
        <v>0.17425389000000002</v>
      </c>
      <c r="J84" s="1136">
        <v>6.6026872800000011E-2</v>
      </c>
      <c r="K84" s="1135">
        <f t="shared" si="10"/>
        <v>0.10822701720000001</v>
      </c>
      <c r="M84" s="106">
        <f t="shared" si="12"/>
        <v>0.12141747365761793</v>
      </c>
      <c r="N84" s="1133">
        <v>1.602419722651564</v>
      </c>
      <c r="O84" s="109">
        <f t="shared" si="13"/>
        <v>0</v>
      </c>
      <c r="P84" s="1137">
        <f t="shared" si="11"/>
        <v>0</v>
      </c>
      <c r="Q84" s="1131"/>
    </row>
    <row r="85" spans="2:17">
      <c r="B85" s="1132" t="s">
        <v>895</v>
      </c>
      <c r="C85" s="1133">
        <v>0.15920000000000001</v>
      </c>
      <c r="D85" s="1134">
        <v>0</v>
      </c>
      <c r="E85" s="1134">
        <v>0</v>
      </c>
      <c r="F85" s="1133">
        <v>8.7159630000000002E-2</v>
      </c>
      <c r="G85" s="1133">
        <v>8.4621000000000002E-2</v>
      </c>
      <c r="H85" s="1135">
        <f t="shared" si="9"/>
        <v>7.2040370000000006E-2</v>
      </c>
      <c r="J85" s="1136">
        <v>6.9727704000000007E-3</v>
      </c>
      <c r="K85" s="1135">
        <f t="shared" si="10"/>
        <v>6.5067599600000012E-2</v>
      </c>
      <c r="M85" s="106">
        <f t="shared" si="12"/>
        <v>0.69123489174297115</v>
      </c>
      <c r="N85" s="1133">
        <v>0.17232377837735269</v>
      </c>
      <c r="O85" s="109">
        <f t="shared" si="13"/>
        <v>0</v>
      </c>
      <c r="P85" s="1137">
        <f t="shared" si="11"/>
        <v>0</v>
      </c>
      <c r="Q85" s="1131"/>
    </row>
    <row r="86" spans="2:17">
      <c r="B86" s="1132" t="s">
        <v>896</v>
      </c>
      <c r="C86" s="1133">
        <v>2.3568985895698922E-2</v>
      </c>
      <c r="D86" s="1134">
        <v>0</v>
      </c>
      <c r="E86" s="1134">
        <v>0</v>
      </c>
      <c r="F86" s="1133">
        <v>3.8775379999999998E-2</v>
      </c>
      <c r="G86" s="1133">
        <v>3.7645999999999999E-2</v>
      </c>
      <c r="H86" s="1135">
        <f t="shared" si="9"/>
        <v>-1.5206394104301076E-2</v>
      </c>
      <c r="J86" s="1136">
        <v>4.0559047479999995E-3</v>
      </c>
      <c r="K86" s="1135">
        <f t="shared" si="10"/>
        <v>-1.9262298852301074E-2</v>
      </c>
      <c r="M86" s="106">
        <f t="shared" si="12"/>
        <v>-0.44972498410056505</v>
      </c>
      <c r="N86" s="1133">
        <v>7.106135190818666E-2</v>
      </c>
      <c r="O86" s="109">
        <f t="shared" si="13"/>
        <v>1.3281247940056375E-5</v>
      </c>
      <c r="P86" s="1137">
        <f t="shared" si="11"/>
        <v>2.6861664134588672E-4</v>
      </c>
      <c r="Q86" s="1131"/>
    </row>
    <row r="87" spans="2:17">
      <c r="B87" s="1132" t="s">
        <v>897</v>
      </c>
      <c r="C87" s="1133">
        <v>1.3663864884831165</v>
      </c>
      <c r="D87" s="1134">
        <v>0</v>
      </c>
      <c r="E87" s="1134">
        <v>0</v>
      </c>
      <c r="F87" s="1133">
        <v>1.61445393</v>
      </c>
      <c r="G87" s="1133">
        <v>1.567431</v>
      </c>
      <c r="H87" s="1135">
        <f t="shared" si="9"/>
        <v>-0.24806744151688354</v>
      </c>
      <c r="J87" s="1136">
        <v>0.21212026494216762</v>
      </c>
      <c r="K87" s="1135">
        <f t="shared" si="10"/>
        <v>-0.46018770645905116</v>
      </c>
      <c r="M87" s="106">
        <f t="shared" si="12"/>
        <v>-0.25194033055614334</v>
      </c>
      <c r="N87" s="1133">
        <v>2.9639181678298052</v>
      </c>
      <c r="O87" s="109">
        <f t="shared" si="13"/>
        <v>5.539513533579461E-4</v>
      </c>
      <c r="P87" s="1137">
        <f t="shared" si="11"/>
        <v>3.5161469515488999E-3</v>
      </c>
      <c r="Q87" s="1131"/>
    </row>
    <row r="88" spans="2:17">
      <c r="B88" s="1132" t="s">
        <v>898</v>
      </c>
      <c r="C88" s="1133">
        <v>0.51739999999999997</v>
      </c>
      <c r="D88" s="1134">
        <v>0</v>
      </c>
      <c r="E88" s="1134">
        <v>0</v>
      </c>
      <c r="F88" s="1133">
        <v>0.50563420999999997</v>
      </c>
      <c r="G88" s="1133">
        <v>0.49090699999999998</v>
      </c>
      <c r="H88" s="1135">
        <f>+C88+D88-E88-F88</f>
        <v>1.1765789999999998E-2</v>
      </c>
      <c r="J88" s="1136">
        <v>4.0450736799999998E-2</v>
      </c>
      <c r="K88" s="1135">
        <f>+H88-J88</f>
        <v>-2.86849468E-2</v>
      </c>
      <c r="M88" s="106">
        <f>+IF(ISERROR(K88/(F88+J88)),0,K88/(F88+J88))</f>
        <v>-5.2528360226903804E-2</v>
      </c>
      <c r="N88" s="1133">
        <v>0.92557410860413136</v>
      </c>
      <c r="O88" s="109">
        <f t="shared" si="13"/>
        <v>1.7298825441923433E-4</v>
      </c>
      <c r="P88" s="1137">
        <f>(M88^2*O88)*100</f>
        <v>4.7731414392333234E-5</v>
      </c>
      <c r="Q88" s="1131"/>
    </row>
    <row r="89" spans="2:17">
      <c r="B89" s="1132" t="s">
        <v>899</v>
      </c>
      <c r="C89" s="1133">
        <v>1.2610000000000001</v>
      </c>
      <c r="D89" s="1134">
        <v>0</v>
      </c>
      <c r="E89" s="1134">
        <v>0</v>
      </c>
      <c r="F89" s="1133">
        <v>0.81499367999999994</v>
      </c>
      <c r="G89" s="1133">
        <v>0.79125599999999996</v>
      </c>
      <c r="H89" s="1135">
        <f t="shared" ref="H89:H112" si="14">+C89+D89-E89-F89</f>
        <v>0.44600632000000018</v>
      </c>
      <c r="J89" s="1136">
        <v>6.5199494400000002E-2</v>
      </c>
      <c r="K89" s="1135">
        <f t="shared" ref="K89:K112" si="15">+H89-J89</f>
        <v>0.38080682560000018</v>
      </c>
      <c r="M89" s="106">
        <f>+IF(ISERROR(K89/(F89+J89)),0,K89/(F89+J89))</f>
        <v>0.43264005751871937</v>
      </c>
      <c r="N89" s="1133">
        <v>1.4478750451293032</v>
      </c>
      <c r="O89" s="109">
        <f t="shared" si="13"/>
        <v>0</v>
      </c>
      <c r="P89" s="1137">
        <f t="shared" ref="P89:P112" si="16">(M89^2*O89)*100</f>
        <v>0</v>
      </c>
      <c r="Q89" s="1131"/>
    </row>
    <row r="90" spans="2:17">
      <c r="B90" s="1132" t="s">
        <v>900</v>
      </c>
      <c r="C90" s="1133">
        <v>0.4285795843591837</v>
      </c>
      <c r="D90" s="1134">
        <v>0</v>
      </c>
      <c r="E90" s="1134">
        <v>0</v>
      </c>
      <c r="F90" s="1133">
        <v>0.12215697</v>
      </c>
      <c r="G90" s="1133">
        <v>0.118599</v>
      </c>
      <c r="H90" s="1135">
        <f t="shared" si="14"/>
        <v>0.30642261435918372</v>
      </c>
      <c r="J90" s="1136">
        <v>9.7725576000000005E-3</v>
      </c>
      <c r="K90" s="1135">
        <f t="shared" si="15"/>
        <v>0.29665005675918371</v>
      </c>
      <c r="M90" s="106">
        <f t="shared" ref="M90:M112" si="17">+IF(ISERROR(K90/(F90+J90)),0,K90/(F90+J90))</f>
        <v>2.2485493744706146</v>
      </c>
      <c r="N90" s="1133">
        <v>0.19056969511377361</v>
      </c>
      <c r="O90" s="109">
        <f t="shared" si="13"/>
        <v>0</v>
      </c>
      <c r="P90" s="1137">
        <f t="shared" si="16"/>
        <v>0</v>
      </c>
      <c r="Q90" s="1131"/>
    </row>
    <row r="91" spans="2:17">
      <c r="B91" s="1132" t="s">
        <v>901</v>
      </c>
      <c r="C91" s="1133">
        <v>5.6715000000000002E-2</v>
      </c>
      <c r="D91" s="1134">
        <v>0</v>
      </c>
      <c r="E91" s="1134">
        <v>0</v>
      </c>
      <c r="F91" s="1133">
        <v>3.2812710000000002E-2</v>
      </c>
      <c r="G91" s="1133">
        <v>3.1857000000000003E-2</v>
      </c>
      <c r="H91" s="1135">
        <f t="shared" si="14"/>
        <v>2.390229E-2</v>
      </c>
      <c r="J91" s="1136">
        <v>2.6250168000000003E-3</v>
      </c>
      <c r="K91" s="1135">
        <f t="shared" si="15"/>
        <v>2.1277273199999999E-2</v>
      </c>
      <c r="M91" s="106">
        <f t="shared" si="17"/>
        <v>0.60041303777983857</v>
      </c>
      <c r="N91" s="1133">
        <v>8.2858849129567078E-2</v>
      </c>
      <c r="O91" s="109">
        <f t="shared" si="13"/>
        <v>0</v>
      </c>
      <c r="P91" s="1137">
        <f t="shared" si="16"/>
        <v>0</v>
      </c>
      <c r="Q91" s="1131"/>
    </row>
    <row r="92" spans="2:17">
      <c r="B92" s="1132" t="s">
        <v>902</v>
      </c>
      <c r="C92" s="1133">
        <v>0.35322499999999996</v>
      </c>
      <c r="D92" s="1134">
        <v>0</v>
      </c>
      <c r="E92" s="1134">
        <v>0</v>
      </c>
      <c r="F92" s="1133">
        <v>0.31597515999999998</v>
      </c>
      <c r="G92" s="1133">
        <v>0.30677199999999999</v>
      </c>
      <c r="H92" s="1135">
        <f t="shared" si="14"/>
        <v>3.7249839999999979E-2</v>
      </c>
      <c r="J92" s="1136">
        <v>2.5278012799999999E-2</v>
      </c>
      <c r="K92" s="1135">
        <f t="shared" si="15"/>
        <v>1.1971827199999979E-2</v>
      </c>
      <c r="M92" s="106">
        <f t="shared" si="17"/>
        <v>3.5081951331823569E-2</v>
      </c>
      <c r="N92" s="1133">
        <v>0.51827397788886076</v>
      </c>
      <c r="O92" s="109">
        <f t="shared" si="13"/>
        <v>0</v>
      </c>
      <c r="P92" s="1137">
        <f t="shared" si="16"/>
        <v>0</v>
      </c>
      <c r="Q92" s="1131"/>
    </row>
    <row r="93" spans="2:17">
      <c r="B93" s="1132" t="s">
        <v>903</v>
      </c>
      <c r="C93" s="1133">
        <v>4.9029286573469395E-2</v>
      </c>
      <c r="D93" s="1134">
        <v>0</v>
      </c>
      <c r="E93" s="1134">
        <v>0</v>
      </c>
      <c r="F93" s="1133">
        <v>2.9832920000000002E-2</v>
      </c>
      <c r="G93" s="1133">
        <v>2.8964E-2</v>
      </c>
      <c r="H93" s="1135">
        <f t="shared" si="14"/>
        <v>1.9196366573469393E-2</v>
      </c>
      <c r="J93" s="1136">
        <v>2.3866336000000002E-3</v>
      </c>
      <c r="K93" s="1135">
        <f t="shared" si="15"/>
        <v>1.6809732973469393E-2</v>
      </c>
      <c r="M93" s="106">
        <f t="shared" si="17"/>
        <v>0.52172457701181152</v>
      </c>
      <c r="N93" s="1133">
        <v>9.0982265710897195E-2</v>
      </c>
      <c r="O93" s="109">
        <f t="shared" si="13"/>
        <v>0</v>
      </c>
      <c r="P93" s="1137">
        <f t="shared" si="16"/>
        <v>0</v>
      </c>
      <c r="Q93" s="1131"/>
    </row>
    <row r="94" spans="2:17">
      <c r="B94" s="1132" t="s">
        <v>904</v>
      </c>
      <c r="C94" s="1133">
        <v>3.9800000000000002E-2</v>
      </c>
      <c r="D94" s="1134">
        <v>0</v>
      </c>
      <c r="E94" s="1134">
        <v>0</v>
      </c>
      <c r="F94" s="1133">
        <v>7.8990699999999994E-3</v>
      </c>
      <c r="G94" s="1133">
        <v>7.6689999999999996E-3</v>
      </c>
      <c r="H94" s="1135">
        <f t="shared" si="14"/>
        <v>3.1900930000000001E-2</v>
      </c>
      <c r="J94" s="1136">
        <v>6.3192559999999997E-4</v>
      </c>
      <c r="K94" s="1135">
        <f t="shared" si="15"/>
        <v>3.1269004400000001E-2</v>
      </c>
      <c r="M94" s="106">
        <f t="shared" si="17"/>
        <v>3.6653405846323501</v>
      </c>
      <c r="N94" s="1133">
        <v>5.3614549436778701E-2</v>
      </c>
      <c r="O94" s="109">
        <f t="shared" si="13"/>
        <v>0</v>
      </c>
      <c r="P94" s="1137">
        <f t="shared" si="16"/>
        <v>0</v>
      </c>
      <c r="Q94" s="1131"/>
    </row>
    <row r="95" spans="2:17">
      <c r="B95" s="1132" t="s">
        <v>905</v>
      </c>
      <c r="C95" s="1133">
        <v>0.61610998463235289</v>
      </c>
      <c r="D95" s="1134">
        <v>0</v>
      </c>
      <c r="E95" s="1134">
        <v>0</v>
      </c>
      <c r="F95" s="1133">
        <v>0.4017</v>
      </c>
      <c r="G95" s="1133">
        <v>0.39</v>
      </c>
      <c r="H95" s="1135">
        <f t="shared" si="14"/>
        <v>0.21440998463235289</v>
      </c>
      <c r="J95" s="1136">
        <v>5.0853152465477454E-2</v>
      </c>
      <c r="K95" s="1135">
        <f t="shared" si="15"/>
        <v>0.16355683216687544</v>
      </c>
      <c r="M95" s="106">
        <f t="shared" si="17"/>
        <v>0.36140911023562522</v>
      </c>
      <c r="N95" s="1133">
        <v>0.49601015857178549</v>
      </c>
      <c r="O95" s="109">
        <f t="shared" si="13"/>
        <v>0</v>
      </c>
      <c r="P95" s="1137">
        <f t="shared" si="16"/>
        <v>0</v>
      </c>
      <c r="Q95" s="1131"/>
    </row>
    <row r="96" spans="2:17">
      <c r="B96" s="1132" t="s">
        <v>906</v>
      </c>
      <c r="C96" s="1133">
        <v>0.35098021380204081</v>
      </c>
      <c r="D96" s="1134">
        <v>0</v>
      </c>
      <c r="E96" s="1134">
        <v>0</v>
      </c>
      <c r="F96" s="1133">
        <v>0.11530026</v>
      </c>
      <c r="G96" s="1133">
        <v>0.111942</v>
      </c>
      <c r="H96" s="1135">
        <f t="shared" si="14"/>
        <v>0.23567995380204082</v>
      </c>
      <c r="J96" s="1136">
        <v>9.2240207999999997E-3</v>
      </c>
      <c r="K96" s="1135">
        <f t="shared" si="15"/>
        <v>0.22645593300204081</v>
      </c>
      <c r="M96" s="106">
        <f t="shared" si="17"/>
        <v>1.8185684875847989</v>
      </c>
      <c r="N96" s="1133">
        <v>0.32006261330440616</v>
      </c>
      <c r="O96" s="109">
        <f t="shared" si="13"/>
        <v>0</v>
      </c>
      <c r="P96" s="1137">
        <f t="shared" si="16"/>
        <v>0</v>
      </c>
      <c r="Q96" s="1131"/>
    </row>
    <row r="97" spans="2:17">
      <c r="B97" s="1132" t="s">
        <v>907</v>
      </c>
      <c r="C97" s="1133">
        <v>0.60478661562608693</v>
      </c>
      <c r="D97" s="1134">
        <v>0</v>
      </c>
      <c r="E97" s="1134">
        <v>0</v>
      </c>
      <c r="F97" s="1133">
        <v>0.48461294000000005</v>
      </c>
      <c r="G97" s="1133">
        <v>0.47049800000000003</v>
      </c>
      <c r="H97" s="1135">
        <f t="shared" si="14"/>
        <v>0.12017367562608688</v>
      </c>
      <c r="J97" s="1136">
        <v>3.8769035200000003E-2</v>
      </c>
      <c r="K97" s="1135">
        <f t="shared" si="15"/>
        <v>8.1404640426086888E-2</v>
      </c>
      <c r="M97" s="106">
        <f t="shared" si="17"/>
        <v>0.15553581186088747</v>
      </c>
      <c r="N97" s="1133">
        <v>0.58813536048829962</v>
      </c>
      <c r="O97" s="109">
        <f t="shared" si="13"/>
        <v>0</v>
      </c>
      <c r="P97" s="1137">
        <f t="shared" si="16"/>
        <v>0</v>
      </c>
      <c r="Q97" s="1131"/>
    </row>
    <row r="98" spans="2:17">
      <c r="B98" s="1132" t="s">
        <v>908</v>
      </c>
      <c r="C98" s="1133">
        <v>4.2627409999999992</v>
      </c>
      <c r="D98" s="1134">
        <v>0</v>
      </c>
      <c r="E98" s="1134">
        <v>0</v>
      </c>
      <c r="F98" s="1133">
        <v>3.9359606300000003</v>
      </c>
      <c r="G98" s="1133">
        <v>3.8213210000000002</v>
      </c>
      <c r="H98" s="1135">
        <f t="shared" si="14"/>
        <v>0.32678036999999893</v>
      </c>
      <c r="J98" s="1136">
        <v>0.31487685040000002</v>
      </c>
      <c r="K98" s="1135">
        <f t="shared" si="15"/>
        <v>1.1903519599998913E-2</v>
      </c>
      <c r="M98" s="106">
        <f t="shared" si="17"/>
        <v>2.8002763349303113E-3</v>
      </c>
      <c r="N98" s="1133">
        <v>5.4325933140372511</v>
      </c>
      <c r="O98" s="109">
        <f t="shared" si="13"/>
        <v>0</v>
      </c>
      <c r="P98" s="1137">
        <f t="shared" si="16"/>
        <v>0</v>
      </c>
      <c r="Q98" s="1131"/>
    </row>
    <row r="99" spans="2:17">
      <c r="B99" s="1132" t="s">
        <v>909</v>
      </c>
      <c r="C99" s="1133">
        <v>6.820766880549451</v>
      </c>
      <c r="D99" s="1134">
        <v>0</v>
      </c>
      <c r="E99" s="1134">
        <v>0</v>
      </c>
      <c r="F99" s="1133">
        <v>6.6184514300000004</v>
      </c>
      <c r="G99" s="1133">
        <v>6.425681</v>
      </c>
      <c r="H99" s="1135">
        <f t="shared" si="14"/>
        <v>0.20231545054945066</v>
      </c>
      <c r="J99" s="1136">
        <v>0.52947611440000009</v>
      </c>
      <c r="K99" s="1135">
        <f t="shared" si="15"/>
        <v>-0.32716066385054943</v>
      </c>
      <c r="M99" s="106">
        <f t="shared" si="17"/>
        <v>-4.5770002818070171E-2</v>
      </c>
      <c r="N99" s="1133">
        <v>14.301705631692171</v>
      </c>
      <c r="O99" s="109">
        <f t="shared" si="13"/>
        <v>2.6729648868152431E-3</v>
      </c>
      <c r="P99" s="1137">
        <f t="shared" si="16"/>
        <v>5.5995758528730216E-4</v>
      </c>
      <c r="Q99" s="1131"/>
    </row>
    <row r="100" spans="2:17">
      <c r="B100" s="1132" t="s">
        <v>910</v>
      </c>
      <c r="C100" s="1133">
        <v>0.59699999999999998</v>
      </c>
      <c r="D100" s="1134">
        <v>0</v>
      </c>
      <c r="E100" s="1134">
        <v>0</v>
      </c>
      <c r="F100" s="1133">
        <v>0.65315287000000011</v>
      </c>
      <c r="G100" s="1133">
        <v>0.63412900000000005</v>
      </c>
      <c r="H100" s="1135">
        <f t="shared" si="14"/>
        <v>-5.6152870000000132E-2</v>
      </c>
      <c r="J100" s="1136">
        <v>5.2252229600000012E-2</v>
      </c>
      <c r="K100" s="1135">
        <f t="shared" si="15"/>
        <v>-0.10840509960000014</v>
      </c>
      <c r="M100" s="106">
        <f t="shared" si="17"/>
        <v>-0.15367779402427234</v>
      </c>
      <c r="N100" s="1133">
        <v>0.99158760171320171</v>
      </c>
      <c r="O100" s="109">
        <f t="shared" si="13"/>
        <v>1.8532606598386007E-4</v>
      </c>
      <c r="P100" s="1137">
        <f t="shared" si="16"/>
        <v>4.3768205657093392E-4</v>
      </c>
      <c r="Q100" s="1131"/>
    </row>
    <row r="101" spans="2:17">
      <c r="B101" s="1132" t="s">
        <v>911</v>
      </c>
      <c r="C101" s="1133">
        <v>0.58704000000000001</v>
      </c>
      <c r="D101" s="1134">
        <v>0</v>
      </c>
      <c r="E101" s="1134">
        <v>0</v>
      </c>
      <c r="F101" s="1133">
        <v>0.38389439000000003</v>
      </c>
      <c r="G101" s="1133">
        <v>0.37271300000000002</v>
      </c>
      <c r="H101" s="1135">
        <f t="shared" si="14"/>
        <v>0.20314560999999998</v>
      </c>
      <c r="J101" s="1136">
        <v>3.0711551200000003E-2</v>
      </c>
      <c r="K101" s="1135">
        <f t="shared" si="15"/>
        <v>0.17243405879999998</v>
      </c>
      <c r="M101" s="106">
        <f t="shared" si="17"/>
        <v>0.41589866826539329</v>
      </c>
      <c r="N101" s="1133">
        <v>0.75329910827824631</v>
      </c>
      <c r="O101" s="109">
        <f t="shared" si="13"/>
        <v>0</v>
      </c>
      <c r="P101" s="1137">
        <f t="shared" si="16"/>
        <v>0</v>
      </c>
      <c r="Q101" s="1131"/>
    </row>
    <row r="102" spans="2:17">
      <c r="B102" s="1132" t="s">
        <v>912</v>
      </c>
      <c r="C102" s="1133">
        <v>0.39800000000000002</v>
      </c>
      <c r="D102" s="1134">
        <v>0</v>
      </c>
      <c r="E102" s="1134">
        <v>0</v>
      </c>
      <c r="F102" s="1133">
        <v>0.33031894000000001</v>
      </c>
      <c r="G102" s="1133">
        <v>0.32069799999999998</v>
      </c>
      <c r="H102" s="1135">
        <f t="shared" si="14"/>
        <v>6.7681060000000015E-2</v>
      </c>
      <c r="J102" s="1136">
        <v>2.6425515199999999E-2</v>
      </c>
      <c r="K102" s="1135">
        <f t="shared" si="15"/>
        <v>4.1255544800000016E-2</v>
      </c>
      <c r="M102" s="106">
        <f t="shared" si="17"/>
        <v>0.11564452985505019</v>
      </c>
      <c r="N102" s="1133">
        <v>0.86475662940104803</v>
      </c>
      <c r="O102" s="109">
        <f t="shared" si="13"/>
        <v>0</v>
      </c>
      <c r="P102" s="1137">
        <f t="shared" si="16"/>
        <v>0</v>
      </c>
      <c r="Q102" s="1131"/>
    </row>
    <row r="103" spans="2:17">
      <c r="B103" s="1132" t="s">
        <v>913</v>
      </c>
      <c r="C103" s="1133">
        <v>5.7371999999999999E-2</v>
      </c>
      <c r="D103" s="1134">
        <v>0</v>
      </c>
      <c r="E103" s="1134">
        <v>0</v>
      </c>
      <c r="F103" s="1133">
        <v>1.9780119999999998E-2</v>
      </c>
      <c r="G103" s="1133">
        <v>1.9203999999999999E-2</v>
      </c>
      <c r="H103" s="1135">
        <f t="shared" si="14"/>
        <v>3.7591880000000001E-2</v>
      </c>
      <c r="J103" s="1136">
        <v>1.5824095999999999E-3</v>
      </c>
      <c r="K103" s="1135">
        <f t="shared" si="15"/>
        <v>3.60094704E-2</v>
      </c>
      <c r="M103" s="106">
        <f t="shared" si="17"/>
        <v>1.6856370043367899</v>
      </c>
      <c r="N103" s="1133">
        <v>0.11530088392013974</v>
      </c>
      <c r="O103" s="109">
        <f t="shared" si="13"/>
        <v>0</v>
      </c>
      <c r="P103" s="1137">
        <f t="shared" si="16"/>
        <v>0</v>
      </c>
      <c r="Q103" s="1131"/>
    </row>
    <row r="104" spans="2:17">
      <c r="B104" s="1132" t="s">
        <v>914</v>
      </c>
      <c r="C104" s="1133">
        <v>1.8794733177499998E-2</v>
      </c>
      <c r="D104" s="1134">
        <v>0</v>
      </c>
      <c r="E104" s="1134">
        <v>0</v>
      </c>
      <c r="F104" s="1133">
        <v>1.2833800000000001E-2</v>
      </c>
      <c r="G104" s="1133">
        <v>1.2460000000000001E-2</v>
      </c>
      <c r="H104" s="1135">
        <f t="shared" si="14"/>
        <v>5.9609331774999972E-3</v>
      </c>
      <c r="J104" s="1136">
        <v>1.026704E-3</v>
      </c>
      <c r="K104" s="1135">
        <f t="shared" si="15"/>
        <v>4.9342291774999974E-3</v>
      </c>
      <c r="M104" s="106">
        <f t="shared" si="17"/>
        <v>0.35599204599630702</v>
      </c>
      <c r="N104" s="1133">
        <v>6.9180530352083852E-2</v>
      </c>
      <c r="O104" s="109">
        <f t="shared" si="13"/>
        <v>0</v>
      </c>
      <c r="P104" s="1137">
        <f t="shared" si="16"/>
        <v>0</v>
      </c>
      <c r="Q104" s="1131"/>
    </row>
    <row r="105" spans="2:17">
      <c r="B105" s="1132" t="s">
        <v>915</v>
      </c>
      <c r="C105" s="1133">
        <v>2.9543999999999997E-2</v>
      </c>
      <c r="D105" s="1134">
        <v>0</v>
      </c>
      <c r="E105" s="1134">
        <v>0</v>
      </c>
      <c r="F105" s="1133">
        <v>7.5272400000000001E-3</v>
      </c>
      <c r="G105" s="1133">
        <v>7.3080000000000003E-3</v>
      </c>
      <c r="H105" s="1135">
        <f t="shared" si="14"/>
        <v>2.2016759999999996E-2</v>
      </c>
      <c r="J105" s="1136">
        <v>6.0217920000000006E-4</v>
      </c>
      <c r="K105" s="1135">
        <f t="shared" si="15"/>
        <v>2.1414580799999996E-2</v>
      </c>
      <c r="M105" s="106">
        <f t="shared" si="17"/>
        <v>2.6342079640818619</v>
      </c>
      <c r="N105" s="1133">
        <v>5.5728760561400865E-2</v>
      </c>
      <c r="O105" s="109">
        <f t="shared" si="13"/>
        <v>0</v>
      </c>
      <c r="P105" s="1137">
        <f t="shared" si="16"/>
        <v>0</v>
      </c>
      <c r="Q105" s="1131"/>
    </row>
    <row r="106" spans="2:17">
      <c r="B106" s="1132" t="s">
        <v>916</v>
      </c>
      <c r="C106" s="1133">
        <v>6.6059697501292466E-3</v>
      </c>
      <c r="D106" s="1134">
        <v>0</v>
      </c>
      <c r="E106" s="1134">
        <v>0</v>
      </c>
      <c r="F106" s="1133">
        <v>1.6087569999999999E-2</v>
      </c>
      <c r="G106" s="1133">
        <v>1.5618999999999999E-2</v>
      </c>
      <c r="H106" s="1135">
        <f t="shared" si="14"/>
        <v>-9.4816002498707523E-3</v>
      </c>
      <c r="J106" s="1136">
        <v>1.6290631678283843E-3</v>
      </c>
      <c r="K106" s="1135">
        <f t="shared" si="15"/>
        <v>-1.1110663417699137E-2</v>
      </c>
      <c r="M106" s="106">
        <f t="shared" si="17"/>
        <v>-0.62713176439612583</v>
      </c>
      <c r="N106" s="1133">
        <v>3.8433627973379916E-2</v>
      </c>
      <c r="O106" s="109">
        <f t="shared" si="13"/>
        <v>7.1831808520876007E-6</v>
      </c>
      <c r="P106" s="1137">
        <f t="shared" si="16"/>
        <v>2.8251037252226946E-4</v>
      </c>
      <c r="Q106" s="1131"/>
    </row>
    <row r="107" spans="2:17">
      <c r="B107" s="1132" t="s">
        <v>917</v>
      </c>
      <c r="C107" s="1133">
        <v>1.4999999999999999E-2</v>
      </c>
      <c r="D107" s="1134">
        <v>0</v>
      </c>
      <c r="E107" s="1134">
        <v>0</v>
      </c>
      <c r="F107" s="1133">
        <v>4.0324499999999999E-3</v>
      </c>
      <c r="G107" s="1133">
        <v>3.9150000000000001E-3</v>
      </c>
      <c r="H107" s="1135">
        <f t="shared" si="14"/>
        <v>1.096755E-2</v>
      </c>
      <c r="J107" s="1136">
        <v>3.2259600000000003E-4</v>
      </c>
      <c r="K107" s="1135">
        <f t="shared" si="15"/>
        <v>1.0644954E-2</v>
      </c>
      <c r="M107" s="106">
        <f t="shared" si="17"/>
        <v>2.444280496692802</v>
      </c>
      <c r="N107" s="1133">
        <v>1.9401563014936087E-2</v>
      </c>
      <c r="O107" s="109">
        <f t="shared" si="13"/>
        <v>0</v>
      </c>
      <c r="P107" s="1137">
        <f t="shared" si="16"/>
        <v>0</v>
      </c>
      <c r="Q107" s="1131"/>
    </row>
    <row r="108" spans="2:17">
      <c r="B108" s="1132" t="s">
        <v>918</v>
      </c>
      <c r="C108" s="1133">
        <v>1.1973799782874999</v>
      </c>
      <c r="D108" s="1134">
        <v>0</v>
      </c>
      <c r="E108" s="1134">
        <v>0</v>
      </c>
      <c r="F108" s="1133">
        <v>1.31327163</v>
      </c>
      <c r="G108" s="1133">
        <v>1.275021</v>
      </c>
      <c r="H108" s="1135">
        <f t="shared" si="14"/>
        <v>-0.11589165171250015</v>
      </c>
      <c r="J108" s="1136">
        <v>0.1050617304</v>
      </c>
      <c r="K108" s="1135">
        <f t="shared" si="15"/>
        <v>-0.22095338211250015</v>
      </c>
      <c r="M108" s="106">
        <f t="shared" si="17"/>
        <v>-0.15578381520278603</v>
      </c>
      <c r="N108" s="1133">
        <v>2.8776142908488387</v>
      </c>
      <c r="O108" s="109">
        <f t="shared" si="13"/>
        <v>5.3782130294948653E-4</v>
      </c>
      <c r="P108" s="1137">
        <f t="shared" si="16"/>
        <v>1.3052168501856913E-3</v>
      </c>
      <c r="Q108" s="1131"/>
    </row>
    <row r="109" spans="2:17">
      <c r="B109" s="1132" t="s">
        <v>919</v>
      </c>
      <c r="C109" s="1133">
        <v>0.52182125472291663</v>
      </c>
      <c r="D109" s="1134">
        <v>0</v>
      </c>
      <c r="E109" s="1134">
        <v>0</v>
      </c>
      <c r="F109" s="1133">
        <v>0.42517267000000003</v>
      </c>
      <c r="G109" s="1133">
        <v>0.41278900000000002</v>
      </c>
      <c r="H109" s="1135">
        <f t="shared" si="14"/>
        <v>9.6648584722916597E-2</v>
      </c>
      <c r="J109" s="1136">
        <v>3.4013813600000005E-2</v>
      </c>
      <c r="K109" s="1135">
        <f t="shared" si="15"/>
        <v>6.2634771122916599E-2</v>
      </c>
      <c r="M109" s="106">
        <f t="shared" si="17"/>
        <v>0.13640377789838889</v>
      </c>
      <c r="N109" s="1133">
        <v>0.49876488552697923</v>
      </c>
      <c r="O109" s="109">
        <f t="shared" si="13"/>
        <v>0</v>
      </c>
      <c r="P109" s="1137">
        <f t="shared" si="16"/>
        <v>0</v>
      </c>
      <c r="Q109" s="1131"/>
    </row>
    <row r="110" spans="2:17">
      <c r="B110" s="1132" t="s">
        <v>920</v>
      </c>
      <c r="C110" s="1133">
        <v>0.85636972952500001</v>
      </c>
      <c r="D110" s="1134">
        <v>0</v>
      </c>
      <c r="E110" s="1134">
        <v>0</v>
      </c>
      <c r="F110" s="1133">
        <v>0.34344732</v>
      </c>
      <c r="G110" s="1133">
        <v>0.33344400000000002</v>
      </c>
      <c r="H110" s="1135">
        <f t="shared" si="14"/>
        <v>0.51292240952500001</v>
      </c>
      <c r="J110" s="1136">
        <v>2.74757856E-2</v>
      </c>
      <c r="K110" s="1135">
        <f t="shared" si="15"/>
        <v>0.48544662392499999</v>
      </c>
      <c r="M110" s="106">
        <f t="shared" si="17"/>
        <v>1.3087527215101586</v>
      </c>
      <c r="N110" s="1133">
        <v>1.1400340240616669</v>
      </c>
      <c r="O110" s="109">
        <f t="shared" si="13"/>
        <v>0</v>
      </c>
      <c r="P110" s="1137">
        <f t="shared" si="16"/>
        <v>0</v>
      </c>
      <c r="Q110" s="1131"/>
    </row>
    <row r="111" spans="2:17">
      <c r="B111" s="1132" t="s">
        <v>921</v>
      </c>
      <c r="C111" s="1133">
        <v>5.6406387018608699</v>
      </c>
      <c r="D111" s="1134">
        <v>0</v>
      </c>
      <c r="E111" s="1134">
        <v>0</v>
      </c>
      <c r="F111" s="1133">
        <v>3.6318788799999999</v>
      </c>
      <c r="G111" s="1133">
        <v>3.5260959999999999</v>
      </c>
      <c r="H111" s="1135">
        <f t="shared" si="14"/>
        <v>2.00875982186087</v>
      </c>
      <c r="J111" s="1136">
        <v>0.29055031040000001</v>
      </c>
      <c r="K111" s="1135">
        <f t="shared" si="15"/>
        <v>1.71820951146087</v>
      </c>
      <c r="M111" s="106">
        <f t="shared" si="17"/>
        <v>0.43804729876733633</v>
      </c>
      <c r="N111" s="1133">
        <v>9.2475122744943921</v>
      </c>
      <c r="O111" s="109">
        <f t="shared" si="13"/>
        <v>0</v>
      </c>
      <c r="P111" s="1137">
        <f t="shared" si="16"/>
        <v>0</v>
      </c>
      <c r="Q111" s="1131"/>
    </row>
    <row r="112" spans="2:17">
      <c r="B112" s="1132" t="s">
        <v>922</v>
      </c>
      <c r="C112" s="1133">
        <v>2.0816385714583334</v>
      </c>
      <c r="D112" s="1134">
        <v>0</v>
      </c>
      <c r="E112" s="1134">
        <v>0</v>
      </c>
      <c r="F112" s="1133">
        <v>1.8242845000000001</v>
      </c>
      <c r="G112" s="1133">
        <v>1.77115</v>
      </c>
      <c r="H112" s="1135">
        <f t="shared" si="14"/>
        <v>0.25735407145833333</v>
      </c>
      <c r="J112" s="1136">
        <v>0.14594276</v>
      </c>
      <c r="K112" s="1135">
        <f t="shared" si="15"/>
        <v>0.11141131145833333</v>
      </c>
      <c r="M112" s="106">
        <f t="shared" si="17"/>
        <v>5.654744187141808E-2</v>
      </c>
      <c r="N112" s="1133">
        <v>4.2743685604594965</v>
      </c>
      <c r="O112" s="109">
        <f t="shared" si="13"/>
        <v>0</v>
      </c>
      <c r="P112" s="1137">
        <f t="shared" si="16"/>
        <v>0</v>
      </c>
      <c r="Q112" s="1131"/>
    </row>
    <row r="113" spans="2:17">
      <c r="B113" s="1132" t="s">
        <v>923</v>
      </c>
      <c r="C113" s="1133">
        <v>2.9850000000000002E-3</v>
      </c>
      <c r="D113" s="1134">
        <v>0</v>
      </c>
      <c r="E113" s="1134">
        <v>0</v>
      </c>
      <c r="F113" s="1133">
        <v>1.5810499999999999E-3</v>
      </c>
      <c r="G113" s="1133">
        <v>1.5349999999999999E-3</v>
      </c>
      <c r="H113" s="1135">
        <f>+C113+D113-E113-F113</f>
        <v>1.4039500000000004E-3</v>
      </c>
      <c r="J113" s="1136">
        <v>1.26484E-4</v>
      </c>
      <c r="K113" s="1135">
        <f>+H113-J113</f>
        <v>1.2774660000000003E-3</v>
      </c>
      <c r="M113" s="106">
        <f>+IF(ISERROR(K113/(F113+J113)),0,K113/(F113+J113))</f>
        <v>0.7481350298149263</v>
      </c>
      <c r="N113" s="1133">
        <v>1.6193665114512312E-2</v>
      </c>
      <c r="O113" s="109">
        <f t="shared" si="13"/>
        <v>0</v>
      </c>
      <c r="P113" s="1137">
        <f>(M113^2*O113)*100</f>
        <v>0</v>
      </c>
      <c r="Q113" s="1131"/>
    </row>
    <row r="114" spans="2:17">
      <c r="B114" s="1132" t="s">
        <v>924</v>
      </c>
      <c r="C114" s="1133">
        <v>1.1940000000000001E-2</v>
      </c>
      <c r="D114" s="1134">
        <v>0</v>
      </c>
      <c r="E114" s="1134">
        <v>0</v>
      </c>
      <c r="F114" s="1133">
        <v>8.0875600000000006E-3</v>
      </c>
      <c r="G114" s="1133">
        <v>7.8519999999999996E-3</v>
      </c>
      <c r="H114" s="1135">
        <f t="shared" ref="H114:H137" si="18">+C114+D114-E114-F114</f>
        <v>3.8524400000000004E-3</v>
      </c>
      <c r="J114" s="1136">
        <v>6.4700480000000002E-4</v>
      </c>
      <c r="K114" s="1135">
        <f t="shared" ref="K114:K137" si="19">+H114-J114</f>
        <v>3.2054352000000005E-3</v>
      </c>
      <c r="M114" s="106">
        <f>+IF(ISERROR(K114/(F114+J114)),0,K114/(F114+J114))</f>
        <v>0.3669828175068322</v>
      </c>
      <c r="N114" s="1133">
        <v>2.7529230694670937E-2</v>
      </c>
      <c r="O114" s="109">
        <f t="shared" si="13"/>
        <v>0</v>
      </c>
      <c r="P114" s="1137">
        <f t="shared" ref="P114:P137" si="20">(M114^2*O114)*100</f>
        <v>0</v>
      </c>
      <c r="Q114" s="1131"/>
    </row>
    <row r="115" spans="2:17">
      <c r="B115" s="1132" t="s">
        <v>925</v>
      </c>
      <c r="C115" s="1133">
        <v>0.61292000000000002</v>
      </c>
      <c r="D115" s="1134">
        <v>0</v>
      </c>
      <c r="E115" s="1134">
        <v>0</v>
      </c>
      <c r="F115" s="1133">
        <v>0.50483595999999997</v>
      </c>
      <c r="G115" s="1133">
        <v>0.49013200000000001</v>
      </c>
      <c r="H115" s="1135">
        <f t="shared" si="18"/>
        <v>0.10808404000000005</v>
      </c>
      <c r="J115" s="1136">
        <v>4.3164788389231303E-2</v>
      </c>
      <c r="K115" s="1135">
        <f t="shared" si="19"/>
        <v>6.4919251610768752E-2</v>
      </c>
      <c r="M115" s="106">
        <f t="shared" ref="M115:M137" si="21">+IF(ISERROR(K115/(F115+J115)),0,K115/(F115+J115))</f>
        <v>0.11846562582549289</v>
      </c>
      <c r="N115" s="1133">
        <v>1.0234396352371784</v>
      </c>
      <c r="O115" s="109">
        <f t="shared" si="13"/>
        <v>0</v>
      </c>
      <c r="P115" s="1137">
        <f t="shared" si="20"/>
        <v>0</v>
      </c>
      <c r="Q115" s="1131"/>
    </row>
    <row r="116" spans="2:17">
      <c r="B116" s="1132" t="s">
        <v>926</v>
      </c>
      <c r="C116" s="1133">
        <v>2.9850000000000002E-3</v>
      </c>
      <c r="D116" s="1134">
        <v>0</v>
      </c>
      <c r="E116" s="1134">
        <v>0</v>
      </c>
      <c r="F116" s="1133">
        <v>1.43479E-3</v>
      </c>
      <c r="G116" s="1133">
        <v>1.3929999999999999E-3</v>
      </c>
      <c r="H116" s="1135">
        <f t="shared" si="18"/>
        <v>1.5502100000000002E-3</v>
      </c>
      <c r="J116" s="1136">
        <v>1.147832E-4</v>
      </c>
      <c r="K116" s="1135">
        <f t="shared" si="19"/>
        <v>1.4354268000000001E-3</v>
      </c>
      <c r="M116" s="106">
        <f t="shared" si="21"/>
        <v>0.92633687779318852</v>
      </c>
      <c r="N116" s="1133">
        <v>9.7161990687073888E-3</v>
      </c>
      <c r="O116" s="109">
        <f t="shared" si="13"/>
        <v>0</v>
      </c>
      <c r="P116" s="1137">
        <f t="shared" si="20"/>
        <v>0</v>
      </c>
      <c r="Q116" s="1131"/>
    </row>
    <row r="117" spans="2:17">
      <c r="B117" s="1132" t="s">
        <v>927</v>
      </c>
      <c r="C117" s="1133">
        <v>0.97</v>
      </c>
      <c r="D117" s="1134">
        <v>0</v>
      </c>
      <c r="E117" s="1134">
        <v>0</v>
      </c>
      <c r="F117" s="1133">
        <v>0.97615057000000005</v>
      </c>
      <c r="G117" s="1133">
        <v>0.94771899999999998</v>
      </c>
      <c r="H117" s="1135">
        <f t="shared" si="18"/>
        <v>-6.1505700000000774E-3</v>
      </c>
      <c r="J117" s="1136">
        <v>0.1198487107629182</v>
      </c>
      <c r="K117" s="1135">
        <f t="shared" si="19"/>
        <v>-0.12599928076291828</v>
      </c>
      <c r="M117" s="106">
        <f t="shared" si="21"/>
        <v>-0.11496292285448488</v>
      </c>
      <c r="N117" s="1133">
        <v>1.6889992714436344</v>
      </c>
      <c r="O117" s="109">
        <f t="shared" si="13"/>
        <v>3.1567114179871373E-4</v>
      </c>
      <c r="P117" s="1137">
        <f t="shared" si="20"/>
        <v>4.172059321728094E-4</v>
      </c>
      <c r="Q117" s="1131"/>
    </row>
    <row r="118" spans="2:17">
      <c r="B118" s="1132" t="s">
        <v>928</v>
      </c>
      <c r="C118" s="1133">
        <v>1.2513000000000001</v>
      </c>
      <c r="D118" s="1134">
        <v>0</v>
      </c>
      <c r="E118" s="1134">
        <v>0</v>
      </c>
      <c r="F118" s="1133">
        <v>0.91940272000000001</v>
      </c>
      <c r="G118" s="1133">
        <v>0.89262399999999997</v>
      </c>
      <c r="H118" s="1135">
        <f t="shared" si="18"/>
        <v>0.33189728000000007</v>
      </c>
      <c r="J118" s="1136">
        <v>7.3552217599999997E-2</v>
      </c>
      <c r="K118" s="1135">
        <f t="shared" si="19"/>
        <v>0.2583450624000001</v>
      </c>
      <c r="M118" s="106">
        <f t="shared" si="21"/>
        <v>0.26017803287672592</v>
      </c>
      <c r="N118" s="1133">
        <v>1.9009901515290071</v>
      </c>
      <c r="O118" s="109">
        <f t="shared" si="13"/>
        <v>0</v>
      </c>
      <c r="P118" s="1137">
        <f t="shared" si="20"/>
        <v>0</v>
      </c>
      <c r="Q118" s="1131"/>
    </row>
    <row r="119" spans="2:17">
      <c r="B119" s="1132" t="s">
        <v>929</v>
      </c>
      <c r="C119" s="1133">
        <v>0.35494364427078651</v>
      </c>
      <c r="D119" s="1134">
        <v>0</v>
      </c>
      <c r="E119" s="1134">
        <v>0</v>
      </c>
      <c r="F119" s="1133">
        <v>0.85654182000000012</v>
      </c>
      <c r="G119" s="1133">
        <v>0.83159400000000006</v>
      </c>
      <c r="H119" s="1135">
        <f t="shared" si="18"/>
        <v>-0.50159817572921361</v>
      </c>
      <c r="J119" s="1136">
        <v>8.8562616361831353E-2</v>
      </c>
      <c r="K119" s="1135">
        <f t="shared" si="19"/>
        <v>-0.59016079209104499</v>
      </c>
      <c r="M119" s="106">
        <f t="shared" si="21"/>
        <v>-0.62443976494583187</v>
      </c>
      <c r="N119" s="1133">
        <v>1.4137069644969251</v>
      </c>
      <c r="O119" s="109">
        <f t="shared" si="13"/>
        <v>2.6421946959758114E-4</v>
      </c>
      <c r="P119" s="1137">
        <f t="shared" si="20"/>
        <v>1.0302578197927615E-2</v>
      </c>
      <c r="Q119" s="1131"/>
    </row>
    <row r="120" spans="2:17">
      <c r="B120" s="1132" t="s">
        <v>930</v>
      </c>
      <c r="C120" s="1133">
        <v>119.76756198447254</v>
      </c>
      <c r="D120" s="1134">
        <v>0</v>
      </c>
      <c r="E120" s="1134">
        <v>0</v>
      </c>
      <c r="F120" s="1133">
        <v>132.67130990999999</v>
      </c>
      <c r="G120" s="1133">
        <v>128.807097</v>
      </c>
      <c r="H120" s="1135">
        <f t="shared" si="18"/>
        <v>-12.903747925527455</v>
      </c>
      <c r="J120" s="1136">
        <v>10.6137047928</v>
      </c>
      <c r="K120" s="1135">
        <f t="shared" si="19"/>
        <v>-23.517452718327455</v>
      </c>
      <c r="M120" s="106">
        <f t="shared" si="21"/>
        <v>-0.16413058104580625</v>
      </c>
      <c r="N120" s="1133">
        <v>373.08857065557686</v>
      </c>
      <c r="O120" s="109">
        <f t="shared" si="13"/>
        <v>6.9729630487188984E-2</v>
      </c>
      <c r="P120" s="1137">
        <f t="shared" si="20"/>
        <v>0.18784358912997659</v>
      </c>
      <c r="Q120" s="1131"/>
    </row>
    <row r="121" spans="2:17">
      <c r="B121" s="1132" t="s">
        <v>931</v>
      </c>
      <c r="C121" s="1133">
        <v>12.93164941112105</v>
      </c>
      <c r="D121" s="1134">
        <v>0</v>
      </c>
      <c r="E121" s="1134">
        <v>0</v>
      </c>
      <c r="F121" s="1133">
        <v>11.85546171</v>
      </c>
      <c r="G121" s="1133">
        <v>11.510157</v>
      </c>
      <c r="H121" s="1135">
        <f t="shared" si="18"/>
        <v>1.0761877011210501</v>
      </c>
      <c r="J121" s="1136">
        <v>1.0393912624784947</v>
      </c>
      <c r="K121" s="1135">
        <f t="shared" si="19"/>
        <v>3.679643864255544E-2</v>
      </c>
      <c r="M121" s="106">
        <f t="shared" si="21"/>
        <v>2.8535756647315126E-3</v>
      </c>
      <c r="N121" s="1133">
        <v>33.192832596494149</v>
      </c>
      <c r="O121" s="109">
        <f t="shared" si="13"/>
        <v>0</v>
      </c>
      <c r="P121" s="1137">
        <f t="shared" si="20"/>
        <v>0</v>
      </c>
      <c r="Q121" s="1131"/>
    </row>
    <row r="122" spans="2:17">
      <c r="B122" s="1132" t="s">
        <v>932</v>
      </c>
      <c r="C122" s="1133">
        <v>18.222704019845708</v>
      </c>
      <c r="D122" s="1134">
        <v>0</v>
      </c>
      <c r="E122" s="1134">
        <v>0</v>
      </c>
      <c r="F122" s="1133">
        <v>12.58742194</v>
      </c>
      <c r="G122" s="1133">
        <v>12.220798</v>
      </c>
      <c r="H122" s="1135">
        <f t="shared" si="18"/>
        <v>5.6352820798457071</v>
      </c>
      <c r="J122" s="1136">
        <v>1.0069937552000001</v>
      </c>
      <c r="K122" s="1135">
        <f t="shared" si="19"/>
        <v>4.6282883246457072</v>
      </c>
      <c r="M122" s="106">
        <f t="shared" si="21"/>
        <v>0.34045511248268595</v>
      </c>
      <c r="N122" s="1133">
        <v>35.477595447853652</v>
      </c>
      <c r="O122" s="109">
        <f t="shared" si="13"/>
        <v>0</v>
      </c>
      <c r="P122" s="1137">
        <f t="shared" si="20"/>
        <v>0</v>
      </c>
      <c r="Q122" s="1131"/>
    </row>
    <row r="123" spans="2:17">
      <c r="B123" s="1132" t="s">
        <v>933</v>
      </c>
      <c r="C123" s="1133">
        <v>1.94</v>
      </c>
      <c r="D123" s="1134">
        <v>0</v>
      </c>
      <c r="E123" s="1134">
        <v>0</v>
      </c>
      <c r="F123" s="1133">
        <v>1.6989953</v>
      </c>
      <c r="G123" s="1133">
        <v>1.64951</v>
      </c>
      <c r="H123" s="1135">
        <f t="shared" si="18"/>
        <v>0.24100469999999996</v>
      </c>
      <c r="J123" s="1136">
        <v>0.13591962399999999</v>
      </c>
      <c r="K123" s="1135">
        <f t="shared" si="19"/>
        <v>0.10508507599999997</v>
      </c>
      <c r="M123" s="106">
        <f t="shared" si="21"/>
        <v>5.7269726582702303E-2</v>
      </c>
      <c r="N123" s="1133">
        <v>4.3935730903278838</v>
      </c>
      <c r="O123" s="109">
        <f t="shared" si="13"/>
        <v>0</v>
      </c>
      <c r="P123" s="1137">
        <f t="shared" si="20"/>
        <v>0</v>
      </c>
      <c r="Q123" s="1131"/>
    </row>
    <row r="124" spans="2:17">
      <c r="B124" s="1132" t="s">
        <v>934</v>
      </c>
      <c r="C124" s="1133">
        <v>6.3076203318521742</v>
      </c>
      <c r="D124" s="1134">
        <v>0</v>
      </c>
      <c r="E124" s="1134">
        <v>0</v>
      </c>
      <c r="F124" s="1133">
        <v>7.5748847100000001</v>
      </c>
      <c r="G124" s="1133">
        <v>7.3542569999999996</v>
      </c>
      <c r="H124" s="1135">
        <f t="shared" si="18"/>
        <v>-1.2672643781478259</v>
      </c>
      <c r="J124" s="1136">
        <v>0.60599077680000002</v>
      </c>
      <c r="K124" s="1135">
        <f t="shared" si="19"/>
        <v>-1.873255154947826</v>
      </c>
      <c r="M124" s="106">
        <f t="shared" si="21"/>
        <v>-0.2289797904845709</v>
      </c>
      <c r="N124" s="1133">
        <v>18.241306644046343</v>
      </c>
      <c r="O124" s="109">
        <f t="shared" si="13"/>
        <v>3.4092697336126341E-3</v>
      </c>
      <c r="P124" s="1137">
        <f t="shared" si="20"/>
        <v>1.7875395943511771E-2</v>
      </c>
      <c r="Q124" s="1131"/>
    </row>
    <row r="125" spans="2:17">
      <c r="B125" s="1132" t="s">
        <v>935</v>
      </c>
      <c r="C125" s="1133">
        <v>0.44775000000000004</v>
      </c>
      <c r="D125" s="1134">
        <v>0</v>
      </c>
      <c r="E125" s="1134">
        <v>0</v>
      </c>
      <c r="F125" s="1133">
        <v>0.29743310000000006</v>
      </c>
      <c r="G125" s="1133">
        <v>0.28877000000000003</v>
      </c>
      <c r="H125" s="1135">
        <f t="shared" si="18"/>
        <v>0.15031689999999998</v>
      </c>
      <c r="J125" s="1136">
        <v>2.3794648000000005E-2</v>
      </c>
      <c r="K125" s="1135">
        <f t="shared" si="19"/>
        <v>0.12652225199999997</v>
      </c>
      <c r="M125" s="106">
        <f t="shared" si="21"/>
        <v>0.39387086821652761</v>
      </c>
      <c r="N125" s="1133">
        <v>0.79283861524570476</v>
      </c>
      <c r="O125" s="109">
        <f t="shared" si="13"/>
        <v>0</v>
      </c>
      <c r="P125" s="1137">
        <f t="shared" si="20"/>
        <v>0</v>
      </c>
      <c r="Q125" s="1131"/>
    </row>
    <row r="126" spans="2:17">
      <c r="B126" s="1132" t="s">
        <v>936</v>
      </c>
      <c r="C126" s="1133">
        <v>4.3370598315306125E-2</v>
      </c>
      <c r="D126" s="1134">
        <v>0</v>
      </c>
      <c r="E126" s="1134">
        <v>0</v>
      </c>
      <c r="F126" s="1133">
        <v>5.7585240000000003E-2</v>
      </c>
      <c r="G126" s="1133">
        <v>5.5907999999999999E-2</v>
      </c>
      <c r="H126" s="1135">
        <f t="shared" si="18"/>
        <v>-1.4214641684693878E-2</v>
      </c>
      <c r="J126" s="1136">
        <v>4.6068191999999999E-3</v>
      </c>
      <c r="K126" s="1135">
        <f t="shared" si="19"/>
        <v>-1.8821460884693879E-2</v>
      </c>
      <c r="M126" s="106">
        <f t="shared" si="21"/>
        <v>-0.30263447016872336</v>
      </c>
      <c r="N126" s="1133">
        <v>6.9484732572095462E-2</v>
      </c>
      <c r="O126" s="109">
        <f t="shared" si="13"/>
        <v>1.2986580420407035E-5</v>
      </c>
      <c r="P126" s="1137">
        <f t="shared" si="20"/>
        <v>1.1894100255556212E-4</v>
      </c>
      <c r="Q126" s="1131"/>
    </row>
    <row r="127" spans="2:17">
      <c r="B127" s="1132" t="s">
        <v>937</v>
      </c>
      <c r="C127" s="1133">
        <v>17.107505539193024</v>
      </c>
      <c r="D127" s="1134">
        <v>0</v>
      </c>
      <c r="E127" s="1134">
        <v>0</v>
      </c>
      <c r="F127" s="1133">
        <v>17.116309279999999</v>
      </c>
      <c r="G127" s="1133">
        <v>16.617775999999999</v>
      </c>
      <c r="H127" s="1135">
        <f t="shared" si="18"/>
        <v>-8.8037408069752132E-3</v>
      </c>
      <c r="J127" s="1136">
        <v>1.3962216718442837</v>
      </c>
      <c r="K127" s="1135">
        <f t="shared" si="19"/>
        <v>-1.4050254126512589</v>
      </c>
      <c r="M127" s="106">
        <f t="shared" si="21"/>
        <v>-7.5895911602043009E-2</v>
      </c>
      <c r="N127" s="1133">
        <v>26.38428840013022</v>
      </c>
      <c r="O127" s="109">
        <f t="shared" si="13"/>
        <v>4.9311794182698761E-3</v>
      </c>
      <c r="P127" s="1137">
        <f t="shared" si="20"/>
        <v>2.840452740428611E-3</v>
      </c>
      <c r="Q127" s="1131"/>
    </row>
    <row r="128" spans="2:17">
      <c r="B128" s="1132" t="s">
        <v>938</v>
      </c>
      <c r="C128" s="1133">
        <v>30.028741965094653</v>
      </c>
      <c r="D128" s="1134">
        <v>0</v>
      </c>
      <c r="E128" s="1134">
        <v>0</v>
      </c>
      <c r="F128" s="1133">
        <v>31.35657531</v>
      </c>
      <c r="G128" s="1133">
        <v>30.443276999999998</v>
      </c>
      <c r="H128" s="1135">
        <f t="shared" si="18"/>
        <v>-1.327833344905347</v>
      </c>
      <c r="J128" s="1136">
        <v>2.5085260248000001</v>
      </c>
      <c r="K128" s="1135">
        <f t="shared" si="19"/>
        <v>-3.8363593697053471</v>
      </c>
      <c r="M128" s="106">
        <f t="shared" si="21"/>
        <v>-0.11328356386056578</v>
      </c>
      <c r="N128" s="1133">
        <v>47.083304132127239</v>
      </c>
      <c r="O128" s="109">
        <f t="shared" si="13"/>
        <v>8.7997908740013973E-3</v>
      </c>
      <c r="P128" s="1137">
        <f t="shared" si="20"/>
        <v>1.1292917565174605E-2</v>
      </c>
      <c r="Q128" s="1131"/>
    </row>
    <row r="129" spans="2:17">
      <c r="B129" s="1132" t="s">
        <v>939</v>
      </c>
      <c r="C129" s="1133">
        <v>9.9700000000000011E-2</v>
      </c>
      <c r="D129" s="1134">
        <v>0</v>
      </c>
      <c r="E129" s="1134">
        <v>0</v>
      </c>
      <c r="F129" s="1133">
        <v>2.3595240000000003E-2</v>
      </c>
      <c r="G129" s="1133">
        <v>2.2908000000000001E-2</v>
      </c>
      <c r="H129" s="1135">
        <f t="shared" si="18"/>
        <v>7.6104760000000007E-2</v>
      </c>
      <c r="J129" s="1136">
        <v>1.8876192000000004E-3</v>
      </c>
      <c r="K129" s="1135">
        <f t="shared" si="19"/>
        <v>7.4217140800000012E-2</v>
      </c>
      <c r="M129" s="106">
        <f t="shared" si="21"/>
        <v>2.9124338135494625</v>
      </c>
      <c r="N129" s="1133">
        <v>7.6867998545197949E-2</v>
      </c>
      <c r="O129" s="109">
        <f t="shared" si="13"/>
        <v>0</v>
      </c>
      <c r="P129" s="1137">
        <f t="shared" si="20"/>
        <v>0</v>
      </c>
      <c r="Q129" s="1131"/>
    </row>
    <row r="130" spans="2:17">
      <c r="B130" s="1132" t="s">
        <v>940</v>
      </c>
      <c r="C130" s="1133">
        <v>14.643810507714823</v>
      </c>
      <c r="D130" s="1134">
        <v>0</v>
      </c>
      <c r="E130" s="1134">
        <v>0</v>
      </c>
      <c r="F130" s="1133">
        <v>13.031081050000001</v>
      </c>
      <c r="G130" s="1133">
        <v>12.651535000000001</v>
      </c>
      <c r="H130" s="1135">
        <f t="shared" si="18"/>
        <v>1.6127294577148223</v>
      </c>
      <c r="J130" s="1136">
        <v>1.0424864840000001</v>
      </c>
      <c r="K130" s="1135">
        <f t="shared" si="19"/>
        <v>0.57024297371482224</v>
      </c>
      <c r="M130" s="106">
        <f t="shared" si="21"/>
        <v>4.0518722231387722E-2</v>
      </c>
      <c r="N130" s="1133">
        <v>20.759511291702005</v>
      </c>
      <c r="O130" s="109">
        <f t="shared" si="13"/>
        <v>0</v>
      </c>
      <c r="P130" s="1137">
        <f t="shared" si="20"/>
        <v>0</v>
      </c>
      <c r="Q130" s="1131"/>
    </row>
    <row r="131" spans="2:17">
      <c r="B131" s="1132" t="s">
        <v>941</v>
      </c>
      <c r="C131" s="1133">
        <v>17.907252113709216</v>
      </c>
      <c r="D131" s="1134">
        <v>0</v>
      </c>
      <c r="E131" s="1134">
        <v>0</v>
      </c>
      <c r="F131" s="1133">
        <v>15.55113467</v>
      </c>
      <c r="G131" s="1133">
        <v>15.098189</v>
      </c>
      <c r="H131" s="1135">
        <f t="shared" si="18"/>
        <v>2.3561174437092163</v>
      </c>
      <c r="J131" s="1136">
        <v>1.3726155004701004</v>
      </c>
      <c r="K131" s="1135">
        <f t="shared" si="19"/>
        <v>0.98350194323911588</v>
      </c>
      <c r="M131" s="106">
        <f t="shared" si="21"/>
        <v>5.8113711992464172E-2</v>
      </c>
      <c r="N131" s="1133">
        <v>35.010427729842021</v>
      </c>
      <c r="O131" s="109">
        <f t="shared" si="13"/>
        <v>0</v>
      </c>
      <c r="P131" s="1137">
        <f t="shared" si="20"/>
        <v>0</v>
      </c>
      <c r="Q131" s="1131"/>
    </row>
    <row r="132" spans="2:17">
      <c r="B132" s="1132" t="s">
        <v>942</v>
      </c>
      <c r="C132" s="1133">
        <v>0.4</v>
      </c>
      <c r="D132" s="1134">
        <v>0</v>
      </c>
      <c r="E132" s="1134">
        <v>0</v>
      </c>
      <c r="F132" s="1133">
        <v>0.19599972999999998</v>
      </c>
      <c r="G132" s="1133">
        <v>0.19029099999999999</v>
      </c>
      <c r="H132" s="1135">
        <f t="shared" si="18"/>
        <v>0.20400027000000004</v>
      </c>
      <c r="J132" s="1136">
        <v>1.5679978399999999E-2</v>
      </c>
      <c r="K132" s="1135">
        <f t="shared" si="19"/>
        <v>0.18832029160000005</v>
      </c>
      <c r="M132" s="106">
        <f t="shared" si="21"/>
        <v>0.88964734987323935</v>
      </c>
      <c r="N132" s="1133">
        <v>0.13570778598303795</v>
      </c>
      <c r="O132" s="109">
        <f t="shared" si="13"/>
        <v>0</v>
      </c>
      <c r="P132" s="1137">
        <f t="shared" si="20"/>
        <v>0</v>
      </c>
      <c r="Q132" s="1131"/>
    </row>
    <row r="133" spans="2:17">
      <c r="B133" s="1132" t="s">
        <v>943</v>
      </c>
      <c r="C133" s="1133">
        <v>0.39944000000000002</v>
      </c>
      <c r="D133" s="1134">
        <v>0</v>
      </c>
      <c r="E133" s="1134">
        <v>0</v>
      </c>
      <c r="F133" s="1133">
        <v>0.28340346999999999</v>
      </c>
      <c r="G133" s="1133">
        <v>0.27514899999999998</v>
      </c>
      <c r="H133" s="1135">
        <f t="shared" si="18"/>
        <v>0.11603653000000003</v>
      </c>
      <c r="J133" s="1136">
        <v>2.2672277599999999E-2</v>
      </c>
      <c r="K133" s="1135">
        <f t="shared" si="19"/>
        <v>9.3364252400000028E-2</v>
      </c>
      <c r="M133" s="106">
        <f t="shared" si="21"/>
        <v>0.30503642687173826</v>
      </c>
      <c r="N133" s="1133">
        <v>0.91364651741628777</v>
      </c>
      <c r="O133" s="109">
        <f t="shared" si="13"/>
        <v>0</v>
      </c>
      <c r="P133" s="1137">
        <f t="shared" si="20"/>
        <v>0</v>
      </c>
      <c r="Q133" s="1131"/>
    </row>
    <row r="134" spans="2:17">
      <c r="B134" s="1132" t="s">
        <v>944</v>
      </c>
      <c r="C134" s="1133">
        <v>0.25202911321281829</v>
      </c>
      <c r="D134" s="1134">
        <v>0</v>
      </c>
      <c r="E134" s="1134">
        <v>0</v>
      </c>
      <c r="F134" s="1133">
        <v>0.17809009000000001</v>
      </c>
      <c r="G134" s="1133">
        <v>0.172903</v>
      </c>
      <c r="H134" s="1135">
        <f t="shared" si="18"/>
        <v>7.3939023212818283E-2</v>
      </c>
      <c r="J134" s="1136">
        <v>1.4247207200000001E-2</v>
      </c>
      <c r="K134" s="1135">
        <f t="shared" si="19"/>
        <v>5.9691816012818283E-2</v>
      </c>
      <c r="M134" s="106">
        <f t="shared" si="21"/>
        <v>0.31034966635071487</v>
      </c>
      <c r="N134" s="1133">
        <v>0.34351033326956487</v>
      </c>
      <c r="O134" s="109">
        <f t="shared" si="13"/>
        <v>0</v>
      </c>
      <c r="P134" s="1137">
        <f t="shared" si="20"/>
        <v>0</v>
      </c>
      <c r="Q134" s="1131"/>
    </row>
    <row r="135" spans="2:17">
      <c r="B135" s="1132" t="s">
        <v>945</v>
      </c>
      <c r="C135" s="1133">
        <v>0.1164350785394366</v>
      </c>
      <c r="D135" s="1134">
        <v>0</v>
      </c>
      <c r="E135" s="1134">
        <v>0</v>
      </c>
      <c r="F135" s="1133">
        <v>6.9342689999999998E-2</v>
      </c>
      <c r="G135" s="1133">
        <v>6.7322999999999994E-2</v>
      </c>
      <c r="H135" s="1135">
        <f t="shared" si="18"/>
        <v>4.7092388539436605E-2</v>
      </c>
      <c r="J135" s="1136">
        <v>5.5474152000000001E-3</v>
      </c>
      <c r="K135" s="1135">
        <f t="shared" si="19"/>
        <v>4.1544973339436603E-2</v>
      </c>
      <c r="M135" s="106">
        <f t="shared" si="21"/>
        <v>0.55474582694853258</v>
      </c>
      <c r="N135" s="1133">
        <v>0.23112732300236152</v>
      </c>
      <c r="O135" s="109">
        <f t="shared" si="13"/>
        <v>0</v>
      </c>
      <c r="P135" s="1137">
        <f t="shared" si="20"/>
        <v>0</v>
      </c>
      <c r="Q135" s="1131"/>
    </row>
    <row r="136" spans="2:17">
      <c r="B136" s="1132" t="s">
        <v>946</v>
      </c>
      <c r="C136" s="1133">
        <v>9.9180000000000004E-2</v>
      </c>
      <c r="D136" s="1134">
        <v>0</v>
      </c>
      <c r="E136" s="1134">
        <v>0</v>
      </c>
      <c r="F136" s="1133">
        <v>4.813808E-2</v>
      </c>
      <c r="G136" s="1133">
        <v>4.6736E-2</v>
      </c>
      <c r="H136" s="1135">
        <f t="shared" si="18"/>
        <v>5.1041920000000005E-2</v>
      </c>
      <c r="J136" s="1136">
        <v>3.8510464E-3</v>
      </c>
      <c r="K136" s="1135">
        <f t="shared" si="19"/>
        <v>4.7190873600000002E-2</v>
      </c>
      <c r="M136" s="106">
        <f t="shared" si="21"/>
        <v>0.90770660843418216</v>
      </c>
      <c r="N136" s="1133">
        <v>5.9372156367579108E-2</v>
      </c>
      <c r="O136" s="109">
        <f t="shared" si="13"/>
        <v>0</v>
      </c>
      <c r="P136" s="1137">
        <f t="shared" si="20"/>
        <v>0</v>
      </c>
      <c r="Q136" s="1131"/>
    </row>
    <row r="137" spans="2:17">
      <c r="B137" s="1132" t="s">
        <v>947</v>
      </c>
      <c r="C137" s="1133">
        <v>9.919E-2</v>
      </c>
      <c r="D137" s="1134">
        <v>0</v>
      </c>
      <c r="E137" s="1134">
        <v>0</v>
      </c>
      <c r="F137" s="1133">
        <v>5.8752230000000003E-2</v>
      </c>
      <c r="G137" s="1133">
        <v>5.7041000000000001E-2</v>
      </c>
      <c r="H137" s="1135">
        <f t="shared" si="18"/>
        <v>4.0437769999999998E-2</v>
      </c>
      <c r="J137" s="1136">
        <v>4.7001784000000003E-3</v>
      </c>
      <c r="K137" s="1135">
        <f t="shared" si="19"/>
        <v>3.57375916E-2</v>
      </c>
      <c r="M137" s="106">
        <f t="shared" si="21"/>
        <v>0.56321883599299272</v>
      </c>
      <c r="N137" s="1133">
        <v>0.21204341559849682</v>
      </c>
      <c r="O137" s="109">
        <f t="shared" si="13"/>
        <v>0</v>
      </c>
      <c r="P137" s="1137">
        <f t="shared" si="20"/>
        <v>0</v>
      </c>
      <c r="Q137" s="1131"/>
    </row>
    <row r="138" spans="2:17">
      <c r="B138" s="1132" t="s">
        <v>948</v>
      </c>
      <c r="C138" s="1133">
        <v>9.938000000000001E-2</v>
      </c>
      <c r="D138" s="1134">
        <v>0</v>
      </c>
      <c r="E138" s="1134">
        <v>0</v>
      </c>
      <c r="F138" s="1133">
        <v>8.0857060000000008E-2</v>
      </c>
      <c r="G138" s="1133">
        <v>7.8502000000000002E-2</v>
      </c>
      <c r="H138" s="1135">
        <f>+C138+D138-E138-F138</f>
        <v>1.8522940000000002E-2</v>
      </c>
      <c r="J138" s="1136">
        <v>6.4685648000000007E-3</v>
      </c>
      <c r="K138" s="1135">
        <f>+H138-J138</f>
        <v>1.2054375200000002E-2</v>
      </c>
      <c r="M138" s="106">
        <f>+IF(ISERROR(K138/(F138+J138)),0,K138/(F138+J138))</f>
        <v>0.13803938108210362</v>
      </c>
      <c r="N138" s="1133">
        <v>0.12086474689114318</v>
      </c>
      <c r="O138" s="109">
        <f t="shared" si="13"/>
        <v>0</v>
      </c>
      <c r="P138" s="1137">
        <f>(M138^2*O138)*100</f>
        <v>0</v>
      </c>
      <c r="Q138" s="1131"/>
    </row>
    <row r="139" spans="2:17">
      <c r="B139" s="1132" t="s">
        <v>949</v>
      </c>
      <c r="C139" s="1133">
        <v>0.19878000000000001</v>
      </c>
      <c r="D139" s="1134">
        <v>0</v>
      </c>
      <c r="E139" s="1134">
        <v>0</v>
      </c>
      <c r="F139" s="1133">
        <v>9.6418299999999998E-2</v>
      </c>
      <c r="G139" s="1133">
        <v>9.3609999999999999E-2</v>
      </c>
      <c r="H139" s="1135">
        <f t="shared" ref="H139:H162" si="22">+C139+D139-E139-F139</f>
        <v>0.10236170000000001</v>
      </c>
      <c r="J139" s="1136">
        <v>7.7134639999999997E-3</v>
      </c>
      <c r="K139" s="1135">
        <f t="shared" ref="K139:K162" si="23">+H139-J139</f>
        <v>9.4648236000000011E-2</v>
      </c>
      <c r="M139" s="106">
        <f>+IF(ISERROR(K139/(F139+J139)),0,K139/(F139+J139))</f>
        <v>0.908927615977004</v>
      </c>
      <c r="N139" s="1133">
        <v>0.13782822013902293</v>
      </c>
      <c r="O139" s="109">
        <f t="shared" si="13"/>
        <v>0</v>
      </c>
      <c r="P139" s="1137">
        <f t="shared" ref="P139:P162" si="24">(M139^2*O139)*100</f>
        <v>0</v>
      </c>
      <c r="Q139" s="1131"/>
    </row>
    <row r="140" spans="2:17">
      <c r="B140" s="1132" t="s">
        <v>950</v>
      </c>
      <c r="C140" s="1133">
        <v>8.1677001308673471</v>
      </c>
      <c r="D140" s="1134">
        <v>0</v>
      </c>
      <c r="E140" s="1134">
        <v>0</v>
      </c>
      <c r="F140" s="1133">
        <v>6.2462547500000003</v>
      </c>
      <c r="G140" s="1133">
        <v>6.0643250000000002</v>
      </c>
      <c r="H140" s="1135">
        <f t="shared" si="22"/>
        <v>1.9214453808673468</v>
      </c>
      <c r="J140" s="1136">
        <v>0.49970038000000006</v>
      </c>
      <c r="K140" s="1135">
        <f t="shared" si="23"/>
        <v>1.4217450008673467</v>
      </c>
      <c r="M140" s="106">
        <f t="shared" ref="M140:M162" si="25">+IF(ISERROR(K140/(F140+J140)),0,K140/(F140+J140))</f>
        <v>0.21075518195261797</v>
      </c>
      <c r="N140" s="1133">
        <v>5.3154499762378054</v>
      </c>
      <c r="O140" s="109">
        <f t="shared" si="13"/>
        <v>0</v>
      </c>
      <c r="P140" s="1137">
        <f t="shared" si="24"/>
        <v>0</v>
      </c>
      <c r="Q140" s="1131"/>
    </row>
    <row r="141" spans="2:17">
      <c r="B141" s="1132" t="s">
        <v>951</v>
      </c>
      <c r="C141" s="1133">
        <v>0.14331378024999999</v>
      </c>
      <c r="D141" s="1134">
        <v>0</v>
      </c>
      <c r="E141" s="1134">
        <v>0</v>
      </c>
      <c r="F141" s="1133">
        <v>0.12163270000000001</v>
      </c>
      <c r="G141" s="1133">
        <v>0.11809</v>
      </c>
      <c r="H141" s="1135">
        <f t="shared" si="22"/>
        <v>2.1681080249999984E-2</v>
      </c>
      <c r="J141" s="1136">
        <v>9.730616000000001E-3</v>
      </c>
      <c r="K141" s="1135">
        <f t="shared" si="23"/>
        <v>1.1950464249999983E-2</v>
      </c>
      <c r="M141" s="106">
        <f t="shared" si="25"/>
        <v>9.0972614074388794E-2</v>
      </c>
      <c r="N141" s="1133">
        <v>0.2216668656186003</v>
      </c>
      <c r="O141" s="109">
        <f t="shared" si="13"/>
        <v>0</v>
      </c>
      <c r="P141" s="1137">
        <f t="shared" si="24"/>
        <v>0</v>
      </c>
      <c r="Q141" s="1131"/>
    </row>
    <row r="142" spans="2:17">
      <c r="B142" s="1132" t="s">
        <v>952</v>
      </c>
      <c r="C142" s="1133">
        <v>2.7842083478173913</v>
      </c>
      <c r="D142" s="1134">
        <v>0</v>
      </c>
      <c r="E142" s="1134">
        <v>0</v>
      </c>
      <c r="F142" s="1133">
        <v>2.3935768300000002</v>
      </c>
      <c r="G142" s="1133">
        <v>2.323861</v>
      </c>
      <c r="H142" s="1135">
        <f t="shared" si="22"/>
        <v>0.39063151781739114</v>
      </c>
      <c r="J142" s="1136">
        <v>0.19502525993902411</v>
      </c>
      <c r="K142" s="1135">
        <f t="shared" si="23"/>
        <v>0.19560625787836702</v>
      </c>
      <c r="M142" s="106">
        <f t="shared" si="25"/>
        <v>7.5564436356834824E-2</v>
      </c>
      <c r="N142" s="1133">
        <v>5.7821952181283809</v>
      </c>
      <c r="O142" s="109">
        <f t="shared" ref="O142:O205" si="26">IF(K142&lt;0,N142/$N$263,0)</f>
        <v>0</v>
      </c>
      <c r="P142" s="1137">
        <f t="shared" si="24"/>
        <v>0</v>
      </c>
      <c r="Q142" s="1131"/>
    </row>
    <row r="143" spans="2:17">
      <c r="B143" s="1132" t="s">
        <v>953</v>
      </c>
      <c r="C143" s="1133">
        <v>6.2685000000000005E-2</v>
      </c>
      <c r="D143" s="1134">
        <v>0</v>
      </c>
      <c r="E143" s="1134">
        <v>0</v>
      </c>
      <c r="F143" s="1133">
        <v>2.6172299999999999E-2</v>
      </c>
      <c r="G143" s="1133">
        <v>2.5409999999999999E-2</v>
      </c>
      <c r="H143" s="1135">
        <f t="shared" si="22"/>
        <v>3.6512700000000009E-2</v>
      </c>
      <c r="J143" s="1136">
        <v>2.093784E-3</v>
      </c>
      <c r="K143" s="1135">
        <f t="shared" si="23"/>
        <v>3.4418916000000008E-2</v>
      </c>
      <c r="M143" s="106">
        <f t="shared" si="25"/>
        <v>1.2176754303850512</v>
      </c>
      <c r="N143" s="1133">
        <v>0.10476036799783163</v>
      </c>
      <c r="O143" s="109">
        <f t="shared" si="26"/>
        <v>0</v>
      </c>
      <c r="P143" s="1137">
        <f t="shared" si="24"/>
        <v>0</v>
      </c>
      <c r="Q143" s="1131"/>
    </row>
    <row r="144" spans="2:17">
      <c r="B144" s="1132" t="s">
        <v>954</v>
      </c>
      <c r="C144" s="1133">
        <v>0.13853851978953491</v>
      </c>
      <c r="D144" s="1134">
        <v>0</v>
      </c>
      <c r="E144" s="1134">
        <v>0</v>
      </c>
      <c r="F144" s="1133">
        <v>0.12127117</v>
      </c>
      <c r="G144" s="1133">
        <v>0.117739</v>
      </c>
      <c r="H144" s="1135">
        <f t="shared" si="22"/>
        <v>1.7267349789534911E-2</v>
      </c>
      <c r="J144" s="1136">
        <v>9.7016936000000002E-3</v>
      </c>
      <c r="K144" s="1135">
        <f t="shared" si="23"/>
        <v>7.5656561895349108E-3</v>
      </c>
      <c r="M144" s="106">
        <f t="shared" si="25"/>
        <v>5.7765066606781525E-2</v>
      </c>
      <c r="N144" s="1133">
        <v>0.21103900219853042</v>
      </c>
      <c r="O144" s="109">
        <f t="shared" si="26"/>
        <v>0</v>
      </c>
      <c r="P144" s="1137">
        <f t="shared" si="24"/>
        <v>0</v>
      </c>
      <c r="Q144" s="1131"/>
    </row>
    <row r="145" spans="2:17">
      <c r="B145" s="1132" t="s">
        <v>955</v>
      </c>
      <c r="C145" s="1133">
        <v>0.54725000000000001</v>
      </c>
      <c r="D145" s="1134">
        <v>0</v>
      </c>
      <c r="E145" s="1134">
        <v>0</v>
      </c>
      <c r="F145" s="1133">
        <v>0.44750616000000004</v>
      </c>
      <c r="G145" s="1133">
        <v>0.43447200000000002</v>
      </c>
      <c r="H145" s="1135">
        <f t="shared" si="22"/>
        <v>9.9743839999999973E-2</v>
      </c>
      <c r="J145" s="1136">
        <v>3.5800492800000007E-2</v>
      </c>
      <c r="K145" s="1135">
        <f t="shared" si="23"/>
        <v>6.3943347199999973E-2</v>
      </c>
      <c r="M145" s="106">
        <f t="shared" si="25"/>
        <v>0.13230388373416566</v>
      </c>
      <c r="N145" s="1133">
        <v>0.57694115708950766</v>
      </c>
      <c r="O145" s="109">
        <f t="shared" si="26"/>
        <v>0</v>
      </c>
      <c r="P145" s="1137">
        <f t="shared" si="24"/>
        <v>0</v>
      </c>
      <c r="Q145" s="1131"/>
    </row>
    <row r="146" spans="2:17">
      <c r="B146" s="1132" t="s">
        <v>956</v>
      </c>
      <c r="C146" s="1133">
        <v>2.744478950225</v>
      </c>
      <c r="D146" s="1134">
        <v>0</v>
      </c>
      <c r="E146" s="1134">
        <v>0</v>
      </c>
      <c r="F146" s="1133">
        <v>2.9886541800000002</v>
      </c>
      <c r="G146" s="1133">
        <v>2.9016060000000001</v>
      </c>
      <c r="H146" s="1135">
        <f t="shared" si="22"/>
        <v>-0.24417522977500017</v>
      </c>
      <c r="J146" s="1136">
        <v>0.24473079653543725</v>
      </c>
      <c r="K146" s="1135">
        <f t="shared" si="23"/>
        <v>-0.48890602631043745</v>
      </c>
      <c r="M146" s="106">
        <f t="shared" si="25"/>
        <v>-0.15120563429916681</v>
      </c>
      <c r="N146" s="1133">
        <v>5.8437453879346348</v>
      </c>
      <c r="O146" s="109">
        <f t="shared" si="26"/>
        <v>1.0921862490879443E-3</v>
      </c>
      <c r="P146" s="1137">
        <f t="shared" si="24"/>
        <v>2.4970811317132648E-3</v>
      </c>
      <c r="Q146" s="1131"/>
    </row>
    <row r="147" spans="2:17">
      <c r="B147" s="1132" t="s">
        <v>957</v>
      </c>
      <c r="C147" s="1133">
        <v>0.42785000000000001</v>
      </c>
      <c r="D147" s="1134">
        <v>0</v>
      </c>
      <c r="E147" s="1134">
        <v>0</v>
      </c>
      <c r="F147" s="1133">
        <v>0.16072944</v>
      </c>
      <c r="G147" s="1133">
        <v>0.15604799999999999</v>
      </c>
      <c r="H147" s="1135">
        <f t="shared" si="22"/>
        <v>0.26712056000000001</v>
      </c>
      <c r="J147" s="1136">
        <v>1.2858355200000001E-2</v>
      </c>
      <c r="K147" s="1135">
        <f t="shared" si="23"/>
        <v>0.2542622048</v>
      </c>
      <c r="M147" s="106">
        <f t="shared" si="25"/>
        <v>1.4647470146564774</v>
      </c>
      <c r="N147" s="1133">
        <v>0.47977212010601156</v>
      </c>
      <c r="O147" s="109">
        <f t="shared" si="26"/>
        <v>0</v>
      </c>
      <c r="P147" s="1137">
        <f t="shared" si="24"/>
        <v>0</v>
      </c>
      <c r="Q147" s="1131"/>
    </row>
    <row r="148" spans="2:17">
      <c r="B148" s="1132" t="s">
        <v>958</v>
      </c>
      <c r="C148" s="1133">
        <v>6.353907151666667E-2</v>
      </c>
      <c r="D148" s="1134">
        <v>0</v>
      </c>
      <c r="E148" s="1134">
        <v>0</v>
      </c>
      <c r="F148" s="1133">
        <v>1.202628E-2</v>
      </c>
      <c r="G148" s="1133">
        <v>1.1676000000000001E-2</v>
      </c>
      <c r="H148" s="1135">
        <f t="shared" si="22"/>
        <v>5.151279151666667E-2</v>
      </c>
      <c r="J148" s="1136">
        <v>9.6210240000000008E-4</v>
      </c>
      <c r="K148" s="1135">
        <f t="shared" si="23"/>
        <v>5.0550689116666672E-2</v>
      </c>
      <c r="M148" s="106">
        <f t="shared" si="25"/>
        <v>3.8919926715944761</v>
      </c>
      <c r="N148" s="1133">
        <v>8.9577705969160384E-2</v>
      </c>
      <c r="O148" s="109">
        <f t="shared" si="26"/>
        <v>0</v>
      </c>
      <c r="P148" s="1137">
        <f t="shared" si="24"/>
        <v>0</v>
      </c>
      <c r="Q148" s="1131"/>
    </row>
    <row r="149" spans="2:17">
      <c r="B149" s="1132" t="s">
        <v>959</v>
      </c>
      <c r="C149" s="1133">
        <v>1.5423693999999995E-3</v>
      </c>
      <c r="D149" s="1134">
        <v>0</v>
      </c>
      <c r="E149" s="1134">
        <v>0</v>
      </c>
      <c r="F149" s="1133">
        <v>5.6299800000000006E-3</v>
      </c>
      <c r="G149" s="1133">
        <v>5.4660000000000004E-3</v>
      </c>
      <c r="H149" s="1135">
        <f t="shared" si="22"/>
        <v>-4.0876106000000013E-3</v>
      </c>
      <c r="J149" s="1136">
        <v>4.5039840000000005E-4</v>
      </c>
      <c r="K149" s="1135">
        <f t="shared" si="23"/>
        <v>-4.5380090000000017E-3</v>
      </c>
      <c r="M149" s="106">
        <f t="shared" si="25"/>
        <v>-0.74633660957679882</v>
      </c>
      <c r="N149" s="1133">
        <v>1.9737460637272629E-2</v>
      </c>
      <c r="O149" s="109">
        <f t="shared" si="26"/>
        <v>3.6888984151245954E-6</v>
      </c>
      <c r="P149" s="1137">
        <f t="shared" si="24"/>
        <v>2.0547840524191082E-4</v>
      </c>
      <c r="Q149" s="1131"/>
    </row>
    <row r="150" spans="2:17">
      <c r="B150" s="1132" t="s">
        <v>960</v>
      </c>
      <c r="C150" s="1133">
        <v>0.20596499999999998</v>
      </c>
      <c r="D150" s="1134">
        <v>0</v>
      </c>
      <c r="E150" s="1134">
        <v>0</v>
      </c>
      <c r="F150" s="1133">
        <v>0.11569063</v>
      </c>
      <c r="G150" s="1133">
        <v>0.112321</v>
      </c>
      <c r="H150" s="1135">
        <f t="shared" si="22"/>
        <v>9.0274369999999979E-2</v>
      </c>
      <c r="J150" s="1136">
        <v>9.2552503999999997E-3</v>
      </c>
      <c r="K150" s="1135">
        <f t="shared" si="23"/>
        <v>8.1019119599999981E-2</v>
      </c>
      <c r="M150" s="106">
        <f t="shared" si="25"/>
        <v>0.64843370058001515</v>
      </c>
      <c r="N150" s="1133">
        <v>0.1563814188953139</v>
      </c>
      <c r="O150" s="109">
        <f t="shared" si="26"/>
        <v>0</v>
      </c>
      <c r="P150" s="1137">
        <f t="shared" si="24"/>
        <v>0</v>
      </c>
      <c r="Q150" s="1131"/>
    </row>
    <row r="151" spans="2:17">
      <c r="B151" s="1132" t="s">
        <v>961</v>
      </c>
      <c r="C151" s="1133">
        <v>7.9600000000000004E-2</v>
      </c>
      <c r="D151" s="1134">
        <v>0</v>
      </c>
      <c r="E151" s="1134">
        <v>0</v>
      </c>
      <c r="F151" s="1133">
        <v>4.329914E-2</v>
      </c>
      <c r="G151" s="1133">
        <v>4.2037999999999999E-2</v>
      </c>
      <c r="H151" s="1135">
        <f t="shared" si="22"/>
        <v>3.6300860000000004E-2</v>
      </c>
      <c r="J151" s="1136">
        <v>5.3841876372445569E-3</v>
      </c>
      <c r="K151" s="1135">
        <f t="shared" si="23"/>
        <v>3.0916672362755446E-2</v>
      </c>
      <c r="M151" s="106">
        <f t="shared" si="25"/>
        <v>0.63505667881057182</v>
      </c>
      <c r="N151" s="1133">
        <v>0.15334488648957964</v>
      </c>
      <c r="O151" s="109">
        <f t="shared" si="26"/>
        <v>0</v>
      </c>
      <c r="P151" s="1137">
        <f t="shared" si="24"/>
        <v>0</v>
      </c>
      <c r="Q151" s="1131"/>
    </row>
    <row r="152" spans="2:17">
      <c r="B152" s="1132" t="s">
        <v>962</v>
      </c>
      <c r="C152" s="1133">
        <v>0.46764999999999995</v>
      </c>
      <c r="D152" s="1134">
        <v>0</v>
      </c>
      <c r="E152" s="1134">
        <v>0</v>
      </c>
      <c r="F152" s="1133">
        <v>0.27986336000000001</v>
      </c>
      <c r="G152" s="1133">
        <v>0.27171200000000001</v>
      </c>
      <c r="H152" s="1135">
        <f t="shared" si="22"/>
        <v>0.18778663999999995</v>
      </c>
      <c r="J152" s="1136">
        <v>2.2389068800000002E-2</v>
      </c>
      <c r="K152" s="1135">
        <f t="shared" si="23"/>
        <v>0.16539757119999995</v>
      </c>
      <c r="M152" s="106">
        <f t="shared" si="25"/>
        <v>0.54721668195243278</v>
      </c>
      <c r="N152" s="1133">
        <v>0.39323094654258545</v>
      </c>
      <c r="O152" s="109">
        <f t="shared" si="26"/>
        <v>0</v>
      </c>
      <c r="P152" s="1137">
        <f t="shared" si="24"/>
        <v>0</v>
      </c>
      <c r="Q152" s="1131"/>
    </row>
    <row r="153" spans="2:17">
      <c r="B153" s="1132" t="s">
        <v>963</v>
      </c>
      <c r="C153" s="1133">
        <v>0.14924999999999999</v>
      </c>
      <c r="D153" s="1134">
        <v>0</v>
      </c>
      <c r="E153" s="1134">
        <v>0</v>
      </c>
      <c r="F153" s="1133">
        <v>6.4750950000000002E-2</v>
      </c>
      <c r="G153" s="1133">
        <v>6.2865000000000004E-2</v>
      </c>
      <c r="H153" s="1135">
        <f t="shared" si="22"/>
        <v>8.4499049999999992E-2</v>
      </c>
      <c r="J153" s="1136">
        <v>5.1800760000000005E-3</v>
      </c>
      <c r="K153" s="1135">
        <f t="shared" si="23"/>
        <v>7.9318973999999987E-2</v>
      </c>
      <c r="M153" s="106">
        <f t="shared" si="25"/>
        <v>1.134245821017984</v>
      </c>
      <c r="N153" s="1133">
        <v>0.17611887953258654</v>
      </c>
      <c r="O153" s="109">
        <f t="shared" si="26"/>
        <v>0</v>
      </c>
      <c r="P153" s="1137">
        <f t="shared" si="24"/>
        <v>0</v>
      </c>
      <c r="Q153" s="1131"/>
    </row>
    <row r="154" spans="2:17">
      <c r="B154" s="1132" t="s">
        <v>964</v>
      </c>
      <c r="C154" s="1133">
        <v>0.13930000000000001</v>
      </c>
      <c r="D154" s="1134">
        <v>0</v>
      </c>
      <c r="E154" s="1134">
        <v>0</v>
      </c>
      <c r="F154" s="1133">
        <v>0.12711744999999999</v>
      </c>
      <c r="G154" s="1133">
        <v>0.123415</v>
      </c>
      <c r="H154" s="1135">
        <f t="shared" si="22"/>
        <v>1.2182550000000014E-2</v>
      </c>
      <c r="J154" s="1136">
        <v>1.0169395999999999E-2</v>
      </c>
      <c r="K154" s="1135">
        <f t="shared" si="23"/>
        <v>2.0131540000000153E-3</v>
      </c>
      <c r="M154" s="106">
        <f t="shared" si="25"/>
        <v>1.4663852063438149E-2</v>
      </c>
      <c r="N154" s="1133">
        <v>0.13816222446090839</v>
      </c>
      <c r="O154" s="109">
        <f t="shared" si="26"/>
        <v>0</v>
      </c>
      <c r="P154" s="1137">
        <f t="shared" si="24"/>
        <v>0</v>
      </c>
      <c r="Q154" s="1131"/>
    </row>
    <row r="155" spans="2:17">
      <c r="B155" s="1132" t="s">
        <v>965</v>
      </c>
      <c r="C155" s="1133">
        <v>0.89399781302608694</v>
      </c>
      <c r="D155" s="1134">
        <v>0</v>
      </c>
      <c r="E155" s="1134">
        <v>0</v>
      </c>
      <c r="F155" s="1133">
        <v>0.75889576000000003</v>
      </c>
      <c r="G155" s="1133">
        <v>0.736792</v>
      </c>
      <c r="H155" s="1135">
        <f t="shared" si="22"/>
        <v>0.13510205302608691</v>
      </c>
      <c r="J155" s="1136">
        <v>7.3652568490545536E-2</v>
      </c>
      <c r="K155" s="1135">
        <f t="shared" si="23"/>
        <v>6.1449484535541374E-2</v>
      </c>
      <c r="M155" s="106">
        <f t="shared" si="25"/>
        <v>7.3808909864671229E-2</v>
      </c>
      <c r="N155" s="1133">
        <v>0.99598262908083413</v>
      </c>
      <c r="O155" s="109">
        <f t="shared" si="26"/>
        <v>0</v>
      </c>
      <c r="P155" s="1137">
        <f t="shared" si="24"/>
        <v>0</v>
      </c>
      <c r="Q155" s="1131"/>
    </row>
    <row r="156" spans="2:17">
      <c r="B156" s="1132" t="s">
        <v>966</v>
      </c>
      <c r="C156" s="1133">
        <v>0</v>
      </c>
      <c r="D156" s="1134">
        <v>0</v>
      </c>
      <c r="E156" s="1134">
        <v>0</v>
      </c>
      <c r="F156" s="1133">
        <v>2.2973120000000003E-2</v>
      </c>
      <c r="G156" s="1133">
        <v>2.2304000000000001E-2</v>
      </c>
      <c r="H156" s="1135">
        <f t="shared" si="22"/>
        <v>-2.2973120000000003E-2</v>
      </c>
      <c r="J156" s="1136">
        <v>1.8378496000000003E-3</v>
      </c>
      <c r="K156" s="1135">
        <f t="shared" si="23"/>
        <v>-2.4810969600000003E-2</v>
      </c>
      <c r="M156" s="106">
        <f t="shared" si="25"/>
        <v>-1</v>
      </c>
      <c r="N156" s="1133">
        <v>1.6700928231538376E-2</v>
      </c>
      <c r="O156" s="109">
        <f t="shared" si="26"/>
        <v>3.1213755820285031E-6</v>
      </c>
      <c r="P156" s="1137">
        <f t="shared" si="24"/>
        <v>3.121375582028503E-4</v>
      </c>
      <c r="Q156" s="1131"/>
    </row>
    <row r="157" spans="2:17">
      <c r="B157" s="1132" t="s">
        <v>967</v>
      </c>
      <c r="C157" s="1133">
        <v>0.4153500545653846</v>
      </c>
      <c r="D157" s="1134">
        <v>0</v>
      </c>
      <c r="E157" s="1134">
        <v>0</v>
      </c>
      <c r="F157" s="1133">
        <v>0.59304515999999996</v>
      </c>
      <c r="G157" s="1133">
        <v>0.57577199999999995</v>
      </c>
      <c r="H157" s="1135">
        <f t="shared" si="22"/>
        <v>-0.17769510543461536</v>
      </c>
      <c r="J157" s="1136">
        <v>6.6875663543270181E-2</v>
      </c>
      <c r="K157" s="1135">
        <f t="shared" si="23"/>
        <v>-0.24457076897788554</v>
      </c>
      <c r="M157" s="106">
        <f t="shared" si="25"/>
        <v>-0.3706062307061741</v>
      </c>
      <c r="N157" s="1133">
        <v>1.0142018235152397</v>
      </c>
      <c r="O157" s="109">
        <f t="shared" si="26"/>
        <v>1.8955262625409459E-4</v>
      </c>
      <c r="P157" s="1137">
        <f t="shared" si="24"/>
        <v>2.6034859538374487E-3</v>
      </c>
      <c r="Q157" s="1131"/>
    </row>
    <row r="158" spans="2:17">
      <c r="B158" s="1132" t="s">
        <v>968</v>
      </c>
      <c r="C158" s="1133">
        <v>9.0545E-2</v>
      </c>
      <c r="D158" s="1134">
        <v>0</v>
      </c>
      <c r="E158" s="1134">
        <v>0</v>
      </c>
      <c r="F158" s="1133">
        <v>6.0791629999999999E-2</v>
      </c>
      <c r="G158" s="1133">
        <v>5.9020999999999997E-2</v>
      </c>
      <c r="H158" s="1135">
        <f t="shared" si="22"/>
        <v>2.9753370000000001E-2</v>
      </c>
      <c r="J158" s="1136">
        <v>4.8633304E-3</v>
      </c>
      <c r="K158" s="1135">
        <f t="shared" si="23"/>
        <v>2.48900396E-2</v>
      </c>
      <c r="M158" s="106">
        <f t="shared" si="25"/>
        <v>0.37910371810992666</v>
      </c>
      <c r="N158" s="1133">
        <v>0.13208915964943993</v>
      </c>
      <c r="O158" s="109">
        <f t="shared" si="26"/>
        <v>0</v>
      </c>
      <c r="P158" s="1137">
        <f t="shared" si="24"/>
        <v>0</v>
      </c>
      <c r="Q158" s="1131"/>
    </row>
    <row r="159" spans="2:17">
      <c r="B159" s="1132" t="s">
        <v>969</v>
      </c>
      <c r="C159" s="1133">
        <v>0.16318000000000002</v>
      </c>
      <c r="D159" s="1134">
        <v>0</v>
      </c>
      <c r="E159" s="1134">
        <v>0</v>
      </c>
      <c r="F159" s="1133">
        <v>0.15106701</v>
      </c>
      <c r="G159" s="1133">
        <v>0.14666699999999999</v>
      </c>
      <c r="H159" s="1135">
        <f t="shared" si="22"/>
        <v>1.2112990000000018E-2</v>
      </c>
      <c r="J159" s="1136">
        <v>1.20853608E-2</v>
      </c>
      <c r="K159" s="1135">
        <f t="shared" si="23"/>
        <v>2.7629200000017784E-5</v>
      </c>
      <c r="M159" s="106">
        <f t="shared" si="25"/>
        <v>1.6934599150806692E-4</v>
      </c>
      <c r="N159" s="1133">
        <v>0.28998884474762093</v>
      </c>
      <c r="O159" s="109">
        <f t="shared" si="26"/>
        <v>0</v>
      </c>
      <c r="P159" s="1137">
        <f t="shared" si="24"/>
        <v>0</v>
      </c>
      <c r="Q159" s="1131"/>
    </row>
    <row r="160" spans="2:17">
      <c r="B160" s="1132" t="s">
        <v>970</v>
      </c>
      <c r="C160" s="1133">
        <v>0.6169</v>
      </c>
      <c r="D160" s="1134">
        <v>0</v>
      </c>
      <c r="E160" s="1134">
        <v>0</v>
      </c>
      <c r="F160" s="1133">
        <v>0.38376461000000001</v>
      </c>
      <c r="G160" s="1133">
        <v>0.372587</v>
      </c>
      <c r="H160" s="1135">
        <f t="shared" si="22"/>
        <v>0.23313539</v>
      </c>
      <c r="J160" s="1136">
        <v>3.8221382504659229E-2</v>
      </c>
      <c r="K160" s="1135">
        <f t="shared" si="23"/>
        <v>0.19491400749534077</v>
      </c>
      <c r="M160" s="106">
        <f t="shared" si="25"/>
        <v>0.46189686614583225</v>
      </c>
      <c r="N160" s="1133">
        <v>0.82138201575111491</v>
      </c>
      <c r="O160" s="109">
        <f t="shared" si="26"/>
        <v>0</v>
      </c>
      <c r="P160" s="1137">
        <f t="shared" si="24"/>
        <v>0</v>
      </c>
      <c r="Q160" s="1131"/>
    </row>
    <row r="161" spans="2:17">
      <c r="B161" s="1132" t="s">
        <v>971</v>
      </c>
      <c r="C161" s="1133">
        <v>4.0795000000000005E-2</v>
      </c>
      <c r="D161" s="1134">
        <v>0</v>
      </c>
      <c r="E161" s="1134">
        <v>0</v>
      </c>
      <c r="F161" s="1133">
        <v>7.7723799999999997E-3</v>
      </c>
      <c r="G161" s="1133">
        <v>7.5459999999999998E-3</v>
      </c>
      <c r="H161" s="1135">
        <f t="shared" si="22"/>
        <v>3.3022620000000003E-2</v>
      </c>
      <c r="J161" s="1136">
        <v>6.2179040000000002E-4</v>
      </c>
      <c r="K161" s="1135">
        <f t="shared" si="23"/>
        <v>3.24008296E-2</v>
      </c>
      <c r="M161" s="106">
        <f t="shared" si="25"/>
        <v>3.8599204038078621</v>
      </c>
      <c r="N161" s="1133">
        <v>3.0365324057342505E-2</v>
      </c>
      <c r="O161" s="109">
        <f t="shared" si="26"/>
        <v>0</v>
      </c>
      <c r="P161" s="1137">
        <f t="shared" si="24"/>
        <v>0</v>
      </c>
      <c r="Q161" s="1131"/>
    </row>
    <row r="162" spans="2:17">
      <c r="B162" s="1132" t="s">
        <v>972</v>
      </c>
      <c r="C162" s="1133">
        <v>1.1639999999999999</v>
      </c>
      <c r="D162" s="1134">
        <v>0</v>
      </c>
      <c r="E162" s="1134">
        <v>0</v>
      </c>
      <c r="F162" s="1133">
        <v>0.69848007999999995</v>
      </c>
      <c r="G162" s="1133">
        <v>0.67813599999999996</v>
      </c>
      <c r="H162" s="1135">
        <f t="shared" si="22"/>
        <v>0.46551991999999998</v>
      </c>
      <c r="J162" s="1136">
        <v>5.5878406399999997E-2</v>
      </c>
      <c r="K162" s="1135">
        <f t="shared" si="23"/>
        <v>0.40964151360000001</v>
      </c>
      <c r="M162" s="106">
        <f t="shared" si="25"/>
        <v>0.54303294916839695</v>
      </c>
      <c r="N162" s="1133">
        <v>1.4560172885495732</v>
      </c>
      <c r="O162" s="109">
        <f t="shared" si="26"/>
        <v>0</v>
      </c>
      <c r="P162" s="1137">
        <f t="shared" si="24"/>
        <v>0</v>
      </c>
      <c r="Q162" s="1131"/>
    </row>
    <row r="163" spans="2:17">
      <c r="B163" s="1132" t="s">
        <v>973</v>
      </c>
      <c r="C163" s="1133">
        <v>0.55232798758085089</v>
      </c>
      <c r="D163" s="1134">
        <v>0</v>
      </c>
      <c r="E163" s="1134">
        <v>0</v>
      </c>
      <c r="F163" s="1133">
        <v>0.48179692000000002</v>
      </c>
      <c r="G163" s="1133">
        <v>0.46776400000000001</v>
      </c>
      <c r="H163" s="1135">
        <f>+C163+D163-E163-F163</f>
        <v>7.053106758085087E-2</v>
      </c>
      <c r="J163" s="1136">
        <v>3.9702956897017951E-2</v>
      </c>
      <c r="K163" s="1135">
        <f>+H163-J163</f>
        <v>3.082811068383292E-2</v>
      </c>
      <c r="M163" s="106">
        <f>+IF(ISERROR(K163/(F163+J163)),0,K163/(F163+J163))</f>
        <v>5.9114320155286698E-2</v>
      </c>
      <c r="N163" s="1133">
        <v>0.85782040461992581</v>
      </c>
      <c r="O163" s="109">
        <f t="shared" si="26"/>
        <v>0</v>
      </c>
      <c r="P163" s="1137">
        <f>(M163^2*O163)*100</f>
        <v>0</v>
      </c>
      <c r="Q163" s="1131"/>
    </row>
    <row r="164" spans="2:17">
      <c r="B164" s="1132" t="s">
        <v>974</v>
      </c>
      <c r="C164" s="1133">
        <v>0.95449580157710834</v>
      </c>
      <c r="D164" s="1134">
        <v>0</v>
      </c>
      <c r="E164" s="1134">
        <v>0</v>
      </c>
      <c r="F164" s="1133">
        <v>0.92217753999999996</v>
      </c>
      <c r="G164" s="1133">
        <v>0.89531799999999995</v>
      </c>
      <c r="H164" s="1135">
        <f t="shared" ref="H164:H187" si="27">+C164+D164-E164-F164</f>
        <v>3.2318261577108376E-2</v>
      </c>
      <c r="J164" s="1136">
        <v>7.3774203199999999E-2</v>
      </c>
      <c r="K164" s="1135">
        <f t="shared" ref="K164:K187" si="28">+H164-J164</f>
        <v>-4.1455941622891623E-2</v>
      </c>
      <c r="M164" s="106">
        <f>+IF(ISERROR(K164/(F164+J164)),0,K164/(F164+J164))</f>
        <v>-4.1624448077869101E-2</v>
      </c>
      <c r="N164" s="1133">
        <v>1.4803095477954471</v>
      </c>
      <c r="O164" s="109">
        <f t="shared" si="26"/>
        <v>2.7666738113434465E-4</v>
      </c>
      <c r="P164" s="1137">
        <f t="shared" ref="P164:P187" si="29">(M164^2*O164)*100</f>
        <v>4.7935243207069407E-5</v>
      </c>
      <c r="Q164" s="1131"/>
    </row>
    <row r="165" spans="2:17">
      <c r="B165" s="1132" t="s">
        <v>975</v>
      </c>
      <c r="C165" s="1133">
        <v>0.86565000000000003</v>
      </c>
      <c r="D165" s="1134">
        <v>0</v>
      </c>
      <c r="E165" s="1134">
        <v>0</v>
      </c>
      <c r="F165" s="1133">
        <v>0.77349807000000004</v>
      </c>
      <c r="G165" s="1133">
        <v>0.750969</v>
      </c>
      <c r="H165" s="1135">
        <f t="shared" si="27"/>
        <v>9.2151929999999993E-2</v>
      </c>
      <c r="J165" s="1136">
        <v>6.1879845600000004E-2</v>
      </c>
      <c r="K165" s="1135">
        <f t="shared" si="28"/>
        <v>3.0272084399999989E-2</v>
      </c>
      <c r="M165" s="106">
        <f t="shared" ref="M165:M187" si="30">+IF(ISERROR(K165/(F165+J165)),0,K165/(F165+J165))</f>
        <v>3.6237592393446781E-2</v>
      </c>
      <c r="N165" s="1133">
        <v>1.6531707750499731</v>
      </c>
      <c r="O165" s="109">
        <f t="shared" si="26"/>
        <v>0</v>
      </c>
      <c r="P165" s="1137">
        <f t="shared" si="29"/>
        <v>0</v>
      </c>
      <c r="Q165" s="1131"/>
    </row>
    <row r="166" spans="2:17">
      <c r="B166" s="1132" t="s">
        <v>976</v>
      </c>
      <c r="C166" s="1133">
        <v>9.7600812322947359</v>
      </c>
      <c r="D166" s="1134">
        <v>0</v>
      </c>
      <c r="E166" s="1134">
        <v>0</v>
      </c>
      <c r="F166" s="1133">
        <v>7.0029741200000002</v>
      </c>
      <c r="G166" s="1133">
        <v>6.799004</v>
      </c>
      <c r="H166" s="1135">
        <f t="shared" si="27"/>
        <v>2.7571071122947357</v>
      </c>
      <c r="J166" s="1136">
        <v>0.56023792960000007</v>
      </c>
      <c r="K166" s="1135">
        <f t="shared" si="28"/>
        <v>2.1968691826947357</v>
      </c>
      <c r="M166" s="106">
        <f t="shared" si="30"/>
        <v>0.29046774945453535</v>
      </c>
      <c r="N166" s="1133">
        <v>10.768146383407066</v>
      </c>
      <c r="O166" s="109">
        <f t="shared" si="26"/>
        <v>0</v>
      </c>
      <c r="P166" s="1137">
        <f t="shared" si="29"/>
        <v>0</v>
      </c>
      <c r="Q166" s="1131"/>
    </row>
    <row r="167" spans="2:17">
      <c r="B167" s="1132" t="s">
        <v>977</v>
      </c>
      <c r="C167" s="1133">
        <v>3.474548831672251</v>
      </c>
      <c r="D167" s="1134">
        <v>0</v>
      </c>
      <c r="E167" s="1134">
        <v>0</v>
      </c>
      <c r="F167" s="1133">
        <v>3.75319022</v>
      </c>
      <c r="G167" s="1133">
        <v>3.6438739999999998</v>
      </c>
      <c r="H167" s="1135">
        <f t="shared" si="27"/>
        <v>-0.27864138832774898</v>
      </c>
      <c r="J167" s="1136">
        <v>0.30025521760000001</v>
      </c>
      <c r="K167" s="1135">
        <f t="shared" si="28"/>
        <v>-0.57889660592774894</v>
      </c>
      <c r="M167" s="106">
        <f t="shared" si="30"/>
        <v>-0.14281593642728474</v>
      </c>
      <c r="N167" s="1133">
        <v>5.2218733776364701</v>
      </c>
      <c r="O167" s="109">
        <f t="shared" si="26"/>
        <v>9.7595940940689802E-4</v>
      </c>
      <c r="P167" s="1137">
        <f t="shared" si="29"/>
        <v>1.9906050395223636E-3</v>
      </c>
      <c r="Q167" s="1131"/>
    </row>
    <row r="168" spans="2:17">
      <c r="B168" s="1132" t="s">
        <v>978</v>
      </c>
      <c r="C168" s="1133">
        <v>0.18905</v>
      </c>
      <c r="D168" s="1134">
        <v>0</v>
      </c>
      <c r="E168" s="1134">
        <v>0</v>
      </c>
      <c r="F168" s="1133">
        <v>0.11440828</v>
      </c>
      <c r="G168" s="1133">
        <v>0.11107599999999999</v>
      </c>
      <c r="H168" s="1135">
        <f t="shared" si="27"/>
        <v>7.4641719999999995E-2</v>
      </c>
      <c r="J168" s="1136">
        <v>9.1526624000000008E-3</v>
      </c>
      <c r="K168" s="1135">
        <f t="shared" si="28"/>
        <v>6.5489057599999997E-2</v>
      </c>
      <c r="M168" s="106">
        <f t="shared" si="30"/>
        <v>0.53001422883288074</v>
      </c>
      <c r="N168" s="1133">
        <v>0.31234579893214726</v>
      </c>
      <c r="O168" s="109">
        <f t="shared" si="26"/>
        <v>0</v>
      </c>
      <c r="P168" s="1137">
        <f t="shared" si="29"/>
        <v>0</v>
      </c>
      <c r="Q168" s="1131"/>
    </row>
    <row r="169" spans="2:17">
      <c r="B169" s="1132" t="s">
        <v>979</v>
      </c>
      <c r="C169" s="1133">
        <v>2.7460393611164644</v>
      </c>
      <c r="D169" s="1134">
        <v>0</v>
      </c>
      <c r="E169" s="1134">
        <v>0</v>
      </c>
      <c r="F169" s="1133">
        <v>2.8715771700000001</v>
      </c>
      <c r="G169" s="1133">
        <v>2.7879390000000002</v>
      </c>
      <c r="H169" s="1135">
        <f t="shared" si="27"/>
        <v>-0.12553780888353572</v>
      </c>
      <c r="J169" s="1136">
        <v>0.63657199665083908</v>
      </c>
      <c r="K169" s="1135">
        <f t="shared" si="28"/>
        <v>-0.7621098055343748</v>
      </c>
      <c r="M169" s="106">
        <f t="shared" si="30"/>
        <v>-0.21723985193649731</v>
      </c>
      <c r="N169" s="1133">
        <v>6.9099504086184655</v>
      </c>
      <c r="O169" s="109">
        <f t="shared" si="26"/>
        <v>1.2914581860042403E-3</v>
      </c>
      <c r="P169" s="1137">
        <f t="shared" si="29"/>
        <v>6.0947984113108138E-3</v>
      </c>
      <c r="Q169" s="1131"/>
    </row>
    <row r="170" spans="2:17">
      <c r="B170" s="1132" t="s">
        <v>980</v>
      </c>
      <c r="C170" s="1133">
        <v>9.873794889034782</v>
      </c>
      <c r="D170" s="1134">
        <v>0</v>
      </c>
      <c r="E170" s="1134">
        <v>0</v>
      </c>
      <c r="F170" s="1133">
        <v>8.2651536300000004</v>
      </c>
      <c r="G170" s="1133">
        <v>8.0244210000000002</v>
      </c>
      <c r="H170" s="1135">
        <f t="shared" si="27"/>
        <v>1.6086412590347816</v>
      </c>
      <c r="J170" s="1136">
        <v>0.66121229040000007</v>
      </c>
      <c r="K170" s="1135">
        <f t="shared" si="28"/>
        <v>0.94742896863478154</v>
      </c>
      <c r="M170" s="106">
        <f t="shared" si="30"/>
        <v>0.10613826243326649</v>
      </c>
      <c r="N170" s="1133">
        <v>12.771245387568648</v>
      </c>
      <c r="O170" s="109">
        <f t="shared" si="26"/>
        <v>0</v>
      </c>
      <c r="P170" s="1137">
        <f t="shared" si="29"/>
        <v>0</v>
      </c>
      <c r="Q170" s="1131"/>
    </row>
    <row r="171" spans="2:17">
      <c r="B171" s="1132" t="s">
        <v>981</v>
      </c>
      <c r="C171" s="1133">
        <v>7.8159512914285689E-2</v>
      </c>
      <c r="D171" s="1134">
        <v>0</v>
      </c>
      <c r="E171" s="1134">
        <v>0</v>
      </c>
      <c r="F171" s="1133">
        <v>0.53061685999999997</v>
      </c>
      <c r="G171" s="1133">
        <v>0.51516200000000001</v>
      </c>
      <c r="H171" s="1135">
        <f t="shared" si="27"/>
        <v>-0.45245734708571428</v>
      </c>
      <c r="J171" s="1136">
        <v>4.2449348800000002E-2</v>
      </c>
      <c r="K171" s="1135">
        <f t="shared" si="28"/>
        <v>-0.49490669588571429</v>
      </c>
      <c r="M171" s="106">
        <f t="shared" si="30"/>
        <v>-0.86361172284446575</v>
      </c>
      <c r="N171" s="1133">
        <v>1.0533348070350139</v>
      </c>
      <c r="O171" s="109">
        <f t="shared" si="26"/>
        <v>1.9686651548929762E-4</v>
      </c>
      <c r="P171" s="1137">
        <f t="shared" si="29"/>
        <v>1.4682800983043684E-2</v>
      </c>
      <c r="Q171" s="1131"/>
    </row>
    <row r="172" spans="2:17">
      <c r="B172" s="1132" t="s">
        <v>982</v>
      </c>
      <c r="C172" s="1133">
        <v>0.26091795057605632</v>
      </c>
      <c r="D172" s="1134">
        <v>0</v>
      </c>
      <c r="E172" s="1134">
        <v>0</v>
      </c>
      <c r="F172" s="1133">
        <v>0.23258841999999999</v>
      </c>
      <c r="G172" s="1133">
        <v>0.22581399999999999</v>
      </c>
      <c r="H172" s="1135">
        <f t="shared" si="27"/>
        <v>2.8329530576056333E-2</v>
      </c>
      <c r="J172" s="1136">
        <v>1.8607073599999999E-2</v>
      </c>
      <c r="K172" s="1135">
        <f t="shared" si="28"/>
        <v>9.7224569760563338E-3</v>
      </c>
      <c r="M172" s="106">
        <f t="shared" si="30"/>
        <v>3.870474281492578E-2</v>
      </c>
      <c r="N172" s="1133">
        <v>0.42218168427092434</v>
      </c>
      <c r="O172" s="109">
        <f t="shared" si="26"/>
        <v>0</v>
      </c>
      <c r="P172" s="1137">
        <f t="shared" si="29"/>
        <v>0</v>
      </c>
      <c r="Q172" s="1131"/>
    </row>
    <row r="173" spans="2:17">
      <c r="B173" s="1132" t="s">
        <v>983</v>
      </c>
      <c r="C173" s="1133">
        <v>1.0029305356157896</v>
      </c>
      <c r="D173" s="1134">
        <v>0</v>
      </c>
      <c r="E173" s="1134">
        <v>0</v>
      </c>
      <c r="F173" s="1133">
        <v>0.52639489000000006</v>
      </c>
      <c r="G173" s="1133">
        <v>0.51106300000000005</v>
      </c>
      <c r="H173" s="1135">
        <f t="shared" si="27"/>
        <v>0.47653564561578954</v>
      </c>
      <c r="J173" s="1136">
        <v>5.0074322370879151E-2</v>
      </c>
      <c r="K173" s="1135">
        <f t="shared" si="28"/>
        <v>0.42646132324491037</v>
      </c>
      <c r="M173" s="106">
        <f t="shared" si="30"/>
        <v>0.7397816120846723</v>
      </c>
      <c r="N173" s="1133">
        <v>0.96724887125184911</v>
      </c>
      <c r="O173" s="109">
        <f t="shared" si="26"/>
        <v>0</v>
      </c>
      <c r="P173" s="1137">
        <f t="shared" si="29"/>
        <v>0</v>
      </c>
      <c r="Q173" s="1131"/>
    </row>
    <row r="174" spans="2:17">
      <c r="B174" s="1132" t="s">
        <v>984</v>
      </c>
      <c r="C174" s="1133">
        <v>0.19900000000000001</v>
      </c>
      <c r="D174" s="1134">
        <v>0</v>
      </c>
      <c r="E174" s="1134">
        <v>0</v>
      </c>
      <c r="F174" s="1133">
        <v>0.18663291000000001</v>
      </c>
      <c r="G174" s="1133">
        <v>0.181197</v>
      </c>
      <c r="H174" s="1135">
        <f t="shared" si="27"/>
        <v>1.2367089999999997E-2</v>
      </c>
      <c r="J174" s="1136">
        <v>1.4930632800000001E-2</v>
      </c>
      <c r="K174" s="1135">
        <f t="shared" si="28"/>
        <v>-2.563542800000004E-3</v>
      </c>
      <c r="M174" s="106">
        <f t="shared" si="30"/>
        <v>-1.2718286076880782E-2</v>
      </c>
      <c r="N174" s="1133">
        <v>0.37340199414719044</v>
      </c>
      <c r="O174" s="109">
        <f t="shared" si="26"/>
        <v>6.9788208814093556E-5</v>
      </c>
      <c r="P174" s="1137">
        <f t="shared" si="29"/>
        <v>1.1288577810263185E-6</v>
      </c>
      <c r="Q174" s="1131"/>
    </row>
    <row r="175" spans="2:17">
      <c r="B175" s="1132" t="s">
        <v>985</v>
      </c>
      <c r="C175" s="1133">
        <v>2.5869999999999997E-2</v>
      </c>
      <c r="D175" s="1134">
        <v>0</v>
      </c>
      <c r="E175" s="1134">
        <v>0</v>
      </c>
      <c r="F175" s="1133">
        <v>1.868626E-2</v>
      </c>
      <c r="G175" s="1133">
        <v>1.8141999999999998E-2</v>
      </c>
      <c r="H175" s="1135">
        <f t="shared" si="27"/>
        <v>7.1837399999999975E-3</v>
      </c>
      <c r="J175" s="1136">
        <v>1.4949008E-3</v>
      </c>
      <c r="K175" s="1135">
        <f t="shared" si="28"/>
        <v>5.6888391999999977E-3</v>
      </c>
      <c r="M175" s="106">
        <f t="shared" si="30"/>
        <v>0.28188860176962655</v>
      </c>
      <c r="N175" s="1133">
        <v>3.7307209751798E-2</v>
      </c>
      <c r="O175" s="109">
        <f t="shared" si="26"/>
        <v>0</v>
      </c>
      <c r="P175" s="1137">
        <f t="shared" si="29"/>
        <v>0</v>
      </c>
      <c r="Q175" s="1131"/>
    </row>
    <row r="176" spans="2:17">
      <c r="B176" s="1132" t="s">
        <v>986</v>
      </c>
      <c r="C176" s="1133">
        <v>6.905786795610525</v>
      </c>
      <c r="D176" s="1134">
        <v>0</v>
      </c>
      <c r="E176" s="1134">
        <v>0</v>
      </c>
      <c r="F176" s="1133">
        <v>6.7671762200000005</v>
      </c>
      <c r="G176" s="1133">
        <v>6.570074</v>
      </c>
      <c r="H176" s="1135">
        <f t="shared" si="27"/>
        <v>0.13861057561052448</v>
      </c>
      <c r="J176" s="1136">
        <v>0.5413740976000001</v>
      </c>
      <c r="K176" s="1135">
        <f t="shared" si="28"/>
        <v>-0.40276352198947563</v>
      </c>
      <c r="M176" s="106">
        <f t="shared" si="30"/>
        <v>-5.510853787509204E-2</v>
      </c>
      <c r="N176" s="1133">
        <v>13.428302707712934</v>
      </c>
      <c r="O176" s="109">
        <f t="shared" si="26"/>
        <v>2.5097273396331144E-3</v>
      </c>
      <c r="P176" s="1137">
        <f t="shared" si="29"/>
        <v>7.6219188201340899E-4</v>
      </c>
      <c r="Q176" s="1131"/>
    </row>
    <row r="177" spans="2:17">
      <c r="B177" s="1132" t="s">
        <v>987</v>
      </c>
      <c r="C177" s="1133">
        <v>2.6528760235294113E-3</v>
      </c>
      <c r="D177" s="1134">
        <v>0</v>
      </c>
      <c r="E177" s="1134">
        <v>0</v>
      </c>
      <c r="F177" s="1133">
        <v>3.5143600000000002E-3</v>
      </c>
      <c r="G177" s="1133">
        <v>3.4120000000000001E-3</v>
      </c>
      <c r="H177" s="1135">
        <f t="shared" si="27"/>
        <v>-8.6148397647058898E-4</v>
      </c>
      <c r="J177" s="1136">
        <v>2.811488E-4</v>
      </c>
      <c r="K177" s="1135">
        <f t="shared" si="28"/>
        <v>-1.142632776470589E-3</v>
      </c>
      <c r="M177" s="106">
        <f t="shared" si="30"/>
        <v>-0.30104864372085999</v>
      </c>
      <c r="N177" s="1133">
        <v>1.1335565580158621E-2</v>
      </c>
      <c r="O177" s="109">
        <f t="shared" si="26"/>
        <v>2.1185982671054616E-6</v>
      </c>
      <c r="P177" s="1137">
        <f t="shared" si="29"/>
        <v>1.9200916662571084E-5</v>
      </c>
      <c r="Q177" s="1131"/>
    </row>
    <row r="178" spans="2:17">
      <c r="B178" s="1132" t="s">
        <v>988</v>
      </c>
      <c r="C178" s="1133">
        <v>2.6250022561111128E-2</v>
      </c>
      <c r="D178" s="1134">
        <v>0</v>
      </c>
      <c r="E178" s="1134">
        <v>0</v>
      </c>
      <c r="F178" s="1133">
        <v>0.19702046000000001</v>
      </c>
      <c r="G178" s="1133">
        <v>0.19128200000000001</v>
      </c>
      <c r="H178" s="1135">
        <f t="shared" si="27"/>
        <v>-0.17077043743888887</v>
      </c>
      <c r="J178" s="1136">
        <v>1.6679144866960833E-2</v>
      </c>
      <c r="K178" s="1135">
        <f t="shared" si="28"/>
        <v>-0.18744958230584971</v>
      </c>
      <c r="M178" s="106">
        <f t="shared" si="30"/>
        <v>-0.87716391624845003</v>
      </c>
      <c r="N178" s="1133">
        <v>0.37484863131568463</v>
      </c>
      <c r="O178" s="109">
        <f t="shared" si="26"/>
        <v>7.005858288379738E-5</v>
      </c>
      <c r="P178" s="1137">
        <f t="shared" si="29"/>
        <v>5.3904232157300667E-3</v>
      </c>
      <c r="Q178" s="1131"/>
    </row>
    <row r="179" spans="2:17">
      <c r="B179" s="1132" t="s">
        <v>989</v>
      </c>
      <c r="C179" s="1133">
        <v>13.871</v>
      </c>
      <c r="D179" s="1134">
        <v>0</v>
      </c>
      <c r="E179" s="1134">
        <v>0</v>
      </c>
      <c r="F179" s="1133">
        <v>9.4855038100000009</v>
      </c>
      <c r="G179" s="1133">
        <v>9.2092270000000003</v>
      </c>
      <c r="H179" s="1135">
        <f t="shared" si="27"/>
        <v>4.3854961899999996</v>
      </c>
      <c r="J179" s="1136">
        <v>2.6686847407587622</v>
      </c>
      <c r="K179" s="1135">
        <f t="shared" si="28"/>
        <v>1.7168114492412374</v>
      </c>
      <c r="M179" s="106">
        <f t="shared" si="30"/>
        <v>0.14125265887322935</v>
      </c>
      <c r="N179" s="1133">
        <v>19.492369952116569</v>
      </c>
      <c r="O179" s="109">
        <f t="shared" si="26"/>
        <v>0</v>
      </c>
      <c r="P179" s="1137">
        <f t="shared" si="29"/>
        <v>0</v>
      </c>
      <c r="Q179" s="1131"/>
    </row>
    <row r="180" spans="2:17">
      <c r="B180" s="1132" t="s">
        <v>990</v>
      </c>
      <c r="C180" s="1133">
        <v>206.98274507378832</v>
      </c>
      <c r="D180" s="1134">
        <v>0</v>
      </c>
      <c r="E180" s="1134">
        <v>0</v>
      </c>
      <c r="F180" s="1133">
        <v>192.55564278</v>
      </c>
      <c r="G180" s="1133">
        <v>186.947226</v>
      </c>
      <c r="H180" s="1135">
        <f t="shared" si="27"/>
        <v>14.427102293788323</v>
      </c>
      <c r="J180" s="1136">
        <v>15.926355660097768</v>
      </c>
      <c r="K180" s="1135">
        <f t="shared" si="28"/>
        <v>-1.4992533663094445</v>
      </c>
      <c r="M180" s="106">
        <f t="shared" si="30"/>
        <v>-7.1912845115028896E-3</v>
      </c>
      <c r="N180" s="1133">
        <v>729.47394211002882</v>
      </c>
      <c r="O180" s="109">
        <f t="shared" si="26"/>
        <v>0.13633746095192817</v>
      </c>
      <c r="P180" s="1137">
        <f t="shared" si="29"/>
        <v>7.050633566859821E-4</v>
      </c>
      <c r="Q180" s="1131"/>
    </row>
    <row r="181" spans="2:17">
      <c r="B181" s="1132" t="s">
        <v>991</v>
      </c>
      <c r="C181" s="1133">
        <v>624.21310599999993</v>
      </c>
      <c r="D181" s="1134">
        <v>0</v>
      </c>
      <c r="E181" s="1134">
        <v>0</v>
      </c>
      <c r="F181" s="1133">
        <v>411.51198497000001</v>
      </c>
      <c r="G181" s="1133">
        <v>399.52619900000002</v>
      </c>
      <c r="H181" s="1135">
        <f t="shared" si="27"/>
        <v>212.70112102999991</v>
      </c>
      <c r="J181" s="1136">
        <v>32.920958797600001</v>
      </c>
      <c r="K181" s="1135">
        <f t="shared" si="28"/>
        <v>179.7801622323999</v>
      </c>
      <c r="M181" s="106">
        <f t="shared" si="30"/>
        <v>0.40451583248610251</v>
      </c>
      <c r="N181" s="1133">
        <v>1303.0578526212225</v>
      </c>
      <c r="O181" s="109">
        <f t="shared" si="26"/>
        <v>0</v>
      </c>
      <c r="P181" s="1137">
        <f t="shared" si="29"/>
        <v>0</v>
      </c>
      <c r="Q181" s="1131"/>
    </row>
    <row r="182" spans="2:17">
      <c r="B182" s="1132" t="s">
        <v>992</v>
      </c>
      <c r="C182" s="1133">
        <v>6.572704504340817</v>
      </c>
      <c r="D182" s="1134">
        <v>0</v>
      </c>
      <c r="E182" s="1134">
        <v>0</v>
      </c>
      <c r="F182" s="1133">
        <v>8.8115912899999991</v>
      </c>
      <c r="G182" s="1133">
        <v>8.5549429999999997</v>
      </c>
      <c r="H182" s="1135">
        <f t="shared" si="27"/>
        <v>-2.2388867856591821</v>
      </c>
      <c r="J182" s="1136">
        <v>0.80911540393951076</v>
      </c>
      <c r="K182" s="1135">
        <f t="shared" si="28"/>
        <v>-3.0480021895986926</v>
      </c>
      <c r="M182" s="106">
        <f t="shared" si="30"/>
        <v>-0.31681687079378046</v>
      </c>
      <c r="N182" s="1133">
        <v>34.887784663302128</v>
      </c>
      <c r="O182" s="109">
        <f t="shared" si="26"/>
        <v>6.5204686619426801E-3</v>
      </c>
      <c r="P182" s="1137">
        <f t="shared" si="29"/>
        <v>6.5447854209173872E-2</v>
      </c>
      <c r="Q182" s="1131"/>
    </row>
    <row r="183" spans="2:17">
      <c r="B183" s="1132" t="s">
        <v>993</v>
      </c>
      <c r="C183" s="1133">
        <v>18.082288909220406</v>
      </c>
      <c r="D183" s="1134">
        <v>0</v>
      </c>
      <c r="E183" s="1134">
        <v>0</v>
      </c>
      <c r="F183" s="1133">
        <v>11.72418306</v>
      </c>
      <c r="G183" s="1133">
        <v>11.382702</v>
      </c>
      <c r="H183" s="1135">
        <f t="shared" si="27"/>
        <v>6.3581058492204061</v>
      </c>
      <c r="J183" s="1136">
        <v>1.0034855607384914</v>
      </c>
      <c r="K183" s="1135">
        <f t="shared" si="28"/>
        <v>5.3546202884819145</v>
      </c>
      <c r="M183" s="106">
        <f t="shared" si="30"/>
        <v>0.42070707904486798</v>
      </c>
      <c r="N183" s="1133">
        <v>49.591012738273157</v>
      </c>
      <c r="O183" s="109">
        <f t="shared" si="26"/>
        <v>0</v>
      </c>
      <c r="P183" s="1137">
        <f t="shared" si="29"/>
        <v>0</v>
      </c>
      <c r="Q183" s="1131"/>
    </row>
    <row r="184" spans="2:17">
      <c r="B184" s="1132" t="s">
        <v>994</v>
      </c>
      <c r="C184" s="1133">
        <v>22.795000000000002</v>
      </c>
      <c r="D184" s="1134">
        <v>0</v>
      </c>
      <c r="E184" s="1134">
        <v>0</v>
      </c>
      <c r="F184" s="1133">
        <v>15.661245790000001</v>
      </c>
      <c r="G184" s="1133">
        <v>15.205093</v>
      </c>
      <c r="H184" s="1135">
        <f t="shared" si="27"/>
        <v>7.1337542100000011</v>
      </c>
      <c r="J184" s="1136">
        <v>1.5498528709703898</v>
      </c>
      <c r="K184" s="1135">
        <f t="shared" si="28"/>
        <v>5.5839013390296115</v>
      </c>
      <c r="M184" s="106">
        <f t="shared" si="30"/>
        <v>0.32443607749993469</v>
      </c>
      <c r="N184" s="1133">
        <v>50.412683836291016</v>
      </c>
      <c r="O184" s="109">
        <f t="shared" si="26"/>
        <v>0</v>
      </c>
      <c r="P184" s="1137">
        <f t="shared" si="29"/>
        <v>0</v>
      </c>
      <c r="Q184" s="1131"/>
    </row>
    <row r="185" spans="2:17">
      <c r="B185" s="1132" t="s">
        <v>995</v>
      </c>
      <c r="C185" s="1133">
        <v>1.8717994826530611E-3</v>
      </c>
      <c r="D185" s="1134">
        <v>0</v>
      </c>
      <c r="E185" s="1134">
        <v>0</v>
      </c>
      <c r="F185" s="1133">
        <v>9.3318000000000003E-4</v>
      </c>
      <c r="G185" s="1133">
        <v>9.0600000000000001E-4</v>
      </c>
      <c r="H185" s="1135">
        <f t="shared" si="27"/>
        <v>9.3861948265306109E-4</v>
      </c>
      <c r="J185" s="1136">
        <v>7.4654400000000008E-5</v>
      </c>
      <c r="K185" s="1135">
        <f t="shared" si="28"/>
        <v>8.6396508265306111E-4</v>
      </c>
      <c r="M185" s="106">
        <f t="shared" si="30"/>
        <v>0.85724905069033264</v>
      </c>
      <c r="N185" s="1133">
        <v>1.5182662028671251E-3</v>
      </c>
      <c r="O185" s="109">
        <f t="shared" si="26"/>
        <v>0</v>
      </c>
      <c r="P185" s="1137">
        <f t="shared" si="29"/>
        <v>0</v>
      </c>
      <c r="Q185" s="1131"/>
    </row>
    <row r="186" spans="2:17">
      <c r="B186" s="1132" t="s">
        <v>996</v>
      </c>
      <c r="C186" s="1133">
        <v>1.4924999999999999E-2</v>
      </c>
      <c r="D186" s="1134">
        <v>0</v>
      </c>
      <c r="E186" s="1134">
        <v>0</v>
      </c>
      <c r="F186" s="1133">
        <v>7.8207899999999993E-3</v>
      </c>
      <c r="G186" s="1133">
        <v>7.5929999999999999E-3</v>
      </c>
      <c r="H186" s="1135">
        <f t="shared" si="27"/>
        <v>7.1042099999999997E-3</v>
      </c>
      <c r="J186" s="1136">
        <v>6.256632E-4</v>
      </c>
      <c r="K186" s="1135">
        <f t="shared" si="28"/>
        <v>6.4785467999999994E-3</v>
      </c>
      <c r="M186" s="106">
        <f t="shared" si="30"/>
        <v>0.76701387512571551</v>
      </c>
      <c r="N186" s="1133">
        <v>3.3401856463076751E-2</v>
      </c>
      <c r="O186" s="109">
        <f t="shared" si="26"/>
        <v>0</v>
      </c>
      <c r="P186" s="1137">
        <f t="shared" si="29"/>
        <v>0</v>
      </c>
      <c r="Q186" s="1131"/>
    </row>
    <row r="187" spans="2:17">
      <c r="B187" s="1132" t="s">
        <v>997</v>
      </c>
      <c r="C187" s="1133">
        <v>3.8768432242424237E-3</v>
      </c>
      <c r="D187" s="1134">
        <v>0</v>
      </c>
      <c r="E187" s="1134">
        <v>0</v>
      </c>
      <c r="F187" s="1133">
        <v>9.2370400000000002E-3</v>
      </c>
      <c r="G187" s="1133">
        <v>8.9680000000000003E-3</v>
      </c>
      <c r="H187" s="1135">
        <f t="shared" si="27"/>
        <v>-5.3601967757575765E-3</v>
      </c>
      <c r="J187" s="1136">
        <v>7.3896319999999999E-4</v>
      </c>
      <c r="K187" s="1135">
        <f t="shared" si="28"/>
        <v>-6.0991599757575761E-3</v>
      </c>
      <c r="M187" s="106">
        <f t="shared" si="30"/>
        <v>-0.61138312142457774</v>
      </c>
      <c r="N187" s="1133">
        <v>2.2671131160317243E-2</v>
      </c>
      <c r="O187" s="109">
        <f t="shared" si="26"/>
        <v>4.2371965342109233E-6</v>
      </c>
      <c r="P187" s="1137">
        <f t="shared" si="29"/>
        <v>1.5838188161563241E-4</v>
      </c>
      <c r="Q187" s="1131"/>
    </row>
    <row r="188" spans="2:17">
      <c r="B188" s="1132" t="s">
        <v>998</v>
      </c>
      <c r="C188" s="1133">
        <v>14.751005904680852</v>
      </c>
      <c r="D188" s="1134">
        <v>0</v>
      </c>
      <c r="E188" s="1134">
        <v>0</v>
      </c>
      <c r="F188" s="1133">
        <v>16.414608390000001</v>
      </c>
      <c r="G188" s="1133">
        <v>15.936513</v>
      </c>
      <c r="H188" s="1135">
        <f>+C188+D188-E188-F188</f>
        <v>-1.6636024853191493</v>
      </c>
      <c r="J188" s="1136">
        <v>1.4820302400930345</v>
      </c>
      <c r="K188" s="1135">
        <f>+H188-J188</f>
        <v>-3.1456327254121836</v>
      </c>
      <c r="M188" s="106">
        <f>+IF(ISERROR(K188/(F188+J188)),0,K188/(F188+J188))</f>
        <v>-0.1757666783371728</v>
      </c>
      <c r="N188" s="1133">
        <v>37.840311136462503</v>
      </c>
      <c r="O188" s="109">
        <f t="shared" si="26"/>
        <v>7.0722909266005187E-3</v>
      </c>
      <c r="P188" s="1137">
        <f>(M188^2*O188)*100</f>
        <v>2.1849082697580648E-2</v>
      </c>
      <c r="Q188" s="1131"/>
    </row>
    <row r="189" spans="2:17">
      <c r="B189" s="1132" t="s">
        <v>999</v>
      </c>
      <c r="C189" s="1133">
        <v>83.510710408571427</v>
      </c>
      <c r="D189" s="1134">
        <v>0</v>
      </c>
      <c r="E189" s="1134">
        <v>0</v>
      </c>
      <c r="F189" s="1133">
        <v>81.120889349999999</v>
      </c>
      <c r="G189" s="1133">
        <v>78.758144999999999</v>
      </c>
      <c r="H189" s="1135">
        <f t="shared" ref="H189:H212" si="31">+C189+D189-E189-F189</f>
        <v>2.3898210585714281</v>
      </c>
      <c r="J189" s="1136">
        <v>7.3241839380818137</v>
      </c>
      <c r="K189" s="1135">
        <f t="shared" ref="K189:K212" si="32">+H189-J189</f>
        <v>-4.9343628795103855</v>
      </c>
      <c r="M189" s="106">
        <f>+IF(ISERROR(K189/(F189+J189)),0,K189/(F189+J189))</f>
        <v>-5.5790138399662591E-2</v>
      </c>
      <c r="N189" s="1133">
        <v>206.30542773566557</v>
      </c>
      <c r="O189" s="109">
        <f t="shared" si="26"/>
        <v>3.8558139742076808E-2</v>
      </c>
      <c r="P189" s="1137">
        <f t="shared" ref="P189:P212" si="33">(M189^2*O189)*100</f>
        <v>1.2001373463837374E-2</v>
      </c>
      <c r="Q189" s="1131"/>
    </row>
    <row r="190" spans="2:17">
      <c r="B190" s="1132" t="s">
        <v>1000</v>
      </c>
      <c r="C190" s="1133">
        <v>4.499411308163265</v>
      </c>
      <c r="D190" s="1134">
        <v>0</v>
      </c>
      <c r="E190" s="1134">
        <v>0</v>
      </c>
      <c r="F190" s="1133">
        <v>4.7069248999999997</v>
      </c>
      <c r="G190" s="1133">
        <v>4.5698299999999996</v>
      </c>
      <c r="H190" s="1135">
        <f t="shared" si="31"/>
        <v>-0.20751359183673479</v>
      </c>
      <c r="J190" s="1136">
        <v>0.42497541664756594</v>
      </c>
      <c r="K190" s="1135">
        <f t="shared" si="32"/>
        <v>-0.63248900848430067</v>
      </c>
      <c r="M190" s="106">
        <f t="shared" ref="M190:M212" si="34">+IF(ISERROR(K190/(F190+J190)),0,K190/(F190+J190))</f>
        <v>-0.12324654990521652</v>
      </c>
      <c r="N190" s="1133">
        <v>8.4294647328487589</v>
      </c>
      <c r="O190" s="109">
        <f t="shared" si="26"/>
        <v>1.575452874349661E-3</v>
      </c>
      <c r="P190" s="1137">
        <f t="shared" si="33"/>
        <v>2.3930675531046281E-3</v>
      </c>
      <c r="Q190" s="1131"/>
    </row>
    <row r="191" spans="2:17">
      <c r="B191" s="1132" t="s">
        <v>1001</v>
      </c>
      <c r="C191" s="1133">
        <v>51.388205591898867</v>
      </c>
      <c r="D191" s="1134">
        <v>0</v>
      </c>
      <c r="E191" s="1134">
        <v>0</v>
      </c>
      <c r="F191" s="1133">
        <v>48.429378419999999</v>
      </c>
      <c r="G191" s="1133">
        <v>47.018813999999999</v>
      </c>
      <c r="H191" s="1135">
        <f t="shared" si="31"/>
        <v>2.9588271718988679</v>
      </c>
      <c r="J191" s="1136">
        <v>4.3725565436623262</v>
      </c>
      <c r="K191" s="1135">
        <f t="shared" si="32"/>
        <v>-1.4137293717634583</v>
      </c>
      <c r="M191" s="106">
        <f t="shared" si="34"/>
        <v>-2.6774196300502439E-2</v>
      </c>
      <c r="N191" s="1133">
        <v>119.58020785065303</v>
      </c>
      <c r="O191" s="109">
        <f t="shared" si="26"/>
        <v>2.2349341048844194E-2</v>
      </c>
      <c r="P191" s="1137">
        <f t="shared" si="33"/>
        <v>1.6021294707334835E-3</v>
      </c>
      <c r="Q191" s="1131"/>
    </row>
    <row r="192" spans="2:17">
      <c r="B192" s="1132" t="s">
        <v>1002</v>
      </c>
      <c r="C192" s="1133">
        <v>51.036483731020731</v>
      </c>
      <c r="D192" s="1134">
        <v>0</v>
      </c>
      <c r="E192" s="1134">
        <v>0</v>
      </c>
      <c r="F192" s="1133">
        <v>52.227996789999999</v>
      </c>
      <c r="G192" s="1133">
        <v>50.706792999999998</v>
      </c>
      <c r="H192" s="1135">
        <f t="shared" si="31"/>
        <v>-1.1915130589792682</v>
      </c>
      <c r="J192" s="1136">
        <v>4.1782397431999998</v>
      </c>
      <c r="K192" s="1135">
        <f t="shared" si="32"/>
        <v>-5.369752802179268</v>
      </c>
      <c r="M192" s="106">
        <f t="shared" si="34"/>
        <v>-9.5197856340206263E-2</v>
      </c>
      <c r="N192" s="1133">
        <v>141.34059984897613</v>
      </c>
      <c r="O192" s="109">
        <f t="shared" si="26"/>
        <v>2.6416321955370584E-2</v>
      </c>
      <c r="P192" s="1137">
        <f t="shared" si="33"/>
        <v>2.3940140075936717E-2</v>
      </c>
      <c r="Q192" s="1131"/>
    </row>
    <row r="193" spans="2:17">
      <c r="B193" s="1132" t="s">
        <v>1003</v>
      </c>
      <c r="C193" s="1133">
        <v>16.782399999999999</v>
      </c>
      <c r="D193" s="1134">
        <v>0</v>
      </c>
      <c r="E193" s="1134">
        <v>0</v>
      </c>
      <c r="F193" s="1133">
        <v>15.43110259</v>
      </c>
      <c r="G193" s="1133">
        <v>14.981653</v>
      </c>
      <c r="H193" s="1135">
        <f t="shared" si="31"/>
        <v>1.351297409999999</v>
      </c>
      <c r="J193" s="1136">
        <v>1.2344882072000001</v>
      </c>
      <c r="K193" s="1135">
        <f t="shared" si="32"/>
        <v>0.11680920279999896</v>
      </c>
      <c r="M193" s="106">
        <f t="shared" si="34"/>
        <v>7.0090046144433218E-3</v>
      </c>
      <c r="N193" s="1133">
        <v>32.089021329767704</v>
      </c>
      <c r="O193" s="109">
        <f t="shared" si="26"/>
        <v>0</v>
      </c>
      <c r="P193" s="1137">
        <f t="shared" si="33"/>
        <v>0</v>
      </c>
      <c r="Q193" s="1131"/>
    </row>
    <row r="194" spans="2:17">
      <c r="B194" s="1132" t="s">
        <v>1004</v>
      </c>
      <c r="C194" s="1133">
        <v>8.2576053138061205</v>
      </c>
      <c r="D194" s="1134">
        <v>0</v>
      </c>
      <c r="E194" s="1134">
        <v>0</v>
      </c>
      <c r="F194" s="1133">
        <v>14.69302622</v>
      </c>
      <c r="G194" s="1133">
        <v>14.265074</v>
      </c>
      <c r="H194" s="1135">
        <f t="shared" si="31"/>
        <v>-6.4354209061938796</v>
      </c>
      <c r="J194" s="1136">
        <v>1.1754420976</v>
      </c>
      <c r="K194" s="1135">
        <f t="shared" si="32"/>
        <v>-7.6108630037938791</v>
      </c>
      <c r="M194" s="106">
        <f t="shared" si="34"/>
        <v>-0.47962177895597752</v>
      </c>
      <c r="N194" s="1133">
        <v>30.960304454754311</v>
      </c>
      <c r="O194" s="109">
        <f t="shared" si="26"/>
        <v>5.7864291731248695E-3</v>
      </c>
      <c r="P194" s="1137">
        <f t="shared" si="33"/>
        <v>0.13310931019316641</v>
      </c>
      <c r="Q194" s="1131"/>
    </row>
    <row r="195" spans="2:17">
      <c r="B195" s="1132" t="s">
        <v>1005</v>
      </c>
      <c r="C195" s="1133">
        <v>9.0913109999999993</v>
      </c>
      <c r="D195" s="1134">
        <v>0</v>
      </c>
      <c r="E195" s="1134">
        <v>0</v>
      </c>
      <c r="F195" s="1133">
        <v>5.3076610700000009</v>
      </c>
      <c r="G195" s="1133">
        <v>5.1530690000000003</v>
      </c>
      <c r="H195" s="1135">
        <f t="shared" si="31"/>
        <v>3.7836499299999984</v>
      </c>
      <c r="J195" s="1136">
        <v>0.4246128856000001</v>
      </c>
      <c r="K195" s="1135">
        <f t="shared" si="32"/>
        <v>3.3590370443999982</v>
      </c>
      <c r="M195" s="106">
        <f t="shared" si="34"/>
        <v>0.58598683008136265</v>
      </c>
      <c r="N195" s="1133">
        <v>12.818806878062656</v>
      </c>
      <c r="O195" s="109">
        <f t="shared" si="26"/>
        <v>0</v>
      </c>
      <c r="P195" s="1137">
        <f t="shared" si="33"/>
        <v>0</v>
      </c>
      <c r="Q195" s="1131"/>
    </row>
    <row r="196" spans="2:17">
      <c r="B196" s="1132" t="s">
        <v>1006</v>
      </c>
      <c r="C196" s="1133">
        <v>4.2162318196999991</v>
      </c>
      <c r="D196" s="1134">
        <v>0</v>
      </c>
      <c r="E196" s="1134">
        <v>0</v>
      </c>
      <c r="F196" s="1133">
        <v>3.7946096100000002</v>
      </c>
      <c r="G196" s="1133">
        <v>3.6840869999999999</v>
      </c>
      <c r="H196" s="1135">
        <f t="shared" si="31"/>
        <v>0.42162220969999886</v>
      </c>
      <c r="J196" s="1136">
        <v>0.3035687688</v>
      </c>
      <c r="K196" s="1135">
        <f t="shared" si="32"/>
        <v>0.11805344089999886</v>
      </c>
      <c r="M196" s="106">
        <f t="shared" si="34"/>
        <v>2.8806320757215658E-2</v>
      </c>
      <c r="N196" s="1133">
        <v>4.853231370812936</v>
      </c>
      <c r="O196" s="109">
        <f t="shared" si="26"/>
        <v>0</v>
      </c>
      <c r="P196" s="1137">
        <f t="shared" si="33"/>
        <v>0</v>
      </c>
      <c r="Q196" s="1131"/>
    </row>
    <row r="197" spans="2:17">
      <c r="B197" s="1132" t="s">
        <v>1007</v>
      </c>
      <c r="C197" s="1133">
        <v>5.4320409999999999</v>
      </c>
      <c r="D197" s="1134">
        <v>0</v>
      </c>
      <c r="E197" s="1134">
        <v>0</v>
      </c>
      <c r="F197" s="1133">
        <v>5.3469926499999998</v>
      </c>
      <c r="G197" s="1133">
        <v>5.191255</v>
      </c>
      <c r="H197" s="1135">
        <f t="shared" si="31"/>
        <v>8.5048350000000106E-2</v>
      </c>
      <c r="J197" s="1136">
        <v>0.42775941200000001</v>
      </c>
      <c r="K197" s="1135">
        <f t="shared" si="32"/>
        <v>-0.3427110619999999</v>
      </c>
      <c r="M197" s="106">
        <f t="shared" si="34"/>
        <v>-5.9346454760398314E-2</v>
      </c>
      <c r="N197" s="1133">
        <v>12.458452009542109</v>
      </c>
      <c r="O197" s="109">
        <f t="shared" si="26"/>
        <v>2.3284638646026098E-3</v>
      </c>
      <c r="P197" s="1137">
        <f t="shared" si="33"/>
        <v>8.2008536723535347E-4</v>
      </c>
      <c r="Q197" s="1131"/>
    </row>
    <row r="198" spans="2:17">
      <c r="B198" s="1132" t="s">
        <v>1008</v>
      </c>
      <c r="C198" s="1133">
        <v>112.41948678064759</v>
      </c>
      <c r="D198" s="1134">
        <v>0</v>
      </c>
      <c r="E198" s="1134">
        <v>0</v>
      </c>
      <c r="F198" s="1133">
        <v>102.04025115</v>
      </c>
      <c r="G198" s="1133">
        <v>99.068205000000006</v>
      </c>
      <c r="H198" s="1135">
        <f t="shared" si="31"/>
        <v>10.379235630647585</v>
      </c>
      <c r="J198" s="1136">
        <v>8.1632200919999995</v>
      </c>
      <c r="K198" s="1135">
        <f t="shared" si="32"/>
        <v>2.2160155386475857</v>
      </c>
      <c r="M198" s="106">
        <f t="shared" si="34"/>
        <v>2.0108400521988572E-2</v>
      </c>
      <c r="N198" s="1133">
        <v>160.95081743237122</v>
      </c>
      <c r="O198" s="109">
        <f t="shared" si="26"/>
        <v>0</v>
      </c>
      <c r="P198" s="1137">
        <f t="shared" si="33"/>
        <v>0</v>
      </c>
      <c r="Q198" s="1131"/>
    </row>
    <row r="199" spans="2:17">
      <c r="B199" s="1132" t="s">
        <v>1009</v>
      </c>
      <c r="C199" s="1133">
        <v>57.595014600307479</v>
      </c>
      <c r="D199" s="1134">
        <v>0</v>
      </c>
      <c r="E199" s="1134">
        <v>0</v>
      </c>
      <c r="F199" s="1133">
        <v>68.64802195</v>
      </c>
      <c r="G199" s="1133">
        <v>66.648565000000005</v>
      </c>
      <c r="H199" s="1135">
        <f t="shared" si="31"/>
        <v>-11.053007349692521</v>
      </c>
      <c r="J199" s="1136">
        <v>5.4918417560000004</v>
      </c>
      <c r="K199" s="1135">
        <f t="shared" si="32"/>
        <v>-16.544849105692521</v>
      </c>
      <c r="M199" s="106">
        <f t="shared" si="34"/>
        <v>-0.22315726356472351</v>
      </c>
      <c r="N199" s="1133">
        <v>175.56084826144158</v>
      </c>
      <c r="O199" s="109">
        <f t="shared" si="26"/>
        <v>3.2812029207372848E-2</v>
      </c>
      <c r="P199" s="1137">
        <f t="shared" si="33"/>
        <v>0.16340116329137508</v>
      </c>
      <c r="Q199" s="1131"/>
    </row>
    <row r="200" spans="2:17">
      <c r="B200" s="1132" t="s">
        <v>1010</v>
      </c>
      <c r="C200" s="1133">
        <v>133.66792174685602</v>
      </c>
      <c r="D200" s="1134">
        <v>0</v>
      </c>
      <c r="E200" s="1134">
        <v>0</v>
      </c>
      <c r="F200" s="1133">
        <v>131.90580360999999</v>
      </c>
      <c r="G200" s="1133">
        <v>128.06388699999999</v>
      </c>
      <c r="H200" s="1135">
        <f t="shared" si="31"/>
        <v>1.7621181368560315</v>
      </c>
      <c r="J200" s="1136">
        <v>10.852722205358493</v>
      </c>
      <c r="K200" s="1135">
        <f t="shared" si="32"/>
        <v>-9.0906040685024614</v>
      </c>
      <c r="M200" s="106">
        <f t="shared" si="34"/>
        <v>-6.3678186760348712E-2</v>
      </c>
      <c r="N200" s="1133">
        <v>383.54787997240538</v>
      </c>
      <c r="O200" s="109">
        <f t="shared" si="26"/>
        <v>7.1684457922755088E-2</v>
      </c>
      <c r="P200" s="1137">
        <f t="shared" si="33"/>
        <v>2.9067413058618163E-2</v>
      </c>
      <c r="Q200" s="1131"/>
    </row>
    <row r="201" spans="2:17">
      <c r="B201" s="1132" t="s">
        <v>1011</v>
      </c>
      <c r="C201" s="1133">
        <v>13.607338500070714</v>
      </c>
      <c r="D201" s="1134">
        <v>0</v>
      </c>
      <c r="E201" s="1134">
        <v>0</v>
      </c>
      <c r="F201" s="1133">
        <v>10.83975193</v>
      </c>
      <c r="G201" s="1133">
        <v>10.524031000000001</v>
      </c>
      <c r="H201" s="1135">
        <f t="shared" si="31"/>
        <v>2.7675865700707138</v>
      </c>
      <c r="J201" s="1136">
        <v>0.89185474218489991</v>
      </c>
      <c r="K201" s="1135">
        <f t="shared" si="32"/>
        <v>1.8757318278858139</v>
      </c>
      <c r="M201" s="106">
        <f t="shared" si="34"/>
        <v>0.15988703681424027</v>
      </c>
      <c r="N201" s="1133">
        <v>17.985919201128109</v>
      </c>
      <c r="O201" s="109">
        <f t="shared" si="26"/>
        <v>0</v>
      </c>
      <c r="P201" s="1137">
        <f t="shared" si="33"/>
        <v>0</v>
      </c>
      <c r="Q201" s="1131"/>
    </row>
    <row r="202" spans="2:17">
      <c r="B202" s="1132"/>
      <c r="C202" s="1133"/>
      <c r="D202" s="1134"/>
      <c r="E202" s="1134"/>
      <c r="F202" s="1133"/>
      <c r="G202" s="1133"/>
      <c r="H202" s="1135">
        <f t="shared" si="31"/>
        <v>0</v>
      </c>
      <c r="J202" s="1136"/>
      <c r="K202" s="1135">
        <f t="shared" si="32"/>
        <v>0</v>
      </c>
      <c r="M202" s="106">
        <f t="shared" si="34"/>
        <v>0</v>
      </c>
      <c r="N202" s="1133"/>
      <c r="O202" s="109">
        <f t="shared" si="26"/>
        <v>0</v>
      </c>
      <c r="P202" s="1137">
        <f t="shared" si="33"/>
        <v>0</v>
      </c>
      <c r="Q202" s="1131"/>
    </row>
    <row r="203" spans="2:17">
      <c r="B203" s="1132"/>
      <c r="C203" s="1133"/>
      <c r="D203" s="1134"/>
      <c r="E203" s="1134"/>
      <c r="F203" s="1133"/>
      <c r="G203" s="1133"/>
      <c r="H203" s="1135">
        <f t="shared" si="31"/>
        <v>0</v>
      </c>
      <c r="J203" s="1136"/>
      <c r="K203" s="1135">
        <f t="shared" si="32"/>
        <v>0</v>
      </c>
      <c r="M203" s="106">
        <f t="shared" si="34"/>
        <v>0</v>
      </c>
      <c r="N203" s="1133"/>
      <c r="O203" s="109">
        <f t="shared" si="26"/>
        <v>0</v>
      </c>
      <c r="P203" s="1137">
        <f t="shared" si="33"/>
        <v>0</v>
      </c>
      <c r="Q203" s="1131"/>
    </row>
    <row r="204" spans="2:17">
      <c r="B204" s="1132"/>
      <c r="C204" s="1134"/>
      <c r="D204" s="1134"/>
      <c r="E204" s="1134"/>
      <c r="F204" s="1134"/>
      <c r="G204" s="1134"/>
      <c r="H204" s="1135">
        <f t="shared" si="31"/>
        <v>0</v>
      </c>
      <c r="J204" s="1144"/>
      <c r="K204" s="1135">
        <f t="shared" si="32"/>
        <v>0</v>
      </c>
      <c r="M204" s="106">
        <f t="shared" si="34"/>
        <v>0</v>
      </c>
      <c r="N204" s="1133"/>
      <c r="O204" s="109">
        <f t="shared" si="26"/>
        <v>0</v>
      </c>
      <c r="P204" s="1137">
        <f t="shared" si="33"/>
        <v>0</v>
      </c>
      <c r="Q204" s="1131"/>
    </row>
    <row r="205" spans="2:17">
      <c r="B205" s="1132"/>
      <c r="C205" s="1134"/>
      <c r="D205" s="1134"/>
      <c r="E205" s="1134"/>
      <c r="F205" s="1134"/>
      <c r="G205" s="1134"/>
      <c r="H205" s="1135">
        <f t="shared" si="31"/>
        <v>0</v>
      </c>
      <c r="J205" s="1144"/>
      <c r="K205" s="1135">
        <f t="shared" si="32"/>
        <v>0</v>
      </c>
      <c r="M205" s="106">
        <f t="shared" si="34"/>
        <v>0</v>
      </c>
      <c r="N205" s="1133"/>
      <c r="O205" s="109">
        <f t="shared" si="26"/>
        <v>0</v>
      </c>
      <c r="P205" s="1137">
        <f t="shared" si="33"/>
        <v>0</v>
      </c>
      <c r="Q205" s="1131"/>
    </row>
    <row r="206" spans="2:17">
      <c r="B206" s="1132"/>
      <c r="C206" s="1134"/>
      <c r="D206" s="1134"/>
      <c r="E206" s="1134"/>
      <c r="F206" s="1134"/>
      <c r="G206" s="1134"/>
      <c r="H206" s="1135">
        <f t="shared" si="31"/>
        <v>0</v>
      </c>
      <c r="J206" s="1144"/>
      <c r="K206" s="1135">
        <f t="shared" si="32"/>
        <v>0</v>
      </c>
      <c r="M206" s="106">
        <f t="shared" si="34"/>
        <v>0</v>
      </c>
      <c r="N206" s="1133"/>
      <c r="O206" s="109">
        <f t="shared" ref="O206:O262" si="35">IF(K206&lt;0,N206/$N$263,0)</f>
        <v>0</v>
      </c>
      <c r="P206" s="1137">
        <f t="shared" si="33"/>
        <v>0</v>
      </c>
      <c r="Q206" s="1131"/>
    </row>
    <row r="207" spans="2:17">
      <c r="B207" s="1132"/>
      <c r="C207" s="1134"/>
      <c r="D207" s="1134"/>
      <c r="E207" s="1134"/>
      <c r="F207" s="1134"/>
      <c r="G207" s="1134"/>
      <c r="H207" s="1135">
        <f t="shared" si="31"/>
        <v>0</v>
      </c>
      <c r="J207" s="1144"/>
      <c r="K207" s="1135">
        <f t="shared" si="32"/>
        <v>0</v>
      </c>
      <c r="M207" s="106">
        <f t="shared" si="34"/>
        <v>0</v>
      </c>
      <c r="N207" s="1133"/>
      <c r="O207" s="109">
        <f t="shared" si="35"/>
        <v>0</v>
      </c>
      <c r="P207" s="1137">
        <f t="shared" si="33"/>
        <v>0</v>
      </c>
      <c r="Q207" s="1131"/>
    </row>
    <row r="208" spans="2:17">
      <c r="B208" s="1132"/>
      <c r="C208" s="1134"/>
      <c r="D208" s="1134"/>
      <c r="E208" s="1134"/>
      <c r="F208" s="1134"/>
      <c r="G208" s="1134"/>
      <c r="H208" s="1135">
        <f t="shared" si="31"/>
        <v>0</v>
      </c>
      <c r="J208" s="1144"/>
      <c r="K208" s="1135">
        <f t="shared" si="32"/>
        <v>0</v>
      </c>
      <c r="M208" s="106">
        <f t="shared" si="34"/>
        <v>0</v>
      </c>
      <c r="N208" s="1133"/>
      <c r="O208" s="109">
        <f t="shared" si="35"/>
        <v>0</v>
      </c>
      <c r="P208" s="1137">
        <f t="shared" si="33"/>
        <v>0</v>
      </c>
      <c r="Q208" s="1131"/>
    </row>
    <row r="209" spans="2:17">
      <c r="B209" s="1132"/>
      <c r="C209" s="1134"/>
      <c r="D209" s="1134"/>
      <c r="E209" s="1134"/>
      <c r="F209" s="1134"/>
      <c r="G209" s="1134"/>
      <c r="H209" s="1135">
        <f t="shared" si="31"/>
        <v>0</v>
      </c>
      <c r="J209" s="1144"/>
      <c r="K209" s="1135">
        <f t="shared" si="32"/>
        <v>0</v>
      </c>
      <c r="M209" s="106">
        <f t="shared" si="34"/>
        <v>0</v>
      </c>
      <c r="N209" s="1133"/>
      <c r="O209" s="109">
        <f t="shared" si="35"/>
        <v>0</v>
      </c>
      <c r="P209" s="1137">
        <f t="shared" si="33"/>
        <v>0</v>
      </c>
      <c r="Q209" s="1131"/>
    </row>
    <row r="210" spans="2:17">
      <c r="B210" s="1132"/>
      <c r="C210" s="1134"/>
      <c r="D210" s="1134"/>
      <c r="E210" s="1134"/>
      <c r="F210" s="1134"/>
      <c r="G210" s="1134"/>
      <c r="H210" s="1135">
        <f t="shared" si="31"/>
        <v>0</v>
      </c>
      <c r="J210" s="1144"/>
      <c r="K210" s="1135">
        <f t="shared" si="32"/>
        <v>0</v>
      </c>
      <c r="M210" s="106">
        <f t="shared" si="34"/>
        <v>0</v>
      </c>
      <c r="N210" s="1133"/>
      <c r="O210" s="109">
        <f t="shared" si="35"/>
        <v>0</v>
      </c>
      <c r="P210" s="1137">
        <f t="shared" si="33"/>
        <v>0</v>
      </c>
      <c r="Q210" s="1131"/>
    </row>
    <row r="211" spans="2:17">
      <c r="B211" s="1132"/>
      <c r="C211" s="1134"/>
      <c r="D211" s="1134"/>
      <c r="E211" s="1134"/>
      <c r="F211" s="1134"/>
      <c r="G211" s="1134"/>
      <c r="H211" s="1135">
        <f t="shared" si="31"/>
        <v>0</v>
      </c>
      <c r="J211" s="1144"/>
      <c r="K211" s="1135">
        <f t="shared" si="32"/>
        <v>0</v>
      </c>
      <c r="M211" s="106">
        <f t="shared" si="34"/>
        <v>0</v>
      </c>
      <c r="N211" s="1133"/>
      <c r="O211" s="109">
        <f t="shared" si="35"/>
        <v>0</v>
      </c>
      <c r="P211" s="1137">
        <f t="shared" si="33"/>
        <v>0</v>
      </c>
      <c r="Q211" s="1131"/>
    </row>
    <row r="212" spans="2:17">
      <c r="B212" s="1132"/>
      <c r="C212" s="1134"/>
      <c r="D212" s="1134"/>
      <c r="E212" s="1134"/>
      <c r="F212" s="1134"/>
      <c r="G212" s="1134"/>
      <c r="H212" s="1135">
        <f t="shared" si="31"/>
        <v>0</v>
      </c>
      <c r="J212" s="1144"/>
      <c r="K212" s="1135">
        <f t="shared" si="32"/>
        <v>0</v>
      </c>
      <c r="M212" s="106">
        <f t="shared" si="34"/>
        <v>0</v>
      </c>
      <c r="N212" s="1133"/>
      <c r="O212" s="109">
        <f t="shared" si="35"/>
        <v>0</v>
      </c>
      <c r="P212" s="1137">
        <f t="shared" si="33"/>
        <v>0</v>
      </c>
      <c r="Q212" s="1131"/>
    </row>
    <row r="213" spans="2:17">
      <c r="B213" s="1132"/>
      <c r="C213" s="1134"/>
      <c r="D213" s="1134"/>
      <c r="E213" s="1134"/>
      <c r="F213" s="1134"/>
      <c r="G213" s="1134"/>
      <c r="H213" s="1135">
        <f>+C213+D213-E213-F213</f>
        <v>0</v>
      </c>
      <c r="J213" s="1144"/>
      <c r="K213" s="1135">
        <f>+H213-J213</f>
        <v>0</v>
      </c>
      <c r="M213" s="106">
        <f>+IF(ISERROR(K213/(F213+J213)),0,K213/(F213+J213))</f>
        <v>0</v>
      </c>
      <c r="N213" s="1133"/>
      <c r="O213" s="109">
        <f t="shared" si="35"/>
        <v>0</v>
      </c>
      <c r="P213" s="1137">
        <f>(M213^2*O213)*100</f>
        <v>0</v>
      </c>
      <c r="Q213" s="1131"/>
    </row>
    <row r="214" spans="2:17">
      <c r="B214" s="1132"/>
      <c r="C214" s="1134"/>
      <c r="D214" s="1134"/>
      <c r="E214" s="1134"/>
      <c r="F214" s="1134"/>
      <c r="G214" s="1134"/>
      <c r="H214" s="1135">
        <f t="shared" ref="H214:H237" si="36">+C214+D214-E214-F214</f>
        <v>0</v>
      </c>
      <c r="J214" s="1144"/>
      <c r="K214" s="1135">
        <f t="shared" ref="K214:K237" si="37">+H214-J214</f>
        <v>0</v>
      </c>
      <c r="M214" s="106">
        <f>+IF(ISERROR(K214/(F214+J214)),0,K214/(F214+J214))</f>
        <v>0</v>
      </c>
      <c r="N214" s="1133"/>
      <c r="O214" s="109">
        <f t="shared" si="35"/>
        <v>0</v>
      </c>
      <c r="P214" s="1137">
        <f t="shared" ref="P214:P237" si="38">(M214^2*O214)*100</f>
        <v>0</v>
      </c>
      <c r="Q214" s="1131"/>
    </row>
    <row r="215" spans="2:17">
      <c r="B215" s="1132"/>
      <c r="C215" s="1134"/>
      <c r="D215" s="1134"/>
      <c r="E215" s="1134"/>
      <c r="F215" s="1134"/>
      <c r="G215" s="1134"/>
      <c r="H215" s="1135">
        <f t="shared" si="36"/>
        <v>0</v>
      </c>
      <c r="J215" s="1144"/>
      <c r="K215" s="1135">
        <f t="shared" si="37"/>
        <v>0</v>
      </c>
      <c r="M215" s="106">
        <f t="shared" ref="M215:M237" si="39">+IF(ISERROR(K215/(F215+J215)),0,K215/(F215+J215))</f>
        <v>0</v>
      </c>
      <c r="N215" s="1133"/>
      <c r="O215" s="109">
        <f t="shared" si="35"/>
        <v>0</v>
      </c>
      <c r="P215" s="1137">
        <f t="shared" si="38"/>
        <v>0</v>
      </c>
      <c r="Q215" s="1131"/>
    </row>
    <row r="216" spans="2:17">
      <c r="B216" s="1132"/>
      <c r="C216" s="1134"/>
      <c r="D216" s="1134"/>
      <c r="E216" s="1134"/>
      <c r="F216" s="1134"/>
      <c r="G216" s="1134"/>
      <c r="H216" s="1135">
        <f t="shared" si="36"/>
        <v>0</v>
      </c>
      <c r="J216" s="1144"/>
      <c r="K216" s="1135">
        <f t="shared" si="37"/>
        <v>0</v>
      </c>
      <c r="M216" s="106">
        <f t="shared" si="39"/>
        <v>0</v>
      </c>
      <c r="N216" s="1133"/>
      <c r="O216" s="109">
        <f t="shared" si="35"/>
        <v>0</v>
      </c>
      <c r="P216" s="1137">
        <f t="shared" si="38"/>
        <v>0</v>
      </c>
      <c r="Q216" s="1131"/>
    </row>
    <row r="217" spans="2:17">
      <c r="B217" s="1132"/>
      <c r="C217" s="1134"/>
      <c r="D217" s="1134"/>
      <c r="E217" s="1134"/>
      <c r="F217" s="1134"/>
      <c r="G217" s="1134"/>
      <c r="H217" s="1135">
        <f t="shared" si="36"/>
        <v>0</v>
      </c>
      <c r="J217" s="1144"/>
      <c r="K217" s="1135">
        <f t="shared" si="37"/>
        <v>0</v>
      </c>
      <c r="M217" s="106">
        <f t="shared" si="39"/>
        <v>0</v>
      </c>
      <c r="N217" s="1133"/>
      <c r="O217" s="109">
        <f t="shared" si="35"/>
        <v>0</v>
      </c>
      <c r="P217" s="1137">
        <f t="shared" si="38"/>
        <v>0</v>
      </c>
      <c r="Q217" s="1131"/>
    </row>
    <row r="218" spans="2:17">
      <c r="B218" s="1132"/>
      <c r="C218" s="1134"/>
      <c r="D218" s="1134"/>
      <c r="E218" s="1134"/>
      <c r="F218" s="1134"/>
      <c r="G218" s="1134"/>
      <c r="H218" s="1135">
        <f t="shared" si="36"/>
        <v>0</v>
      </c>
      <c r="J218" s="1144"/>
      <c r="K218" s="1135">
        <f t="shared" si="37"/>
        <v>0</v>
      </c>
      <c r="M218" s="106">
        <f t="shared" si="39"/>
        <v>0</v>
      </c>
      <c r="N218" s="1133"/>
      <c r="O218" s="109">
        <f t="shared" si="35"/>
        <v>0</v>
      </c>
      <c r="P218" s="1137">
        <f t="shared" si="38"/>
        <v>0</v>
      </c>
      <c r="Q218" s="1131"/>
    </row>
    <row r="219" spans="2:17">
      <c r="B219" s="1132"/>
      <c r="C219" s="1134"/>
      <c r="D219" s="1134"/>
      <c r="E219" s="1134"/>
      <c r="F219" s="1134"/>
      <c r="G219" s="1134"/>
      <c r="H219" s="1135">
        <f t="shared" si="36"/>
        <v>0</v>
      </c>
      <c r="J219" s="1144"/>
      <c r="K219" s="1135">
        <f t="shared" si="37"/>
        <v>0</v>
      </c>
      <c r="M219" s="106">
        <f t="shared" si="39"/>
        <v>0</v>
      </c>
      <c r="N219" s="1133"/>
      <c r="O219" s="109">
        <f t="shared" si="35"/>
        <v>0</v>
      </c>
      <c r="P219" s="1137">
        <f t="shared" si="38"/>
        <v>0</v>
      </c>
      <c r="Q219" s="1131"/>
    </row>
    <row r="220" spans="2:17">
      <c r="B220" s="1132"/>
      <c r="C220" s="1134"/>
      <c r="D220" s="1134"/>
      <c r="E220" s="1134"/>
      <c r="F220" s="1134"/>
      <c r="G220" s="1134"/>
      <c r="H220" s="1135">
        <f t="shared" si="36"/>
        <v>0</v>
      </c>
      <c r="J220" s="1144"/>
      <c r="K220" s="1135">
        <f t="shared" si="37"/>
        <v>0</v>
      </c>
      <c r="M220" s="106">
        <f t="shared" si="39"/>
        <v>0</v>
      </c>
      <c r="N220" s="1133"/>
      <c r="O220" s="109">
        <f t="shared" si="35"/>
        <v>0</v>
      </c>
      <c r="P220" s="1137">
        <f t="shared" si="38"/>
        <v>0</v>
      </c>
      <c r="Q220" s="1131"/>
    </row>
    <row r="221" spans="2:17">
      <c r="B221" s="1132"/>
      <c r="C221" s="1134"/>
      <c r="D221" s="1134"/>
      <c r="E221" s="1134"/>
      <c r="F221" s="1134"/>
      <c r="G221" s="1134"/>
      <c r="H221" s="1135">
        <f t="shared" si="36"/>
        <v>0</v>
      </c>
      <c r="J221" s="1144"/>
      <c r="K221" s="1135">
        <f t="shared" si="37"/>
        <v>0</v>
      </c>
      <c r="M221" s="106">
        <f t="shared" si="39"/>
        <v>0</v>
      </c>
      <c r="N221" s="1133"/>
      <c r="O221" s="109">
        <f t="shared" si="35"/>
        <v>0</v>
      </c>
      <c r="P221" s="1137">
        <f t="shared" si="38"/>
        <v>0</v>
      </c>
      <c r="Q221" s="1131"/>
    </row>
    <row r="222" spans="2:17">
      <c r="B222" s="1132"/>
      <c r="C222" s="1134"/>
      <c r="D222" s="1134"/>
      <c r="E222" s="1134"/>
      <c r="F222" s="1134"/>
      <c r="G222" s="1134"/>
      <c r="H222" s="1135">
        <f t="shared" si="36"/>
        <v>0</v>
      </c>
      <c r="J222" s="1144"/>
      <c r="K222" s="1135">
        <f t="shared" si="37"/>
        <v>0</v>
      </c>
      <c r="M222" s="106">
        <f t="shared" si="39"/>
        <v>0</v>
      </c>
      <c r="N222" s="1133"/>
      <c r="O222" s="109">
        <f t="shared" si="35"/>
        <v>0</v>
      </c>
      <c r="P222" s="1137">
        <f t="shared" si="38"/>
        <v>0</v>
      </c>
      <c r="Q222" s="1131"/>
    </row>
    <row r="223" spans="2:17">
      <c r="B223" s="1132"/>
      <c r="C223" s="1134"/>
      <c r="D223" s="1134"/>
      <c r="E223" s="1134"/>
      <c r="F223" s="1134"/>
      <c r="G223" s="1134"/>
      <c r="H223" s="1135">
        <f t="shared" si="36"/>
        <v>0</v>
      </c>
      <c r="J223" s="1144"/>
      <c r="K223" s="1135">
        <f t="shared" si="37"/>
        <v>0</v>
      </c>
      <c r="M223" s="106">
        <f t="shared" si="39"/>
        <v>0</v>
      </c>
      <c r="N223" s="1133"/>
      <c r="O223" s="109">
        <f t="shared" si="35"/>
        <v>0</v>
      </c>
      <c r="P223" s="1137">
        <f t="shared" si="38"/>
        <v>0</v>
      </c>
      <c r="Q223" s="1131"/>
    </row>
    <row r="224" spans="2:17">
      <c r="B224" s="1132"/>
      <c r="C224" s="1134"/>
      <c r="D224" s="1134"/>
      <c r="E224" s="1134"/>
      <c r="F224" s="1134"/>
      <c r="G224" s="1134"/>
      <c r="H224" s="1135">
        <f t="shared" si="36"/>
        <v>0</v>
      </c>
      <c r="J224" s="1144"/>
      <c r="K224" s="1135">
        <f t="shared" si="37"/>
        <v>0</v>
      </c>
      <c r="M224" s="106">
        <f t="shared" si="39"/>
        <v>0</v>
      </c>
      <c r="N224" s="1133"/>
      <c r="O224" s="109">
        <f t="shared" si="35"/>
        <v>0</v>
      </c>
      <c r="P224" s="1137">
        <f t="shared" si="38"/>
        <v>0</v>
      </c>
      <c r="Q224" s="1131"/>
    </row>
    <row r="225" spans="2:17">
      <c r="B225" s="1132"/>
      <c r="C225" s="1134"/>
      <c r="D225" s="1134"/>
      <c r="E225" s="1134"/>
      <c r="F225" s="1134"/>
      <c r="G225" s="1134"/>
      <c r="H225" s="1135">
        <f t="shared" si="36"/>
        <v>0</v>
      </c>
      <c r="J225" s="1144"/>
      <c r="K225" s="1135">
        <f t="shared" si="37"/>
        <v>0</v>
      </c>
      <c r="M225" s="106">
        <f t="shared" si="39"/>
        <v>0</v>
      </c>
      <c r="N225" s="1133"/>
      <c r="O225" s="109">
        <f t="shared" si="35"/>
        <v>0</v>
      </c>
      <c r="P225" s="1137">
        <f t="shared" si="38"/>
        <v>0</v>
      </c>
      <c r="Q225" s="1131"/>
    </row>
    <row r="226" spans="2:17">
      <c r="B226" s="1132"/>
      <c r="C226" s="1134"/>
      <c r="D226" s="1134"/>
      <c r="E226" s="1134"/>
      <c r="F226" s="1134"/>
      <c r="G226" s="1134"/>
      <c r="H226" s="1135">
        <f t="shared" si="36"/>
        <v>0</v>
      </c>
      <c r="J226" s="1144"/>
      <c r="K226" s="1135">
        <f t="shared" si="37"/>
        <v>0</v>
      </c>
      <c r="M226" s="106">
        <f t="shared" si="39"/>
        <v>0</v>
      </c>
      <c r="N226" s="1133"/>
      <c r="O226" s="109">
        <f t="shared" si="35"/>
        <v>0</v>
      </c>
      <c r="P226" s="1137">
        <f t="shared" si="38"/>
        <v>0</v>
      </c>
      <c r="Q226" s="1131"/>
    </row>
    <row r="227" spans="2:17">
      <c r="B227" s="1132"/>
      <c r="C227" s="1134"/>
      <c r="D227" s="1134"/>
      <c r="E227" s="1134"/>
      <c r="F227" s="1134"/>
      <c r="G227" s="1134"/>
      <c r="H227" s="1135">
        <f t="shared" si="36"/>
        <v>0</v>
      </c>
      <c r="J227" s="1144"/>
      <c r="K227" s="1135">
        <f t="shared" si="37"/>
        <v>0</v>
      </c>
      <c r="M227" s="106">
        <f t="shared" si="39"/>
        <v>0</v>
      </c>
      <c r="N227" s="1133"/>
      <c r="O227" s="109">
        <f t="shared" si="35"/>
        <v>0</v>
      </c>
      <c r="P227" s="1137">
        <f t="shared" si="38"/>
        <v>0</v>
      </c>
      <c r="Q227" s="1131"/>
    </row>
    <row r="228" spans="2:17">
      <c r="B228" s="1132"/>
      <c r="C228" s="1134"/>
      <c r="D228" s="1134"/>
      <c r="E228" s="1134"/>
      <c r="F228" s="1134"/>
      <c r="G228" s="1134"/>
      <c r="H228" s="1135">
        <f t="shared" si="36"/>
        <v>0</v>
      </c>
      <c r="J228" s="1144"/>
      <c r="K228" s="1135">
        <f t="shared" si="37"/>
        <v>0</v>
      </c>
      <c r="M228" s="106">
        <f t="shared" si="39"/>
        <v>0</v>
      </c>
      <c r="N228" s="1133"/>
      <c r="O228" s="109">
        <f t="shared" si="35"/>
        <v>0</v>
      </c>
      <c r="P228" s="1137">
        <f t="shared" si="38"/>
        <v>0</v>
      </c>
      <c r="Q228" s="1131"/>
    </row>
    <row r="229" spans="2:17">
      <c r="B229" s="1132"/>
      <c r="C229" s="1134"/>
      <c r="D229" s="1134"/>
      <c r="E229" s="1134"/>
      <c r="F229" s="1134"/>
      <c r="G229" s="1134"/>
      <c r="H229" s="1135">
        <f t="shared" si="36"/>
        <v>0</v>
      </c>
      <c r="J229" s="1144"/>
      <c r="K229" s="1135">
        <f t="shared" si="37"/>
        <v>0</v>
      </c>
      <c r="M229" s="106">
        <f t="shared" si="39"/>
        <v>0</v>
      </c>
      <c r="N229" s="1133"/>
      <c r="O229" s="109">
        <f t="shared" si="35"/>
        <v>0</v>
      </c>
      <c r="P229" s="1137">
        <f t="shared" si="38"/>
        <v>0</v>
      </c>
      <c r="Q229" s="1131"/>
    </row>
    <row r="230" spans="2:17">
      <c r="B230" s="1132"/>
      <c r="C230" s="1134"/>
      <c r="D230" s="1134"/>
      <c r="E230" s="1134"/>
      <c r="F230" s="1134"/>
      <c r="G230" s="1134"/>
      <c r="H230" s="1135">
        <f t="shared" si="36"/>
        <v>0</v>
      </c>
      <c r="J230" s="1144"/>
      <c r="K230" s="1135">
        <f t="shared" si="37"/>
        <v>0</v>
      </c>
      <c r="M230" s="106">
        <f t="shared" si="39"/>
        <v>0</v>
      </c>
      <c r="N230" s="1133"/>
      <c r="O230" s="109">
        <f t="shared" si="35"/>
        <v>0</v>
      </c>
      <c r="P230" s="1137">
        <f t="shared" si="38"/>
        <v>0</v>
      </c>
      <c r="Q230" s="1131"/>
    </row>
    <row r="231" spans="2:17">
      <c r="B231" s="1132"/>
      <c r="C231" s="1134"/>
      <c r="D231" s="1134"/>
      <c r="E231" s="1134"/>
      <c r="F231" s="1134"/>
      <c r="G231" s="1134"/>
      <c r="H231" s="1135">
        <f t="shared" si="36"/>
        <v>0</v>
      </c>
      <c r="J231" s="1144"/>
      <c r="K231" s="1135">
        <f t="shared" si="37"/>
        <v>0</v>
      </c>
      <c r="M231" s="106">
        <f t="shared" si="39"/>
        <v>0</v>
      </c>
      <c r="N231" s="1133"/>
      <c r="O231" s="109">
        <f t="shared" si="35"/>
        <v>0</v>
      </c>
      <c r="P231" s="1137">
        <f t="shared" si="38"/>
        <v>0</v>
      </c>
      <c r="Q231" s="1131"/>
    </row>
    <row r="232" spans="2:17">
      <c r="B232" s="1132"/>
      <c r="C232" s="1134"/>
      <c r="D232" s="1134"/>
      <c r="E232" s="1134"/>
      <c r="F232" s="1134"/>
      <c r="G232" s="1134"/>
      <c r="H232" s="1135">
        <f t="shared" si="36"/>
        <v>0</v>
      </c>
      <c r="J232" s="1144"/>
      <c r="K232" s="1135">
        <f t="shared" si="37"/>
        <v>0</v>
      </c>
      <c r="M232" s="106">
        <f t="shared" si="39"/>
        <v>0</v>
      </c>
      <c r="N232" s="1133"/>
      <c r="O232" s="109">
        <f t="shared" si="35"/>
        <v>0</v>
      </c>
      <c r="P232" s="1137">
        <f t="shared" si="38"/>
        <v>0</v>
      </c>
      <c r="Q232" s="1131"/>
    </row>
    <row r="233" spans="2:17">
      <c r="B233" s="1132"/>
      <c r="C233" s="1134"/>
      <c r="D233" s="1134"/>
      <c r="E233" s="1134"/>
      <c r="F233" s="1134"/>
      <c r="G233" s="1134"/>
      <c r="H233" s="1135">
        <f t="shared" si="36"/>
        <v>0</v>
      </c>
      <c r="J233" s="1144"/>
      <c r="K233" s="1135">
        <f t="shared" si="37"/>
        <v>0</v>
      </c>
      <c r="M233" s="106">
        <f t="shared" si="39"/>
        <v>0</v>
      </c>
      <c r="N233" s="1133"/>
      <c r="O233" s="109">
        <f t="shared" si="35"/>
        <v>0</v>
      </c>
      <c r="P233" s="1137">
        <f t="shared" si="38"/>
        <v>0</v>
      </c>
      <c r="Q233" s="1131"/>
    </row>
    <row r="234" spans="2:17">
      <c r="B234" s="1132"/>
      <c r="C234" s="1134"/>
      <c r="D234" s="1134"/>
      <c r="E234" s="1134"/>
      <c r="F234" s="1134"/>
      <c r="G234" s="1134"/>
      <c r="H234" s="1135">
        <f t="shared" si="36"/>
        <v>0</v>
      </c>
      <c r="J234" s="1144"/>
      <c r="K234" s="1135">
        <f t="shared" si="37"/>
        <v>0</v>
      </c>
      <c r="M234" s="106">
        <f t="shared" si="39"/>
        <v>0</v>
      </c>
      <c r="N234" s="1133"/>
      <c r="O234" s="109">
        <f t="shared" si="35"/>
        <v>0</v>
      </c>
      <c r="P234" s="1137">
        <f t="shared" si="38"/>
        <v>0</v>
      </c>
      <c r="Q234" s="1131"/>
    </row>
    <row r="235" spans="2:17">
      <c r="B235" s="1132"/>
      <c r="C235" s="1134"/>
      <c r="D235" s="1134"/>
      <c r="E235" s="1134"/>
      <c r="F235" s="1134"/>
      <c r="G235" s="1134"/>
      <c r="H235" s="1135">
        <f t="shared" si="36"/>
        <v>0</v>
      </c>
      <c r="J235" s="1144"/>
      <c r="K235" s="1135">
        <f t="shared" si="37"/>
        <v>0</v>
      </c>
      <c r="M235" s="106">
        <f t="shared" si="39"/>
        <v>0</v>
      </c>
      <c r="N235" s="1133"/>
      <c r="O235" s="109">
        <f t="shared" si="35"/>
        <v>0</v>
      </c>
      <c r="P235" s="1137">
        <f t="shared" si="38"/>
        <v>0</v>
      </c>
      <c r="Q235" s="1131"/>
    </row>
    <row r="236" spans="2:17">
      <c r="B236" s="1132"/>
      <c r="C236" s="1134"/>
      <c r="D236" s="1134"/>
      <c r="E236" s="1134"/>
      <c r="F236" s="1134"/>
      <c r="G236" s="1134"/>
      <c r="H236" s="1135">
        <f t="shared" si="36"/>
        <v>0</v>
      </c>
      <c r="J236" s="1144"/>
      <c r="K236" s="1135">
        <f t="shared" si="37"/>
        <v>0</v>
      </c>
      <c r="M236" s="106">
        <f t="shared" si="39"/>
        <v>0</v>
      </c>
      <c r="N236" s="1133"/>
      <c r="O236" s="109">
        <f t="shared" si="35"/>
        <v>0</v>
      </c>
      <c r="P236" s="1137">
        <f t="shared" si="38"/>
        <v>0</v>
      </c>
      <c r="Q236" s="1131"/>
    </row>
    <row r="237" spans="2:17">
      <c r="B237" s="1132"/>
      <c r="C237" s="1134"/>
      <c r="D237" s="1134"/>
      <c r="E237" s="1134"/>
      <c r="F237" s="1134"/>
      <c r="G237" s="1134"/>
      <c r="H237" s="1135">
        <f t="shared" si="36"/>
        <v>0</v>
      </c>
      <c r="J237" s="1144"/>
      <c r="K237" s="1135">
        <f t="shared" si="37"/>
        <v>0</v>
      </c>
      <c r="M237" s="106">
        <f t="shared" si="39"/>
        <v>0</v>
      </c>
      <c r="N237" s="1133"/>
      <c r="O237" s="109">
        <f t="shared" si="35"/>
        <v>0</v>
      </c>
      <c r="P237" s="1137">
        <f t="shared" si="38"/>
        <v>0</v>
      </c>
      <c r="Q237" s="1131"/>
    </row>
    <row r="238" spans="2:17">
      <c r="B238" s="1132"/>
      <c r="C238" s="1134"/>
      <c r="D238" s="1134"/>
      <c r="E238" s="1134"/>
      <c r="F238" s="1134"/>
      <c r="G238" s="1134"/>
      <c r="H238" s="1135">
        <f>+C238+D238-E238-F238</f>
        <v>0</v>
      </c>
      <c r="J238" s="1144"/>
      <c r="K238" s="1135">
        <f>+H238-J238</f>
        <v>0</v>
      </c>
      <c r="M238" s="106">
        <f>+IF(ISERROR(K238/(F238+J238)),0,K238/(F238+J238))</f>
        <v>0</v>
      </c>
      <c r="N238" s="1133"/>
      <c r="O238" s="109">
        <f t="shared" si="35"/>
        <v>0</v>
      </c>
      <c r="P238" s="1137">
        <f>(M238^2*O238)*100</f>
        <v>0</v>
      </c>
      <c r="Q238" s="1131"/>
    </row>
    <row r="239" spans="2:17">
      <c r="B239" s="1132"/>
      <c r="C239" s="1134"/>
      <c r="D239" s="1134"/>
      <c r="E239" s="1134"/>
      <c r="F239" s="1134"/>
      <c r="G239" s="1134"/>
      <c r="H239" s="1135">
        <f t="shared" ref="H239:H262" si="40">+C239+D239-E239-F239</f>
        <v>0</v>
      </c>
      <c r="J239" s="1144"/>
      <c r="K239" s="1135">
        <f t="shared" ref="K239:K262" si="41">+H239-J239</f>
        <v>0</v>
      </c>
      <c r="M239" s="106">
        <f>+IF(ISERROR(K239/(F239+J239)),0,K239/(F239+J239))</f>
        <v>0</v>
      </c>
      <c r="N239" s="1133"/>
      <c r="O239" s="109">
        <f t="shared" si="35"/>
        <v>0</v>
      </c>
      <c r="P239" s="1137">
        <f t="shared" ref="P239:P261" si="42">(M239^2*O239)*100</f>
        <v>0</v>
      </c>
      <c r="Q239" s="1131"/>
    </row>
    <row r="240" spans="2:17">
      <c r="B240" s="1132"/>
      <c r="C240" s="1134"/>
      <c r="D240" s="1134"/>
      <c r="E240" s="1134"/>
      <c r="F240" s="1134"/>
      <c r="G240" s="1134"/>
      <c r="H240" s="1135">
        <f t="shared" si="40"/>
        <v>0</v>
      </c>
      <c r="J240" s="1144"/>
      <c r="K240" s="1135">
        <f t="shared" si="41"/>
        <v>0</v>
      </c>
      <c r="M240" s="106">
        <f t="shared" ref="M240:M262" si="43">+IF(ISERROR(K240/(F240+J240)),0,K240/(F240+J240))</f>
        <v>0</v>
      </c>
      <c r="N240" s="1133"/>
      <c r="O240" s="109">
        <f t="shared" si="35"/>
        <v>0</v>
      </c>
      <c r="P240" s="1137">
        <f t="shared" si="42"/>
        <v>0</v>
      </c>
      <c r="Q240" s="1131"/>
    </row>
    <row r="241" spans="2:17">
      <c r="B241" s="1132"/>
      <c r="C241" s="1134"/>
      <c r="D241" s="1134"/>
      <c r="E241" s="1134"/>
      <c r="F241" s="1134"/>
      <c r="G241" s="1134"/>
      <c r="H241" s="1135">
        <f t="shared" si="40"/>
        <v>0</v>
      </c>
      <c r="J241" s="1144"/>
      <c r="K241" s="1135">
        <f t="shared" si="41"/>
        <v>0</v>
      </c>
      <c r="M241" s="106">
        <f t="shared" si="43"/>
        <v>0</v>
      </c>
      <c r="N241" s="1133"/>
      <c r="O241" s="109">
        <f t="shared" si="35"/>
        <v>0</v>
      </c>
      <c r="P241" s="1137">
        <f t="shared" si="42"/>
        <v>0</v>
      </c>
      <c r="Q241" s="1131"/>
    </row>
    <row r="242" spans="2:17">
      <c r="B242" s="1132"/>
      <c r="C242" s="1134"/>
      <c r="D242" s="1134"/>
      <c r="E242" s="1134"/>
      <c r="F242" s="1134"/>
      <c r="G242" s="1134"/>
      <c r="H242" s="1135">
        <f t="shared" si="40"/>
        <v>0</v>
      </c>
      <c r="J242" s="1144"/>
      <c r="K242" s="1135">
        <f t="shared" si="41"/>
        <v>0</v>
      </c>
      <c r="M242" s="106">
        <f t="shared" si="43"/>
        <v>0</v>
      </c>
      <c r="N242" s="1133"/>
      <c r="O242" s="109">
        <f t="shared" si="35"/>
        <v>0</v>
      </c>
      <c r="P242" s="1137">
        <f t="shared" si="42"/>
        <v>0</v>
      </c>
      <c r="Q242" s="1131"/>
    </row>
    <row r="243" spans="2:17">
      <c r="B243" s="1132"/>
      <c r="C243" s="1134"/>
      <c r="D243" s="1134"/>
      <c r="E243" s="1134"/>
      <c r="F243" s="1134"/>
      <c r="G243" s="1134"/>
      <c r="H243" s="1135">
        <f t="shared" si="40"/>
        <v>0</v>
      </c>
      <c r="J243" s="1144"/>
      <c r="K243" s="1135">
        <f t="shared" si="41"/>
        <v>0</v>
      </c>
      <c r="M243" s="106">
        <f t="shared" si="43"/>
        <v>0</v>
      </c>
      <c r="N243" s="1133"/>
      <c r="O243" s="109">
        <f t="shared" si="35"/>
        <v>0</v>
      </c>
      <c r="P243" s="1137">
        <f t="shared" si="42"/>
        <v>0</v>
      </c>
      <c r="Q243" s="1131"/>
    </row>
    <row r="244" spans="2:17">
      <c r="B244" s="1132"/>
      <c r="C244" s="1134"/>
      <c r="D244" s="1134"/>
      <c r="E244" s="1134"/>
      <c r="F244" s="1134"/>
      <c r="G244" s="1134"/>
      <c r="H244" s="1135">
        <f t="shared" si="40"/>
        <v>0</v>
      </c>
      <c r="J244" s="1144"/>
      <c r="K244" s="1135">
        <f t="shared" si="41"/>
        <v>0</v>
      </c>
      <c r="M244" s="106">
        <f t="shared" si="43"/>
        <v>0</v>
      </c>
      <c r="N244" s="1133"/>
      <c r="O244" s="109">
        <f t="shared" si="35"/>
        <v>0</v>
      </c>
      <c r="P244" s="1137">
        <f t="shared" si="42"/>
        <v>0</v>
      </c>
      <c r="Q244" s="1131"/>
    </row>
    <row r="245" spans="2:17">
      <c r="B245" s="1132"/>
      <c r="C245" s="1134"/>
      <c r="D245" s="1134"/>
      <c r="E245" s="1134"/>
      <c r="F245" s="1134"/>
      <c r="G245" s="1134"/>
      <c r="H245" s="1135">
        <f t="shared" si="40"/>
        <v>0</v>
      </c>
      <c r="J245" s="1144"/>
      <c r="K245" s="1135">
        <f t="shared" si="41"/>
        <v>0</v>
      </c>
      <c r="M245" s="106">
        <f t="shared" si="43"/>
        <v>0</v>
      </c>
      <c r="N245" s="1133"/>
      <c r="O245" s="109">
        <f t="shared" si="35"/>
        <v>0</v>
      </c>
      <c r="P245" s="1137">
        <f t="shared" si="42"/>
        <v>0</v>
      </c>
      <c r="Q245" s="1131"/>
    </row>
    <row r="246" spans="2:17">
      <c r="B246" s="1132"/>
      <c r="C246" s="1134"/>
      <c r="D246" s="1134"/>
      <c r="E246" s="1134"/>
      <c r="F246" s="1134"/>
      <c r="G246" s="1134"/>
      <c r="H246" s="1135">
        <f t="shared" si="40"/>
        <v>0</v>
      </c>
      <c r="J246" s="1144"/>
      <c r="K246" s="1135">
        <f t="shared" si="41"/>
        <v>0</v>
      </c>
      <c r="M246" s="106">
        <f t="shared" si="43"/>
        <v>0</v>
      </c>
      <c r="N246" s="1133"/>
      <c r="O246" s="109">
        <f t="shared" si="35"/>
        <v>0</v>
      </c>
      <c r="P246" s="1137">
        <f t="shared" si="42"/>
        <v>0</v>
      </c>
      <c r="Q246" s="1131"/>
    </row>
    <row r="247" spans="2:17">
      <c r="B247" s="1132"/>
      <c r="C247" s="1134"/>
      <c r="D247" s="1134"/>
      <c r="E247" s="1134"/>
      <c r="F247" s="1134"/>
      <c r="G247" s="1134"/>
      <c r="H247" s="1135">
        <f t="shared" si="40"/>
        <v>0</v>
      </c>
      <c r="J247" s="1144"/>
      <c r="K247" s="1135">
        <f t="shared" si="41"/>
        <v>0</v>
      </c>
      <c r="M247" s="106">
        <f t="shared" si="43"/>
        <v>0</v>
      </c>
      <c r="N247" s="1133"/>
      <c r="O247" s="109">
        <f t="shared" si="35"/>
        <v>0</v>
      </c>
      <c r="P247" s="1137">
        <f t="shared" si="42"/>
        <v>0</v>
      </c>
      <c r="Q247" s="1131"/>
    </row>
    <row r="248" spans="2:17">
      <c r="B248" s="1132"/>
      <c r="C248" s="1134"/>
      <c r="D248" s="1134"/>
      <c r="E248" s="1134"/>
      <c r="F248" s="1134"/>
      <c r="G248" s="1134"/>
      <c r="H248" s="1135">
        <f t="shared" si="40"/>
        <v>0</v>
      </c>
      <c r="J248" s="1144"/>
      <c r="K248" s="1135">
        <f t="shared" si="41"/>
        <v>0</v>
      </c>
      <c r="M248" s="106">
        <f t="shared" si="43"/>
        <v>0</v>
      </c>
      <c r="N248" s="1133"/>
      <c r="O248" s="109">
        <f t="shared" si="35"/>
        <v>0</v>
      </c>
      <c r="P248" s="1137">
        <f t="shared" si="42"/>
        <v>0</v>
      </c>
      <c r="Q248" s="1131"/>
    </row>
    <row r="249" spans="2:17">
      <c r="B249" s="1132"/>
      <c r="C249" s="1134"/>
      <c r="D249" s="1134"/>
      <c r="E249" s="1134"/>
      <c r="F249" s="1134"/>
      <c r="G249" s="1134"/>
      <c r="H249" s="1135">
        <f t="shared" si="40"/>
        <v>0</v>
      </c>
      <c r="J249" s="1144"/>
      <c r="K249" s="1135">
        <f t="shared" si="41"/>
        <v>0</v>
      </c>
      <c r="M249" s="106">
        <f t="shared" si="43"/>
        <v>0</v>
      </c>
      <c r="N249" s="1133"/>
      <c r="O249" s="109">
        <f t="shared" si="35"/>
        <v>0</v>
      </c>
      <c r="P249" s="1137">
        <f t="shared" si="42"/>
        <v>0</v>
      </c>
      <c r="Q249" s="1131"/>
    </row>
    <row r="250" spans="2:17">
      <c r="B250" s="1132"/>
      <c r="C250" s="1134"/>
      <c r="D250" s="1134"/>
      <c r="E250" s="1134"/>
      <c r="F250" s="1134"/>
      <c r="G250" s="1134"/>
      <c r="H250" s="1135">
        <f t="shared" si="40"/>
        <v>0</v>
      </c>
      <c r="J250" s="1144"/>
      <c r="K250" s="1135">
        <f t="shared" si="41"/>
        <v>0</v>
      </c>
      <c r="M250" s="106">
        <f t="shared" si="43"/>
        <v>0</v>
      </c>
      <c r="N250" s="1133"/>
      <c r="O250" s="109">
        <f t="shared" si="35"/>
        <v>0</v>
      </c>
      <c r="P250" s="1137">
        <f t="shared" si="42"/>
        <v>0</v>
      </c>
      <c r="Q250" s="1131"/>
    </row>
    <row r="251" spans="2:17">
      <c r="B251" s="1132"/>
      <c r="C251" s="1134"/>
      <c r="D251" s="1134"/>
      <c r="E251" s="1134"/>
      <c r="F251" s="1134"/>
      <c r="G251" s="1134"/>
      <c r="H251" s="1135">
        <f t="shared" si="40"/>
        <v>0</v>
      </c>
      <c r="J251" s="1144"/>
      <c r="K251" s="1135">
        <f t="shared" si="41"/>
        <v>0</v>
      </c>
      <c r="M251" s="106">
        <f t="shared" si="43"/>
        <v>0</v>
      </c>
      <c r="N251" s="1133"/>
      <c r="O251" s="109">
        <f t="shared" si="35"/>
        <v>0</v>
      </c>
      <c r="P251" s="1137">
        <f t="shared" si="42"/>
        <v>0</v>
      </c>
      <c r="Q251" s="1131"/>
    </row>
    <row r="252" spans="2:17">
      <c r="B252" s="1132"/>
      <c r="C252" s="1134"/>
      <c r="D252" s="1134"/>
      <c r="E252" s="1134"/>
      <c r="F252" s="1134"/>
      <c r="G252" s="1134"/>
      <c r="H252" s="1135">
        <f t="shared" si="40"/>
        <v>0</v>
      </c>
      <c r="J252" s="1144"/>
      <c r="K252" s="1135">
        <f t="shared" si="41"/>
        <v>0</v>
      </c>
      <c r="M252" s="106">
        <f t="shared" si="43"/>
        <v>0</v>
      </c>
      <c r="N252" s="1133"/>
      <c r="O252" s="109">
        <f t="shared" si="35"/>
        <v>0</v>
      </c>
      <c r="P252" s="1137">
        <f t="shared" si="42"/>
        <v>0</v>
      </c>
      <c r="Q252" s="1131"/>
    </row>
    <row r="253" spans="2:17">
      <c r="B253" s="1132"/>
      <c r="C253" s="1134"/>
      <c r="D253" s="1134"/>
      <c r="E253" s="1134"/>
      <c r="F253" s="1134"/>
      <c r="G253" s="1134"/>
      <c r="H253" s="1135">
        <f t="shared" si="40"/>
        <v>0</v>
      </c>
      <c r="J253" s="1144"/>
      <c r="K253" s="1135">
        <f t="shared" si="41"/>
        <v>0</v>
      </c>
      <c r="M253" s="106">
        <f t="shared" si="43"/>
        <v>0</v>
      </c>
      <c r="N253" s="1133"/>
      <c r="O253" s="109">
        <f t="shared" si="35"/>
        <v>0</v>
      </c>
      <c r="P253" s="1137">
        <f t="shared" si="42"/>
        <v>0</v>
      </c>
      <c r="Q253" s="1131"/>
    </row>
    <row r="254" spans="2:17">
      <c r="B254" s="1132"/>
      <c r="C254" s="1134"/>
      <c r="D254" s="1134"/>
      <c r="E254" s="1134"/>
      <c r="F254" s="1134"/>
      <c r="G254" s="1134"/>
      <c r="H254" s="1135">
        <f t="shared" si="40"/>
        <v>0</v>
      </c>
      <c r="J254" s="1144"/>
      <c r="K254" s="1135">
        <f t="shared" si="41"/>
        <v>0</v>
      </c>
      <c r="M254" s="106">
        <f t="shared" si="43"/>
        <v>0</v>
      </c>
      <c r="N254" s="1133"/>
      <c r="O254" s="109">
        <f t="shared" si="35"/>
        <v>0</v>
      </c>
      <c r="P254" s="1137">
        <f t="shared" si="42"/>
        <v>0</v>
      </c>
      <c r="Q254" s="1131"/>
    </row>
    <row r="255" spans="2:17">
      <c r="B255" s="1132"/>
      <c r="C255" s="1134"/>
      <c r="D255" s="1134"/>
      <c r="E255" s="1134"/>
      <c r="F255" s="1134"/>
      <c r="G255" s="1134"/>
      <c r="H255" s="1135">
        <f t="shared" si="40"/>
        <v>0</v>
      </c>
      <c r="J255" s="1144"/>
      <c r="K255" s="1135">
        <f t="shared" si="41"/>
        <v>0</v>
      </c>
      <c r="M255" s="106">
        <f t="shared" si="43"/>
        <v>0</v>
      </c>
      <c r="N255" s="1133"/>
      <c r="O255" s="109">
        <f t="shared" si="35"/>
        <v>0</v>
      </c>
      <c r="P255" s="1137">
        <f t="shared" si="42"/>
        <v>0</v>
      </c>
      <c r="Q255" s="1131"/>
    </row>
    <row r="256" spans="2:17">
      <c r="B256" s="1132"/>
      <c r="C256" s="1134"/>
      <c r="D256" s="1134"/>
      <c r="E256" s="1134"/>
      <c r="F256" s="1134"/>
      <c r="G256" s="1134"/>
      <c r="H256" s="1135">
        <f t="shared" si="40"/>
        <v>0</v>
      </c>
      <c r="J256" s="1144"/>
      <c r="K256" s="1135">
        <f t="shared" si="41"/>
        <v>0</v>
      </c>
      <c r="M256" s="106">
        <f t="shared" si="43"/>
        <v>0</v>
      </c>
      <c r="N256" s="1133"/>
      <c r="O256" s="109">
        <f t="shared" si="35"/>
        <v>0</v>
      </c>
      <c r="P256" s="1137">
        <f t="shared" si="42"/>
        <v>0</v>
      </c>
      <c r="Q256" s="1131"/>
    </row>
    <row r="257" spans="1:18">
      <c r="B257" s="1132"/>
      <c r="C257" s="1134"/>
      <c r="D257" s="1134"/>
      <c r="E257" s="1134"/>
      <c r="F257" s="1134"/>
      <c r="G257" s="1134"/>
      <c r="H257" s="1135">
        <f t="shared" si="40"/>
        <v>0</v>
      </c>
      <c r="J257" s="1144"/>
      <c r="K257" s="1135">
        <f t="shared" si="41"/>
        <v>0</v>
      </c>
      <c r="M257" s="106">
        <f t="shared" si="43"/>
        <v>0</v>
      </c>
      <c r="N257" s="1133"/>
      <c r="O257" s="109">
        <f t="shared" si="35"/>
        <v>0</v>
      </c>
      <c r="P257" s="1137">
        <f t="shared" si="42"/>
        <v>0</v>
      </c>
      <c r="Q257" s="1131"/>
    </row>
    <row r="258" spans="1:18">
      <c r="B258" s="1132"/>
      <c r="C258" s="1134"/>
      <c r="D258" s="1134"/>
      <c r="E258" s="1134"/>
      <c r="F258" s="1134"/>
      <c r="G258" s="1134"/>
      <c r="H258" s="1135">
        <f t="shared" si="40"/>
        <v>0</v>
      </c>
      <c r="J258" s="1144"/>
      <c r="K258" s="1135">
        <f t="shared" si="41"/>
        <v>0</v>
      </c>
      <c r="M258" s="106">
        <f t="shared" si="43"/>
        <v>0</v>
      </c>
      <c r="N258" s="1133"/>
      <c r="O258" s="109">
        <f t="shared" si="35"/>
        <v>0</v>
      </c>
      <c r="P258" s="1137">
        <f t="shared" si="42"/>
        <v>0</v>
      </c>
      <c r="Q258" s="1131"/>
    </row>
    <row r="259" spans="1:18">
      <c r="B259" s="1132"/>
      <c r="C259" s="1134"/>
      <c r="D259" s="1134"/>
      <c r="E259" s="1134"/>
      <c r="F259" s="1134"/>
      <c r="G259" s="1134"/>
      <c r="H259" s="1135">
        <f t="shared" si="40"/>
        <v>0</v>
      </c>
      <c r="J259" s="1144"/>
      <c r="K259" s="1135">
        <f t="shared" si="41"/>
        <v>0</v>
      </c>
      <c r="M259" s="106">
        <f t="shared" si="43"/>
        <v>0</v>
      </c>
      <c r="N259" s="1133"/>
      <c r="O259" s="109">
        <f t="shared" si="35"/>
        <v>0</v>
      </c>
      <c r="P259" s="1137">
        <f t="shared" si="42"/>
        <v>0</v>
      </c>
      <c r="Q259" s="1131"/>
    </row>
    <row r="260" spans="1:18">
      <c r="B260" s="1132"/>
      <c r="C260" s="1134"/>
      <c r="D260" s="1134"/>
      <c r="E260" s="1134"/>
      <c r="F260" s="1134"/>
      <c r="G260" s="1134"/>
      <c r="H260" s="1135">
        <f t="shared" si="40"/>
        <v>0</v>
      </c>
      <c r="J260" s="1144"/>
      <c r="K260" s="1135">
        <f t="shared" si="41"/>
        <v>0</v>
      </c>
      <c r="M260" s="106">
        <f t="shared" si="43"/>
        <v>0</v>
      </c>
      <c r="N260" s="1133"/>
      <c r="O260" s="109">
        <f t="shared" si="35"/>
        <v>0</v>
      </c>
      <c r="P260" s="1137">
        <f t="shared" si="42"/>
        <v>0</v>
      </c>
      <c r="Q260" s="1131"/>
    </row>
    <row r="261" spans="1:18">
      <c r="B261" s="1132"/>
      <c r="C261" s="1134"/>
      <c r="D261" s="1134"/>
      <c r="E261" s="1134"/>
      <c r="F261" s="1134"/>
      <c r="G261" s="1134"/>
      <c r="H261" s="1135">
        <f t="shared" si="40"/>
        <v>0</v>
      </c>
      <c r="J261" s="1144"/>
      <c r="K261" s="1135">
        <f t="shared" si="41"/>
        <v>0</v>
      </c>
      <c r="M261" s="106">
        <f t="shared" si="43"/>
        <v>0</v>
      </c>
      <c r="N261" s="1133"/>
      <c r="O261" s="109">
        <f t="shared" si="35"/>
        <v>0</v>
      </c>
      <c r="P261" s="1137">
        <f t="shared" si="42"/>
        <v>0</v>
      </c>
      <c r="Q261" s="1131"/>
    </row>
    <row r="262" spans="1:18" ht="12.95" thickBot="1">
      <c r="B262" s="1145"/>
      <c r="C262" s="1146"/>
      <c r="D262" s="1146"/>
      <c r="E262" s="1146"/>
      <c r="F262" s="1146"/>
      <c r="G262" s="1146"/>
      <c r="H262" s="1147">
        <f t="shared" si="40"/>
        <v>0</v>
      </c>
      <c r="J262" s="1148"/>
      <c r="K262" s="1147">
        <f t="shared" si="41"/>
        <v>0</v>
      </c>
      <c r="M262" s="107">
        <f t="shared" si="43"/>
        <v>0</v>
      </c>
      <c r="N262" s="1149"/>
      <c r="O262" s="110">
        <f t="shared" si="35"/>
        <v>0</v>
      </c>
      <c r="P262" s="1150">
        <f>(M262^2*O262)*100</f>
        <v>0</v>
      </c>
      <c r="Q262" s="1131"/>
    </row>
    <row r="263" spans="1:18" ht="13.5" thickBot="1">
      <c r="B263" s="1151" t="s">
        <v>1012</v>
      </c>
      <c r="C263" s="1152">
        <f>SUM(C13:C262)</f>
        <v>2166.4537370600269</v>
      </c>
      <c r="D263" s="1152">
        <f>SUM(D13:D262)</f>
        <v>0</v>
      </c>
      <c r="E263" s="1152">
        <f>SUM(E13:E262)</f>
        <v>0</v>
      </c>
      <c r="F263" s="1152">
        <f>SUM(F13:F262)</f>
        <v>1892.8658284199994</v>
      </c>
      <c r="G263" s="1153">
        <f>SUM(G13:G262)</f>
        <v>1837.7338140000006</v>
      </c>
      <c r="H263" s="1131"/>
      <c r="I263" s="1154"/>
      <c r="J263" s="1154"/>
      <c r="K263" s="1131"/>
      <c r="L263" s="1154"/>
      <c r="M263" s="97"/>
      <c r="N263" s="1155">
        <f>SUM(N13:N262)</f>
        <v>5350.5026206057728</v>
      </c>
      <c r="O263" s="98"/>
      <c r="P263" s="1155">
        <f>SUM(P13:P262)</f>
        <v>1.1620554097141178</v>
      </c>
      <c r="Q263" s="1156">
        <f>(1-P263)*100</f>
        <v>-16.205540971411779</v>
      </c>
      <c r="R263" s="1157">
        <f>1-SUM(O13:O262)</f>
        <v>0.45763167995219378</v>
      </c>
    </row>
    <row r="267" spans="1:18" ht="12.95" thickBot="1"/>
    <row r="268" spans="1:18" customFormat="1">
      <c r="A268" s="13" t="s">
        <v>145</v>
      </c>
      <c r="B268" s="3"/>
      <c r="C268" s="197" t="s">
        <v>40</v>
      </c>
      <c r="D268" s="3"/>
      <c r="E268" s="3"/>
      <c r="F268" s="14"/>
    </row>
    <row r="269" spans="1:18" customFormat="1">
      <c r="A269" s="8"/>
      <c r="B269" s="1269"/>
      <c r="C269" s="1269"/>
      <c r="D269" s="1269"/>
      <c r="E269" s="1269"/>
      <c r="F269" s="15"/>
    </row>
    <row r="270" spans="1:18" customFormat="1">
      <c r="A270" s="6" t="s">
        <v>41</v>
      </c>
      <c r="B270" s="1269"/>
      <c r="C270" s="207" t="s">
        <v>40</v>
      </c>
      <c r="D270" s="1269"/>
      <c r="E270" s="1269"/>
      <c r="F270" s="15"/>
    </row>
    <row r="271" spans="1:18" customFormat="1">
      <c r="A271" s="8"/>
      <c r="B271" s="1269"/>
      <c r="C271" s="1269"/>
      <c r="D271" s="1269"/>
      <c r="E271" s="1269"/>
      <c r="F271" s="15"/>
    </row>
    <row r="272" spans="1:18" customFormat="1" ht="12.95" thickBot="1">
      <c r="A272" s="9" t="s">
        <v>523</v>
      </c>
      <c r="B272" s="10"/>
      <c r="C272" s="10" t="s">
        <v>1017</v>
      </c>
      <c r="D272" s="10"/>
      <c r="E272" s="10"/>
      <c r="F272" s="16"/>
    </row>
    <row r="273" spans="2:3" customFormat="1"/>
    <row r="275" spans="2:3">
      <c r="B275" s="17"/>
      <c r="C275" s="43"/>
    </row>
  </sheetData>
  <mergeCells count="17">
    <mergeCell ref="P10:P12"/>
    <mergeCell ref="Q10:Q12"/>
    <mergeCell ref="R10:R12"/>
    <mergeCell ref="H10:H12"/>
    <mergeCell ref="J10:J12"/>
    <mergeCell ref="K10:K12"/>
    <mergeCell ref="M10:M12"/>
    <mergeCell ref="N10:N12"/>
    <mergeCell ref="O10:O12"/>
    <mergeCell ref="A6:G6"/>
    <mergeCell ref="A7:G7"/>
    <mergeCell ref="B10:B12"/>
    <mergeCell ref="C10:C12"/>
    <mergeCell ref="D10:D12"/>
    <mergeCell ref="E10:E12"/>
    <mergeCell ref="F10:F12"/>
    <mergeCell ref="G10:G12"/>
  </mergeCells>
  <pageMargins left="0.74803149606299213" right="0.74803149606299213" top="0.98425196850393704" bottom="0.98425196850393704" header="0.51181102362204722" footer="0.51181102362204722"/>
  <pageSetup paperSize="8" scale="30" orientation="portrait" r:id="rId1"/>
  <headerFooter alignWithMargins="0">
    <oddFooter>&amp;R&amp;"CG Omega,Regular" Date: Feb 2010
Revision 13.0&amp;L&amp;"Calibri"&amp;11&amp;K000000&amp;"CG Omega,Regular"Table 8 of 10_x000D_&amp;1#&amp;"Arial"&amp;11&amp;K000000SW Private Commercial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09D90-2697-4473-B8FE-03BFBB804DCF}">
  <sheetPr>
    <pageSetUpPr fitToPage="1"/>
  </sheetPr>
  <dimension ref="A1:R275"/>
  <sheetViews>
    <sheetView zoomScaleNormal="100" zoomScalePageLayoutView="55" workbookViewId="0">
      <selection sqref="A1:XFD1048576"/>
    </sheetView>
  </sheetViews>
  <sheetFormatPr defaultColWidth="9.42578125" defaultRowHeight="12.6"/>
  <cols>
    <col min="1" max="1" width="7.42578125" style="91" customWidth="1"/>
    <col min="2" max="2" width="54.5703125" style="91" customWidth="1"/>
    <col min="3" max="3" width="19.5703125" style="91" customWidth="1"/>
    <col min="4" max="4" width="16.42578125" style="91" customWidth="1"/>
    <col min="5" max="5" width="12.42578125" style="91" customWidth="1"/>
    <col min="6" max="6" width="19.42578125" style="91" customWidth="1"/>
    <col min="7" max="7" width="20.5703125" style="91" customWidth="1"/>
    <col min="8" max="8" width="18" style="91" customWidth="1"/>
    <col min="9" max="9" width="1.5703125" style="91" customWidth="1"/>
    <col min="10" max="10" width="14.5703125" style="91" customWidth="1"/>
    <col min="11" max="11" width="11.5703125" style="91" customWidth="1"/>
    <col min="12" max="12" width="2.42578125" style="91" customWidth="1"/>
    <col min="13" max="13" width="23.5703125" style="91" customWidth="1"/>
    <col min="14" max="14" width="12.42578125" style="91" customWidth="1"/>
    <col min="15" max="15" width="23.5703125" style="91" customWidth="1"/>
    <col min="16" max="16" width="25.5703125" style="91" customWidth="1"/>
    <col min="17" max="17" width="12.5703125" style="91" customWidth="1"/>
    <col min="18" max="18" width="15.5703125" style="91" customWidth="1"/>
    <col min="19" max="16384" width="9.42578125" style="91"/>
  </cols>
  <sheetData>
    <row r="1" spans="1:18" s="86" customFormat="1" ht="20.100000000000001">
      <c r="A1" s="84" t="s">
        <v>0</v>
      </c>
      <c r="B1" s="85"/>
      <c r="C1" s="85"/>
    </row>
    <row r="2" spans="1:18" s="86" customFormat="1" ht="20.100000000000001"/>
    <row r="3" spans="1:18" s="86" customFormat="1" ht="20.100000000000001">
      <c r="A3" s="238" t="str">
        <f>"ANNUAL RETURN INFORMATION REQUIREMENTS "&amp;_reportyear</f>
        <v>ANNUAL RETURN INFORMATION REQUIREMENTS 2023-24</v>
      </c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 ht="15.6">
      <c r="A4" s="89"/>
      <c r="B4" s="90"/>
      <c r="C4" s="90"/>
    </row>
    <row r="5" spans="1:18" ht="15.95" thickBot="1">
      <c r="A5" s="89"/>
      <c r="B5" s="90"/>
      <c r="C5" s="90"/>
    </row>
    <row r="6" spans="1:18" ht="20.100000000000001">
      <c r="A6" s="1349" t="s">
        <v>1</v>
      </c>
      <c r="B6" s="1350"/>
      <c r="C6" s="1350"/>
      <c r="D6" s="1350"/>
      <c r="E6" s="1350"/>
      <c r="F6" s="1350"/>
      <c r="G6" s="1351"/>
    </row>
    <row r="7" spans="1:18" ht="20.100000000000001">
      <c r="A7" s="1352" t="s">
        <v>1018</v>
      </c>
      <c r="B7" s="1353"/>
      <c r="C7" s="1353"/>
      <c r="D7" s="1353"/>
      <c r="E7" s="1353"/>
      <c r="F7" s="1353"/>
      <c r="G7" s="1354"/>
    </row>
    <row r="8" spans="1:18" ht="16.350000000000001" customHeight="1">
      <c r="A8" s="89"/>
      <c r="R8" s="385"/>
    </row>
    <row r="9" spans="1:18" ht="16.350000000000001" customHeight="1">
      <c r="A9" s="89"/>
      <c r="B9" s="92">
        <v>1</v>
      </c>
      <c r="C9" s="93">
        <v>2</v>
      </c>
      <c r="D9" s="93">
        <v>3</v>
      </c>
      <c r="E9" s="93">
        <v>4</v>
      </c>
      <c r="F9" s="93">
        <v>5</v>
      </c>
      <c r="G9" s="93">
        <v>6</v>
      </c>
      <c r="H9" s="94">
        <v>7</v>
      </c>
      <c r="J9" s="95">
        <v>8</v>
      </c>
      <c r="K9" s="96">
        <v>9</v>
      </c>
      <c r="M9" s="92">
        <v>10</v>
      </c>
      <c r="N9" s="93">
        <v>11</v>
      </c>
      <c r="O9" s="93">
        <v>12</v>
      </c>
      <c r="P9" s="93">
        <v>13</v>
      </c>
      <c r="Q9" s="94">
        <v>14</v>
      </c>
      <c r="R9" s="94">
        <v>15</v>
      </c>
    </row>
    <row r="10" spans="1:18" ht="12.6" customHeight="1">
      <c r="B10" s="1355" t="s">
        <v>810</v>
      </c>
      <c r="C10" s="1358" t="s">
        <v>811</v>
      </c>
      <c r="D10" s="1358" t="s">
        <v>812</v>
      </c>
      <c r="E10" s="1358" t="s">
        <v>813</v>
      </c>
      <c r="F10" s="1358" t="s">
        <v>814</v>
      </c>
      <c r="G10" s="1358" t="s">
        <v>815</v>
      </c>
      <c r="H10" s="1362" t="s">
        <v>816</v>
      </c>
      <c r="J10" s="1365" t="s">
        <v>817</v>
      </c>
      <c r="K10" s="1368" t="s">
        <v>818</v>
      </c>
      <c r="M10" s="1355" t="s">
        <v>819</v>
      </c>
      <c r="N10" s="1358" t="s">
        <v>820</v>
      </c>
      <c r="O10" s="1358" t="s">
        <v>821</v>
      </c>
      <c r="P10" s="1358" t="s">
        <v>1019</v>
      </c>
      <c r="Q10" s="1362" t="s">
        <v>764</v>
      </c>
      <c r="R10" s="1362" t="s">
        <v>777</v>
      </c>
    </row>
    <row r="11" spans="1:18" ht="12.6" customHeight="1">
      <c r="B11" s="1356"/>
      <c r="C11" s="1358"/>
      <c r="D11" s="1358"/>
      <c r="E11" s="1358"/>
      <c r="F11" s="1358"/>
      <c r="G11" s="1358"/>
      <c r="H11" s="1363" t="s">
        <v>750</v>
      </c>
      <c r="J11" s="1366" t="s">
        <v>750</v>
      </c>
      <c r="K11" s="1369" t="s">
        <v>750</v>
      </c>
      <c r="M11" s="1356"/>
      <c r="N11" s="1360"/>
      <c r="O11" s="1360"/>
      <c r="P11" s="1360"/>
      <c r="Q11" s="1363"/>
      <c r="R11" s="1363"/>
    </row>
    <row r="12" spans="1:18" ht="13.35" customHeight="1">
      <c r="B12" s="1357"/>
      <c r="C12" s="1359"/>
      <c r="D12" s="1359"/>
      <c r="E12" s="1359"/>
      <c r="F12" s="1359"/>
      <c r="G12" s="1359"/>
      <c r="H12" s="1364"/>
      <c r="J12" s="1367"/>
      <c r="K12" s="1370"/>
      <c r="M12" s="1357"/>
      <c r="N12" s="1361"/>
      <c r="O12" s="1361"/>
      <c r="P12" s="1361"/>
      <c r="Q12" s="1364"/>
      <c r="R12" s="1364"/>
    </row>
    <row r="13" spans="1:18">
      <c r="B13" s="1125" t="s">
        <v>823</v>
      </c>
      <c r="C13" s="1126">
        <v>43.538412590789243</v>
      </c>
      <c r="D13" s="1127">
        <v>0</v>
      </c>
      <c r="E13" s="1127">
        <v>0</v>
      </c>
      <c r="F13" s="1126">
        <v>35.72103654</v>
      </c>
      <c r="G13" s="1126">
        <v>34.680618000000003</v>
      </c>
      <c r="H13" s="1128">
        <f>+C13+D13-E13-F13</f>
        <v>7.8173760507892425</v>
      </c>
      <c r="J13" s="1129">
        <v>2.8576829232000001</v>
      </c>
      <c r="K13" s="1128">
        <f>+H13-J13</f>
        <v>4.959693127589242</v>
      </c>
      <c r="M13" s="105">
        <f>+IF(ISERROR(K13/(F13+J13)),0,K13/(F13+J13))</f>
        <v>0.12856033576542794</v>
      </c>
      <c r="N13" s="1126">
        <v>96.461717997572492</v>
      </c>
      <c r="O13" s="108">
        <f>IF(K13&lt;0,N13/$N$263,0)</f>
        <v>0</v>
      </c>
      <c r="P13" s="1130">
        <f>(M13^2*O13)*100</f>
        <v>0</v>
      </c>
      <c r="Q13" s="1131"/>
    </row>
    <row r="14" spans="1:18">
      <c r="B14" s="1132" t="s">
        <v>824</v>
      </c>
      <c r="C14" s="1133">
        <v>11.606906545810693</v>
      </c>
      <c r="D14" s="1134">
        <v>0</v>
      </c>
      <c r="E14" s="1134">
        <v>0</v>
      </c>
      <c r="F14" s="1133">
        <v>10.329233460000001</v>
      </c>
      <c r="G14" s="1133">
        <v>10.028382000000001</v>
      </c>
      <c r="H14" s="1135">
        <f>+C14+D14-E14-F14</f>
        <v>1.2776730858106919</v>
      </c>
      <c r="J14" s="1136">
        <v>0.82633867680000006</v>
      </c>
      <c r="K14" s="1135">
        <f t="shared" ref="K14:K37" si="0">+H14-J14</f>
        <v>0.45133440901069188</v>
      </c>
      <c r="M14" s="106">
        <f>+IF(ISERROR(K14/(F14+J14)),0,K14/(F14+J14))</f>
        <v>4.0458203620218625E-2</v>
      </c>
      <c r="N14" s="1133">
        <v>35.958425916330448</v>
      </c>
      <c r="O14" s="109">
        <f t="shared" ref="O14:O77" si="1">IF(K14&lt;0,N14/$N$263,0)</f>
        <v>0</v>
      </c>
      <c r="P14" s="1137">
        <f t="shared" ref="P14:P37" si="2">(M14^2*O14)*100</f>
        <v>0</v>
      </c>
      <c r="Q14" s="1131"/>
    </row>
    <row r="15" spans="1:18">
      <c r="B15" s="1132" t="s">
        <v>825</v>
      </c>
      <c r="C15" s="1133">
        <v>95.11999832593807</v>
      </c>
      <c r="D15" s="1134">
        <v>0</v>
      </c>
      <c r="E15" s="1134">
        <v>0</v>
      </c>
      <c r="F15" s="1133">
        <v>95.898326130000001</v>
      </c>
      <c r="G15" s="1133">
        <v>93.105170999999999</v>
      </c>
      <c r="H15" s="1135">
        <f t="shared" ref="H15:H37" si="3">+C15+D15-E15-F15</f>
        <v>-0.77832780406193081</v>
      </c>
      <c r="J15" s="1136">
        <v>7.6718660904</v>
      </c>
      <c r="K15" s="1135">
        <f t="shared" si="0"/>
        <v>-8.4501938944619308</v>
      </c>
      <c r="M15" s="106">
        <f>+IF(ISERROR(K15/(F15+J15)),0,K15/(F15+J15))</f>
        <v>-8.1589052924413846E-2</v>
      </c>
      <c r="N15" s="1133">
        <v>301.6719100557126</v>
      </c>
      <c r="O15" s="109">
        <f>IF(K15&lt;0,N15/$N$263,0)</f>
        <v>5.6381975946319211E-2</v>
      </c>
      <c r="P15" s="1137">
        <f>(M15^2*O15)*100</f>
        <v>3.7532204657666407E-2</v>
      </c>
      <c r="Q15" s="1131"/>
    </row>
    <row r="16" spans="1:18">
      <c r="B16" s="1132" t="s">
        <v>826</v>
      </c>
      <c r="C16" s="1133">
        <v>24.261232180175281</v>
      </c>
      <c r="D16" s="1134">
        <v>0</v>
      </c>
      <c r="E16" s="1134">
        <v>0</v>
      </c>
      <c r="F16" s="1133">
        <v>17.851696320000002</v>
      </c>
      <c r="G16" s="1133">
        <v>17.331744</v>
      </c>
      <c r="H16" s="1135">
        <f t="shared" si="3"/>
        <v>6.4095358601752785</v>
      </c>
      <c r="J16" s="1136">
        <v>1.4281357056000001</v>
      </c>
      <c r="K16" s="1135">
        <f t="shared" si="0"/>
        <v>4.9814001545752786</v>
      </c>
      <c r="M16" s="106">
        <f t="shared" ref="M16:M37" si="4">+IF(ISERROR(K16/(F16+J16)),0,K16/(F16+J16))</f>
        <v>0.25837362835738992</v>
      </c>
      <c r="N16" s="1133">
        <v>56.942466876744888</v>
      </c>
      <c r="O16" s="109">
        <f>IF(K16&lt;0,N16/$N$263,0)</f>
        <v>0</v>
      </c>
      <c r="P16" s="1137">
        <f>(M16^2*O16)*100</f>
        <v>0</v>
      </c>
      <c r="Q16" s="1131"/>
    </row>
    <row r="17" spans="2:17">
      <c r="B17" s="1132" t="s">
        <v>827</v>
      </c>
      <c r="C17" s="1133">
        <v>2.6013502424489792</v>
      </c>
      <c r="D17" s="1134">
        <v>0</v>
      </c>
      <c r="E17" s="1134">
        <v>0</v>
      </c>
      <c r="F17" s="1133">
        <v>5.8283361200000003</v>
      </c>
      <c r="G17" s="1133">
        <v>4.7644039999999999</v>
      </c>
      <c r="H17" s="1135">
        <f t="shared" si="3"/>
        <v>-3.2269858775510212</v>
      </c>
      <c r="J17" s="1136">
        <v>0.56419903056133769</v>
      </c>
      <c r="K17" s="1135">
        <f t="shared" si="0"/>
        <v>-3.791184908112359</v>
      </c>
      <c r="M17" s="106">
        <f t="shared" si="4"/>
        <v>-0.59306438194234246</v>
      </c>
      <c r="N17" s="1133">
        <v>8.2390723337071474</v>
      </c>
      <c r="O17" s="109">
        <f t="shared" si="1"/>
        <v>1.5398688530638149E-3</v>
      </c>
      <c r="P17" s="1137">
        <f t="shared" si="2"/>
        <v>5.4161092843463453E-2</v>
      </c>
      <c r="Q17" s="1131"/>
    </row>
    <row r="18" spans="2:17">
      <c r="B18" s="1132" t="s">
        <v>828</v>
      </c>
      <c r="C18" s="1133">
        <v>0.29682845076530612</v>
      </c>
      <c r="D18" s="1134">
        <v>0</v>
      </c>
      <c r="E18" s="1134">
        <v>0</v>
      </c>
      <c r="F18" s="1133">
        <v>0.1236</v>
      </c>
      <c r="G18" s="1133">
        <v>0.12</v>
      </c>
      <c r="H18" s="1135">
        <f t="shared" si="3"/>
        <v>0.17322845076530613</v>
      </c>
      <c r="J18" s="1136">
        <v>9.888000000000001E-3</v>
      </c>
      <c r="K18" s="1135">
        <f t="shared" si="0"/>
        <v>0.16334045076530612</v>
      </c>
      <c r="M18" s="106">
        <f t="shared" si="4"/>
        <v>1.2236339653400015</v>
      </c>
      <c r="N18" s="1133">
        <v>0.34592844375176973</v>
      </c>
      <c r="O18" s="109">
        <f t="shared" si="1"/>
        <v>0</v>
      </c>
      <c r="P18" s="1137">
        <f t="shared" si="2"/>
        <v>0</v>
      </c>
      <c r="Q18" s="1131"/>
    </row>
    <row r="19" spans="2:17">
      <c r="B19" s="1132" t="s">
        <v>829</v>
      </c>
      <c r="C19" s="1133">
        <v>0.18</v>
      </c>
      <c r="D19" s="1134">
        <v>0</v>
      </c>
      <c r="E19" s="1134">
        <v>0</v>
      </c>
      <c r="F19" s="1133">
        <v>0.23152205000000003</v>
      </c>
      <c r="G19" s="1133">
        <v>0.176235</v>
      </c>
      <c r="H19" s="1135">
        <f t="shared" si="3"/>
        <v>-5.1522050000000041E-2</v>
      </c>
      <c r="J19" s="1136">
        <v>2.0888123703830426E-2</v>
      </c>
      <c r="K19" s="1135">
        <f t="shared" si="0"/>
        <v>-7.241017370383046E-2</v>
      </c>
      <c r="M19" s="106">
        <f t="shared" si="4"/>
        <v>-0.28687502029452311</v>
      </c>
      <c r="N19" s="1133">
        <v>0.39614386300605892</v>
      </c>
      <c r="O19" s="109">
        <f t="shared" si="1"/>
        <v>7.4038626105972892E-5</v>
      </c>
      <c r="P19" s="1137">
        <f t="shared" si="2"/>
        <v>6.0931773412578171E-4</v>
      </c>
      <c r="Q19" s="1131"/>
    </row>
    <row r="20" spans="2:17">
      <c r="B20" s="1132" t="s">
        <v>830</v>
      </c>
      <c r="C20" s="1133">
        <v>19.126630916368292</v>
      </c>
      <c r="D20" s="1134">
        <v>0</v>
      </c>
      <c r="E20" s="1134">
        <v>0</v>
      </c>
      <c r="F20" s="1133">
        <v>25.250075079999998</v>
      </c>
      <c r="G20" s="1133">
        <v>24.514635999999999</v>
      </c>
      <c r="H20" s="1135">
        <f t="shared" si="3"/>
        <v>-6.1234441636317065</v>
      </c>
      <c r="J20" s="1136">
        <v>2.0200060064000001</v>
      </c>
      <c r="K20" s="1135">
        <f t="shared" si="0"/>
        <v>-8.1434501700317057</v>
      </c>
      <c r="M20" s="106">
        <f t="shared" si="4"/>
        <v>-0.29862214726207642</v>
      </c>
      <c r="N20" s="1133">
        <v>68.004967021720987</v>
      </c>
      <c r="O20" s="109">
        <f t="shared" si="1"/>
        <v>1.2710014711481742E-2</v>
      </c>
      <c r="P20" s="1137">
        <f t="shared" si="2"/>
        <v>0.11334179365772355</v>
      </c>
      <c r="Q20" s="1131"/>
    </row>
    <row r="21" spans="2:17">
      <c r="B21" s="1132" t="s">
        <v>831</v>
      </c>
      <c r="C21" s="1133">
        <v>111.53142300000002</v>
      </c>
      <c r="D21" s="1134">
        <v>0</v>
      </c>
      <c r="E21" s="1134">
        <v>0</v>
      </c>
      <c r="F21" s="1133">
        <v>110.43123344999999</v>
      </c>
      <c r="G21" s="1133">
        <v>95.920614999999998</v>
      </c>
      <c r="H21" s="1135">
        <f t="shared" si="3"/>
        <v>1.1001895500000245</v>
      </c>
      <c r="J21" s="1136">
        <v>8.8344986759999991</v>
      </c>
      <c r="K21" s="1135">
        <f t="shared" si="0"/>
        <v>-7.7343091259999746</v>
      </c>
      <c r="M21" s="106">
        <f t="shared" si="4"/>
        <v>-6.4849382870755812E-2</v>
      </c>
      <c r="N21" s="1133">
        <v>342.2293845436605</v>
      </c>
      <c r="O21" s="109">
        <f t="shared" si="1"/>
        <v>6.3962100163388769E-2</v>
      </c>
      <c r="P21" s="1137">
        <f t="shared" si="2"/>
        <v>2.689889317758808E-2</v>
      </c>
      <c r="Q21" s="1131"/>
    </row>
    <row r="22" spans="2:17">
      <c r="B22" s="1132" t="s">
        <v>832</v>
      </c>
      <c r="C22" s="1133">
        <v>1.8</v>
      </c>
      <c r="D22" s="1134">
        <v>0</v>
      </c>
      <c r="E22" s="1134">
        <v>0</v>
      </c>
      <c r="F22" s="1133">
        <v>1.2985433100000001</v>
      </c>
      <c r="G22" s="1133">
        <v>0.98887700000000001</v>
      </c>
      <c r="H22" s="1135">
        <f t="shared" si="3"/>
        <v>0.50145668999999993</v>
      </c>
      <c r="J22" s="1136">
        <v>0.10388346480000001</v>
      </c>
      <c r="K22" s="1135">
        <f t="shared" si="0"/>
        <v>0.39757322519999994</v>
      </c>
      <c r="M22" s="106">
        <f t="shared" si="4"/>
        <v>0.28348947149607706</v>
      </c>
      <c r="N22" s="1133">
        <v>3.6106713337824581</v>
      </c>
      <c r="O22" s="109">
        <f t="shared" si="1"/>
        <v>0</v>
      </c>
      <c r="P22" s="1137">
        <f t="shared" si="2"/>
        <v>0</v>
      </c>
      <c r="Q22" s="1131"/>
    </row>
    <row r="23" spans="2:17">
      <c r="B23" s="1132" t="s">
        <v>833</v>
      </c>
      <c r="C23" s="1133">
        <v>0.15716892093913043</v>
      </c>
      <c r="D23" s="1134">
        <v>0</v>
      </c>
      <c r="E23" s="1134">
        <v>0</v>
      </c>
      <c r="F23" s="1133">
        <v>1.9956539841999998</v>
      </c>
      <c r="G23" s="1133">
        <v>1.6419729999999999</v>
      </c>
      <c r="H23" s="1135">
        <f t="shared" si="3"/>
        <v>-1.8384850632608694</v>
      </c>
      <c r="J23" s="1136">
        <v>0.19163524893962905</v>
      </c>
      <c r="K23" s="1135">
        <f t="shared" si="0"/>
        <v>-2.0301203122004985</v>
      </c>
      <c r="M23" s="106">
        <f t="shared" si="4"/>
        <v>-0.92814442710279776</v>
      </c>
      <c r="N23" s="1133">
        <v>5.6343877850728976</v>
      </c>
      <c r="O23" s="109">
        <f t="shared" si="1"/>
        <v>1.0530576629144766E-3</v>
      </c>
      <c r="P23" s="1137">
        <f t="shared" si="2"/>
        <v>9.0715871151023988E-2</v>
      </c>
      <c r="Q23" s="1131"/>
    </row>
    <row r="24" spans="2:17">
      <c r="B24" s="1132" t="s">
        <v>834</v>
      </c>
      <c r="C24" s="1133">
        <v>0.41565560390243916</v>
      </c>
      <c r="D24" s="1134">
        <v>0</v>
      </c>
      <c r="E24" s="1134">
        <v>0</v>
      </c>
      <c r="F24" s="1133">
        <v>0.45449136000000001</v>
      </c>
      <c r="G24" s="1133">
        <v>0.339312</v>
      </c>
      <c r="H24" s="1135">
        <f t="shared" si="3"/>
        <v>-3.8835756097560847E-2</v>
      </c>
      <c r="J24" s="1136">
        <v>3.6359308800000004E-2</v>
      </c>
      <c r="K24" s="1135">
        <f t="shared" si="0"/>
        <v>-7.5195064897560851E-2</v>
      </c>
      <c r="M24" s="106">
        <f t="shared" si="4"/>
        <v>-0.15319336343453069</v>
      </c>
      <c r="N24" s="1133">
        <v>0.70578080898727436</v>
      </c>
      <c r="O24" s="109">
        <f t="shared" si="1"/>
        <v>1.3190925395853136E-4</v>
      </c>
      <c r="P24" s="1137">
        <f t="shared" si="2"/>
        <v>3.0956736244013613E-4</v>
      </c>
      <c r="Q24" s="1131"/>
    </row>
    <row r="25" spans="2:17">
      <c r="B25" s="1132" t="s">
        <v>835</v>
      </c>
      <c r="C25" s="1133">
        <v>2</v>
      </c>
      <c r="D25" s="1134">
        <v>0</v>
      </c>
      <c r="E25" s="1134">
        <v>0</v>
      </c>
      <c r="F25" s="1133">
        <v>1.632464304</v>
      </c>
      <c r="G25" s="1133">
        <v>1.320764</v>
      </c>
      <c r="H25" s="1135">
        <f t="shared" si="3"/>
        <v>0.36753569600000002</v>
      </c>
      <c r="J25" s="1136">
        <v>0.13059714432</v>
      </c>
      <c r="K25" s="1135">
        <f t="shared" si="0"/>
        <v>0.23693855168000003</v>
      </c>
      <c r="M25" s="106">
        <f t="shared" si="4"/>
        <v>0.1343904104452944</v>
      </c>
      <c r="N25" s="1133">
        <v>5.4070630615047843</v>
      </c>
      <c r="O25" s="109">
        <f t="shared" si="1"/>
        <v>0</v>
      </c>
      <c r="P25" s="1137">
        <f t="shared" si="2"/>
        <v>0</v>
      </c>
      <c r="Q25" s="1131"/>
    </row>
    <row r="26" spans="2:17">
      <c r="B26" s="1132" t="s">
        <v>836</v>
      </c>
      <c r="C26" s="1133">
        <v>3.6000000000000004E-2</v>
      </c>
      <c r="D26" s="1134">
        <v>0</v>
      </c>
      <c r="E26" s="1134">
        <v>0</v>
      </c>
      <c r="F26" s="1133">
        <v>1.0129020000000001E-2</v>
      </c>
      <c r="G26" s="1133">
        <v>6.5560000000000002E-3</v>
      </c>
      <c r="H26" s="1135">
        <f t="shared" si="3"/>
        <v>2.5870980000000002E-2</v>
      </c>
      <c r="J26" s="1136">
        <v>8.1032160000000012E-4</v>
      </c>
      <c r="K26" s="1135">
        <f t="shared" si="0"/>
        <v>2.5060658400000001E-2</v>
      </c>
      <c r="M26" s="106">
        <f t="shared" si="4"/>
        <v>2.2908744709096567</v>
      </c>
      <c r="N26" s="1133">
        <v>4.5187185941258416E-2</v>
      </c>
      <c r="O26" s="109">
        <f t="shared" si="1"/>
        <v>0</v>
      </c>
      <c r="P26" s="1137">
        <f t="shared" si="2"/>
        <v>0</v>
      </c>
      <c r="Q26" s="1131"/>
    </row>
    <row r="27" spans="2:17">
      <c r="B27" s="1132" t="s">
        <v>837</v>
      </c>
      <c r="C27" s="1133">
        <v>0.25</v>
      </c>
      <c r="D27" s="1134">
        <v>0</v>
      </c>
      <c r="E27" s="1134">
        <v>0</v>
      </c>
      <c r="F27" s="1133">
        <v>0.1821684368</v>
      </c>
      <c r="G27" s="1133">
        <v>0.13004599999999999</v>
      </c>
      <c r="H27" s="1135">
        <f t="shared" si="3"/>
        <v>6.78315632E-2</v>
      </c>
      <c r="J27" s="1136">
        <v>1.4573474944000001E-2</v>
      </c>
      <c r="K27" s="1135">
        <f t="shared" si="0"/>
        <v>5.3258088256000001E-2</v>
      </c>
      <c r="M27" s="106">
        <f t="shared" si="4"/>
        <v>0.27070026810199582</v>
      </c>
      <c r="N27" s="1133">
        <v>0.44756831789436913</v>
      </c>
      <c r="O27" s="109">
        <f t="shared" si="1"/>
        <v>0</v>
      </c>
      <c r="P27" s="1137">
        <f t="shared" si="2"/>
        <v>0</v>
      </c>
      <c r="Q27" s="1131"/>
    </row>
    <row r="28" spans="2:17">
      <c r="B28" s="1132" t="s">
        <v>838</v>
      </c>
      <c r="C28" s="1133">
        <v>9.5000000000000001E-2</v>
      </c>
      <c r="D28" s="1134">
        <v>0</v>
      </c>
      <c r="E28" s="1134">
        <v>0</v>
      </c>
      <c r="F28" s="1133">
        <v>0.13664477</v>
      </c>
      <c r="G28" s="1133">
        <v>9.2858999999999997E-2</v>
      </c>
      <c r="H28" s="1135">
        <f t="shared" si="3"/>
        <v>-4.1644769999999998E-2</v>
      </c>
      <c r="J28" s="1136">
        <v>1.09315816E-2</v>
      </c>
      <c r="K28" s="1135">
        <f t="shared" si="0"/>
        <v>-5.2576351600000001E-2</v>
      </c>
      <c r="M28" s="106">
        <f t="shared" si="4"/>
        <v>-0.35626542484602258</v>
      </c>
      <c r="N28" s="1133">
        <v>0.15068903590886634</v>
      </c>
      <c r="O28" s="109">
        <f t="shared" si="1"/>
        <v>2.8163529035297555E-5</v>
      </c>
      <c r="P28" s="1137">
        <f t="shared" si="2"/>
        <v>3.5746574138025613E-4</v>
      </c>
      <c r="Q28" s="1131"/>
    </row>
    <row r="29" spans="2:17">
      <c r="B29" s="1132" t="s">
        <v>839</v>
      </c>
      <c r="C29" s="1133">
        <v>0.15</v>
      </c>
      <c r="D29" s="1134">
        <v>0</v>
      </c>
      <c r="E29" s="1134">
        <v>0</v>
      </c>
      <c r="F29" s="1133">
        <v>0.15700423899999999</v>
      </c>
      <c r="G29" s="1133">
        <v>0.104405</v>
      </c>
      <c r="H29" s="1135">
        <f t="shared" si="3"/>
        <v>-7.0042389999999954E-3</v>
      </c>
      <c r="J29" s="1136">
        <v>1.8933366382796787E-2</v>
      </c>
      <c r="K29" s="1135">
        <f t="shared" si="0"/>
        <v>-2.5937605382796783E-2</v>
      </c>
      <c r="M29" s="106">
        <f t="shared" si="4"/>
        <v>-0.14742502221945647</v>
      </c>
      <c r="N29" s="1133">
        <v>0.42858310213041206</v>
      </c>
      <c r="O29" s="109">
        <f t="shared" si="1"/>
        <v>8.0101465697794344E-5</v>
      </c>
      <c r="P29" s="1137">
        <f t="shared" si="2"/>
        <v>1.7409362435071409E-4</v>
      </c>
      <c r="Q29" s="1131"/>
    </row>
    <row r="30" spans="2:17">
      <c r="B30" s="1132" t="s">
        <v>840</v>
      </c>
      <c r="C30" s="1133">
        <v>20.141951632327711</v>
      </c>
      <c r="D30" s="1134">
        <v>0</v>
      </c>
      <c r="E30" s="1134">
        <v>0</v>
      </c>
      <c r="F30" s="1133">
        <v>26.478241930000003</v>
      </c>
      <c r="G30" s="1133">
        <v>25.707031000000001</v>
      </c>
      <c r="H30" s="1135">
        <f t="shared" si="3"/>
        <v>-6.3362902976722921</v>
      </c>
      <c r="J30" s="1136">
        <v>2.206636344587924</v>
      </c>
      <c r="K30" s="1135">
        <f t="shared" si="0"/>
        <v>-8.5429266422602161</v>
      </c>
      <c r="M30" s="106">
        <f t="shared" si="4"/>
        <v>-0.29781986733506333</v>
      </c>
      <c r="N30" s="1133">
        <v>81.060021016692119</v>
      </c>
      <c r="O30" s="109">
        <f t="shared" si="1"/>
        <v>1.5149982490339322E-2</v>
      </c>
      <c r="P30" s="1137">
        <f t="shared" si="2"/>
        <v>0.13437530486503879</v>
      </c>
      <c r="Q30" s="1131"/>
    </row>
    <row r="31" spans="2:17">
      <c r="B31" s="1132" t="s">
        <v>841</v>
      </c>
      <c r="C31" s="1133">
        <v>3.88</v>
      </c>
      <c r="D31" s="1134">
        <v>0</v>
      </c>
      <c r="E31" s="1134">
        <v>0</v>
      </c>
      <c r="F31" s="1133">
        <v>3.0520578900000004</v>
      </c>
      <c r="G31" s="1133">
        <v>2.9631630000000002</v>
      </c>
      <c r="H31" s="1135">
        <f t="shared" si="3"/>
        <v>0.82794210999999951</v>
      </c>
      <c r="J31" s="1136">
        <v>0.24416463120000004</v>
      </c>
      <c r="K31" s="1135">
        <f t="shared" si="0"/>
        <v>0.58377747879999942</v>
      </c>
      <c r="M31" s="106">
        <f t="shared" si="4"/>
        <v>0.17710499671832633</v>
      </c>
      <c r="N31" s="1133">
        <v>5.936059211389713</v>
      </c>
      <c r="O31" s="109">
        <f t="shared" si="1"/>
        <v>0</v>
      </c>
      <c r="P31" s="1137">
        <f t="shared" si="2"/>
        <v>0</v>
      </c>
      <c r="Q31" s="1131"/>
    </row>
    <row r="32" spans="2:17">
      <c r="B32" s="1132" t="s">
        <v>842</v>
      </c>
      <c r="C32" s="1133">
        <v>0.5320613474823529</v>
      </c>
      <c r="D32" s="1134">
        <v>0</v>
      </c>
      <c r="E32" s="1134">
        <v>0</v>
      </c>
      <c r="F32" s="1133">
        <v>0.38462869760000007</v>
      </c>
      <c r="G32" s="1133">
        <v>0.29173900000000003</v>
      </c>
      <c r="H32" s="1135">
        <f t="shared" si="3"/>
        <v>0.14743264988235283</v>
      </c>
      <c r="J32" s="1136">
        <v>3.0770295808000007E-2</v>
      </c>
      <c r="K32" s="1135">
        <f t="shared" si="0"/>
        <v>0.11666235407435283</v>
      </c>
      <c r="M32" s="106">
        <f t="shared" si="4"/>
        <v>0.28084409429410534</v>
      </c>
      <c r="N32" s="1133">
        <v>0.42459157765141536</v>
      </c>
      <c r="O32" s="109">
        <f t="shared" si="1"/>
        <v>0</v>
      </c>
      <c r="P32" s="1137">
        <f t="shared" si="2"/>
        <v>0</v>
      </c>
      <c r="Q32" s="1131"/>
    </row>
    <row r="33" spans="2:17">
      <c r="B33" s="1132" t="s">
        <v>843</v>
      </c>
      <c r="C33" s="1133">
        <v>0.99095217966086979</v>
      </c>
      <c r="D33" s="1134">
        <v>0</v>
      </c>
      <c r="E33" s="1134">
        <v>0</v>
      </c>
      <c r="F33" s="1133">
        <v>1.3533983700000001</v>
      </c>
      <c r="G33" s="1133">
        <v>1.313979</v>
      </c>
      <c r="H33" s="1135">
        <f t="shared" si="3"/>
        <v>-0.36244619033913028</v>
      </c>
      <c r="J33" s="1136">
        <v>0.11909207996619746</v>
      </c>
      <c r="K33" s="1135">
        <f t="shared" si="0"/>
        <v>-0.48153827030532775</v>
      </c>
      <c r="M33" s="106">
        <f t="shared" si="4"/>
        <v>-0.32702301757976221</v>
      </c>
      <c r="N33" s="1133">
        <v>2.7056609739042075</v>
      </c>
      <c r="O33" s="109">
        <f t="shared" si="1"/>
        <v>5.0568351531764656E-4</v>
      </c>
      <c r="P33" s="1137">
        <f t="shared" si="2"/>
        <v>5.4079845182680251E-3</v>
      </c>
      <c r="Q33" s="1131"/>
    </row>
    <row r="34" spans="2:17">
      <c r="B34" s="1132" t="s">
        <v>844</v>
      </c>
      <c r="C34" s="1133">
        <v>1.05</v>
      </c>
      <c r="D34" s="1134">
        <v>0</v>
      </c>
      <c r="E34" s="1134">
        <v>0</v>
      </c>
      <c r="F34" s="1133">
        <v>1.0281419199999999</v>
      </c>
      <c r="G34" s="1133">
        <v>0.829264</v>
      </c>
      <c r="H34" s="1135">
        <f t="shared" si="3"/>
        <v>2.1858080000000113E-2</v>
      </c>
      <c r="J34" s="1136">
        <v>0.14175351443109457</v>
      </c>
      <c r="K34" s="1135">
        <f t="shared" si="0"/>
        <v>-0.11989543443109446</v>
      </c>
      <c r="M34" s="106">
        <f t="shared" si="4"/>
        <v>-0.10248388950196913</v>
      </c>
      <c r="N34" s="1133">
        <v>1.5743388413955453</v>
      </c>
      <c r="O34" s="109">
        <f t="shared" si="1"/>
        <v>2.9424129900104635E-4</v>
      </c>
      <c r="P34" s="1137">
        <f t="shared" si="2"/>
        <v>3.0904009473565547E-4</v>
      </c>
      <c r="Q34" s="1131"/>
    </row>
    <row r="35" spans="2:17">
      <c r="B35" s="1132" t="s">
        <v>845</v>
      </c>
      <c r="C35" s="1133">
        <v>0.97</v>
      </c>
      <c r="D35" s="1134">
        <v>0</v>
      </c>
      <c r="E35" s="1134">
        <v>0</v>
      </c>
      <c r="F35" s="1133">
        <v>0.63065561000000003</v>
      </c>
      <c r="G35" s="1133">
        <v>0.61228700000000003</v>
      </c>
      <c r="H35" s="1135">
        <f t="shared" si="3"/>
        <v>0.33934438999999994</v>
      </c>
      <c r="J35" s="1136">
        <v>5.0452448800000001E-2</v>
      </c>
      <c r="K35" s="1135">
        <f t="shared" si="0"/>
        <v>0.28889194119999995</v>
      </c>
      <c r="M35" s="106">
        <f t="shared" si="4"/>
        <v>0.42414993842383814</v>
      </c>
      <c r="N35" s="1133">
        <v>1.017953866084774</v>
      </c>
      <c r="O35" s="109">
        <f t="shared" si="1"/>
        <v>0</v>
      </c>
      <c r="P35" s="1137">
        <f t="shared" si="2"/>
        <v>0</v>
      </c>
      <c r="Q35" s="1131"/>
    </row>
    <row r="36" spans="2:17">
      <c r="B36" s="1132" t="s">
        <v>846</v>
      </c>
      <c r="C36" s="1133">
        <v>6.984</v>
      </c>
      <c r="D36" s="1134">
        <v>0</v>
      </c>
      <c r="E36" s="1134">
        <v>0</v>
      </c>
      <c r="F36" s="1133">
        <v>6.5609352000000003</v>
      </c>
      <c r="G36" s="1133">
        <v>6.3698399999999999</v>
      </c>
      <c r="H36" s="1135">
        <f t="shared" si="3"/>
        <v>0.42306479999999969</v>
      </c>
      <c r="J36" s="1136">
        <v>0.52487481600000008</v>
      </c>
      <c r="K36" s="1135">
        <f t="shared" si="0"/>
        <v>-0.10181001600000039</v>
      </c>
      <c r="M36" s="106">
        <f t="shared" si="4"/>
        <v>-1.4368154913850345E-2</v>
      </c>
      <c r="N36" s="1133">
        <v>12.623901208046995</v>
      </c>
      <c r="O36" s="109">
        <f t="shared" si="1"/>
        <v>2.3593860433653506E-3</v>
      </c>
      <c r="P36" s="1137">
        <f t="shared" si="2"/>
        <v>4.8708079889590354E-5</v>
      </c>
      <c r="Q36" s="1131"/>
    </row>
    <row r="37" spans="2:17">
      <c r="B37" s="1138" t="s">
        <v>847</v>
      </c>
      <c r="C37" s="1139">
        <v>0.16</v>
      </c>
      <c r="D37" s="1140">
        <v>0</v>
      </c>
      <c r="E37" s="1140">
        <v>0</v>
      </c>
      <c r="F37" s="1139">
        <v>0.13778019999999999</v>
      </c>
      <c r="G37" s="1139">
        <v>8.1339999999999996E-2</v>
      </c>
      <c r="H37" s="1141">
        <f t="shared" si="3"/>
        <v>2.2219800000000012E-2</v>
      </c>
      <c r="J37" s="1142">
        <v>1.1022416E-2</v>
      </c>
      <c r="K37" s="1141">
        <f t="shared" si="0"/>
        <v>1.1197384000000012E-2</v>
      </c>
      <c r="M37" s="111">
        <f t="shared" si="4"/>
        <v>7.5249913617110142E-2</v>
      </c>
      <c r="N37" s="1139">
        <v>7.2837885705891336E-2</v>
      </c>
      <c r="O37" s="112">
        <f t="shared" si="1"/>
        <v>0</v>
      </c>
      <c r="P37" s="1143">
        <f t="shared" si="2"/>
        <v>0</v>
      </c>
      <c r="Q37" s="1131"/>
    </row>
    <row r="38" spans="2:17">
      <c r="B38" s="1132" t="s">
        <v>848</v>
      </c>
      <c r="C38" s="1133">
        <v>0.02</v>
      </c>
      <c r="D38" s="1134">
        <v>0</v>
      </c>
      <c r="E38" s="1134">
        <v>0</v>
      </c>
      <c r="F38" s="1133">
        <v>1.4123586600000002E-2</v>
      </c>
      <c r="G38" s="1133">
        <v>1.0233000000000001E-2</v>
      </c>
      <c r="H38" s="1135">
        <f>+C38+D38-E38-F38</f>
        <v>5.8764133999999989E-3</v>
      </c>
      <c r="J38" s="1136">
        <v>1.1298869280000001E-3</v>
      </c>
      <c r="K38" s="1135">
        <f>+H38-J38</f>
        <v>4.746526471999999E-3</v>
      </c>
      <c r="M38" s="106">
        <f>+IF(ISERROR(K38/(F38+J38)),0,K38/(F38+J38))</f>
        <v>0.31117676005318062</v>
      </c>
      <c r="N38" s="1133">
        <v>5.6849081526549335E-2</v>
      </c>
      <c r="O38" s="109">
        <f t="shared" si="1"/>
        <v>0</v>
      </c>
      <c r="P38" s="1137">
        <f>(M38^2*O38)*100</f>
        <v>0</v>
      </c>
      <c r="Q38" s="1131"/>
    </row>
    <row r="39" spans="2:17">
      <c r="B39" s="1132" t="s">
        <v>849</v>
      </c>
      <c r="C39" s="1133">
        <v>16.975000000000001</v>
      </c>
      <c r="D39" s="1134">
        <v>0</v>
      </c>
      <c r="E39" s="1134">
        <v>0</v>
      </c>
      <c r="F39" s="1133">
        <v>13.94905516</v>
      </c>
      <c r="G39" s="1133">
        <v>13.542771999999999</v>
      </c>
      <c r="H39" s="1135">
        <f t="shared" ref="H39:H62" si="5">+C39+D39-E39-F39</f>
        <v>3.0259448400000011</v>
      </c>
      <c r="J39" s="1136">
        <v>1.1159244128000001</v>
      </c>
      <c r="K39" s="1135">
        <f t="shared" ref="K39:K62" si="6">+H39-J39</f>
        <v>1.910020427200001</v>
      </c>
      <c r="M39" s="106">
        <f>+IF(ISERROR(K39/(F39+J39)),0,K39/(F39+J39))</f>
        <v>0.12678546412691893</v>
      </c>
      <c r="N39" s="1133">
        <v>26.697579041032569</v>
      </c>
      <c r="O39" s="109">
        <f t="shared" si="1"/>
        <v>0</v>
      </c>
      <c r="P39" s="1137">
        <f t="shared" ref="P39:P62" si="7">(M39^2*O39)*100</f>
        <v>0</v>
      </c>
      <c r="Q39" s="1131"/>
    </row>
    <row r="40" spans="2:17">
      <c r="B40" s="1132" t="s">
        <v>850</v>
      </c>
      <c r="C40" s="1133">
        <v>0.24875</v>
      </c>
      <c r="D40" s="1134">
        <v>0</v>
      </c>
      <c r="E40" s="1134">
        <v>0</v>
      </c>
      <c r="F40" s="1133">
        <v>0.16761190000000001</v>
      </c>
      <c r="G40" s="1133">
        <v>0.16273000000000001</v>
      </c>
      <c r="H40" s="1135">
        <f t="shared" si="5"/>
        <v>8.1138099999999991E-2</v>
      </c>
      <c r="J40" s="1136">
        <v>1.3408952000000002E-2</v>
      </c>
      <c r="K40" s="1135">
        <f t="shared" si="6"/>
        <v>6.7729147999999989E-2</v>
      </c>
      <c r="M40" s="106">
        <f t="shared" ref="M40:M62" si="8">+IF(ISERROR(K40/(F40+J40)),0,K40/(F40+J40))</f>
        <v>0.37415108398672209</v>
      </c>
      <c r="N40" s="1133">
        <v>0.31622301599143071</v>
      </c>
      <c r="O40" s="109">
        <f t="shared" si="1"/>
        <v>0</v>
      </c>
      <c r="P40" s="1137">
        <f t="shared" si="7"/>
        <v>0</v>
      </c>
      <c r="Q40" s="1131"/>
    </row>
    <row r="41" spans="2:17">
      <c r="B41" s="1132" t="s">
        <v>851</v>
      </c>
      <c r="C41" s="1133">
        <v>0.34825</v>
      </c>
      <c r="D41" s="1134">
        <v>0</v>
      </c>
      <c r="E41" s="1134">
        <v>0</v>
      </c>
      <c r="F41" s="1133">
        <v>0.31482052999999999</v>
      </c>
      <c r="G41" s="1133">
        <v>0.30565100000000001</v>
      </c>
      <c r="H41" s="1135">
        <f t="shared" si="5"/>
        <v>3.3429470000000017E-2</v>
      </c>
      <c r="J41" s="1136">
        <v>2.51856424E-2</v>
      </c>
      <c r="K41" s="1135">
        <f t="shared" si="6"/>
        <v>8.2438276000000171E-3</v>
      </c>
      <c r="M41" s="106">
        <f t="shared" si="8"/>
        <v>2.4246111597943501E-2</v>
      </c>
      <c r="N41" s="1133">
        <v>0.44768651702157602</v>
      </c>
      <c r="O41" s="109">
        <f t="shared" si="1"/>
        <v>0</v>
      </c>
      <c r="P41" s="1137">
        <f t="shared" si="7"/>
        <v>0</v>
      </c>
      <c r="Q41" s="1131"/>
    </row>
    <row r="42" spans="2:17">
      <c r="B42" s="1132" t="s">
        <v>852</v>
      </c>
      <c r="C42" s="1133">
        <v>0.12934999999999999</v>
      </c>
      <c r="D42" s="1134">
        <v>0</v>
      </c>
      <c r="E42" s="1134">
        <v>0</v>
      </c>
      <c r="F42" s="1133">
        <v>9.7818070000000007E-2</v>
      </c>
      <c r="G42" s="1133">
        <v>9.4968999999999998E-2</v>
      </c>
      <c r="H42" s="1135">
        <f t="shared" si="5"/>
        <v>3.1531929999999986E-2</v>
      </c>
      <c r="J42" s="1136">
        <v>7.8254456000000014E-3</v>
      </c>
      <c r="K42" s="1135">
        <f t="shared" si="6"/>
        <v>2.3706484399999984E-2</v>
      </c>
      <c r="M42" s="106">
        <f t="shared" si="8"/>
        <v>0.22440075252474825</v>
      </c>
      <c r="N42" s="1133">
        <v>0.17410031217505736</v>
      </c>
      <c r="O42" s="109">
        <f t="shared" si="1"/>
        <v>0</v>
      </c>
      <c r="P42" s="1137">
        <f t="shared" si="7"/>
        <v>0</v>
      </c>
      <c r="Q42" s="1131"/>
    </row>
    <row r="43" spans="2:17">
      <c r="B43" s="1132" t="s">
        <v>853</v>
      </c>
      <c r="C43" s="1133">
        <v>2.3880000000000002E-2</v>
      </c>
      <c r="D43" s="1134">
        <v>0</v>
      </c>
      <c r="E43" s="1134">
        <v>0</v>
      </c>
      <c r="F43" s="1133">
        <v>1.1125029999999999E-2</v>
      </c>
      <c r="G43" s="1133">
        <v>1.0801E-2</v>
      </c>
      <c r="H43" s="1135">
        <f t="shared" si="5"/>
        <v>1.2754970000000003E-2</v>
      </c>
      <c r="J43" s="1136">
        <v>8.9000240000000001E-4</v>
      </c>
      <c r="K43" s="1135">
        <f t="shared" si="6"/>
        <v>1.1864967600000003E-2</v>
      </c>
      <c r="M43" s="106">
        <f t="shared" si="8"/>
        <v>0.98751024591494274</v>
      </c>
      <c r="N43" s="1133">
        <v>2.4871473167865331E-2</v>
      </c>
      <c r="O43" s="109">
        <f t="shared" si="1"/>
        <v>0</v>
      </c>
      <c r="P43" s="1137">
        <f t="shared" si="7"/>
        <v>0</v>
      </c>
      <c r="Q43" s="1131"/>
    </row>
    <row r="44" spans="2:17">
      <c r="B44" s="1132" t="s">
        <v>854</v>
      </c>
      <c r="C44" s="1133">
        <v>0.39749999999999996</v>
      </c>
      <c r="D44" s="1134">
        <v>0</v>
      </c>
      <c r="E44" s="1134">
        <v>0</v>
      </c>
      <c r="F44" s="1133">
        <v>0.38299314000000001</v>
      </c>
      <c r="G44" s="1133">
        <v>0.371838</v>
      </c>
      <c r="H44" s="1135">
        <f t="shared" si="5"/>
        <v>1.4506859999999955E-2</v>
      </c>
      <c r="J44" s="1136">
        <v>3.0639451200000001E-2</v>
      </c>
      <c r="K44" s="1135">
        <f t="shared" si="6"/>
        <v>-1.6132591200000046E-2</v>
      </c>
      <c r="M44" s="106">
        <f t="shared" si="8"/>
        <v>-3.9002224542310303E-2</v>
      </c>
      <c r="N44" s="1133">
        <v>0.87760769606610545</v>
      </c>
      <c r="O44" s="109">
        <f t="shared" si="1"/>
        <v>1.6402341205969627E-4</v>
      </c>
      <c r="P44" s="1137">
        <f t="shared" si="7"/>
        <v>2.4950807096204299E-5</v>
      </c>
      <c r="Q44" s="1131"/>
    </row>
    <row r="45" spans="2:17">
      <c r="B45" s="1132" t="s">
        <v>855</v>
      </c>
      <c r="C45" s="1133">
        <v>2.2720255218977528</v>
      </c>
      <c r="D45" s="1134">
        <v>0</v>
      </c>
      <c r="E45" s="1134">
        <v>0</v>
      </c>
      <c r="F45" s="1133">
        <v>2.04033833</v>
      </c>
      <c r="G45" s="1133">
        <v>1.9809110000000001</v>
      </c>
      <c r="H45" s="1135">
        <f t="shared" si="5"/>
        <v>0.23168719189775278</v>
      </c>
      <c r="J45" s="1136">
        <v>0.33429004284920871</v>
      </c>
      <c r="K45" s="1135">
        <f t="shared" si="6"/>
        <v>-0.10260285095145594</v>
      </c>
      <c r="M45" s="106">
        <f t="shared" si="8"/>
        <v>-4.3207961348641445E-2</v>
      </c>
      <c r="N45" s="1133">
        <v>4.6528947959057039</v>
      </c>
      <c r="O45" s="109">
        <f t="shared" si="1"/>
        <v>8.6961826314906337E-4</v>
      </c>
      <c r="P45" s="1137">
        <f t="shared" si="7"/>
        <v>1.6235146186113555E-4</v>
      </c>
      <c r="Q45" s="1131"/>
    </row>
    <row r="46" spans="2:17">
      <c r="B46" s="1132" t="s">
        <v>856</v>
      </c>
      <c r="C46" s="1133">
        <v>0.5006858475275362</v>
      </c>
      <c r="D46" s="1134">
        <v>0</v>
      </c>
      <c r="E46" s="1134">
        <v>0</v>
      </c>
      <c r="F46" s="1133">
        <v>0.47487223000000001</v>
      </c>
      <c r="G46" s="1133">
        <v>0.46104099999999998</v>
      </c>
      <c r="H46" s="1135">
        <f t="shared" si="5"/>
        <v>2.5813617527536192E-2</v>
      </c>
      <c r="J46" s="1136">
        <v>5.2046008315315813E-2</v>
      </c>
      <c r="K46" s="1135">
        <f t="shared" si="6"/>
        <v>-2.6232390787779621E-2</v>
      </c>
      <c r="M46" s="106">
        <f t="shared" si="8"/>
        <v>-4.9784556464871808E-2</v>
      </c>
      <c r="N46" s="1133">
        <v>0.56171457670388514</v>
      </c>
      <c r="O46" s="109">
        <f t="shared" si="1"/>
        <v>1.0498351585524296E-4</v>
      </c>
      <c r="P46" s="1137">
        <f t="shared" si="7"/>
        <v>2.6020186056564373E-5</v>
      </c>
      <c r="Q46" s="1131"/>
    </row>
    <row r="47" spans="2:17">
      <c r="B47" s="1132" t="s">
        <v>857</v>
      </c>
      <c r="C47" s="1133">
        <v>7.4999999999999997E-2</v>
      </c>
      <c r="D47" s="1134">
        <v>0</v>
      </c>
      <c r="E47" s="1134">
        <v>0</v>
      </c>
      <c r="F47" s="1133">
        <v>5.2103168000000005E-2</v>
      </c>
      <c r="G47" s="1133">
        <v>3.8912000000000002E-2</v>
      </c>
      <c r="H47" s="1135">
        <f t="shared" si="5"/>
        <v>2.2896831999999992E-2</v>
      </c>
      <c r="J47" s="1136">
        <v>4.1682534400000002E-3</v>
      </c>
      <c r="K47" s="1135">
        <f t="shared" si="6"/>
        <v>1.8728578559999993E-2</v>
      </c>
      <c r="M47" s="106">
        <f t="shared" si="8"/>
        <v>0.33282575916390417</v>
      </c>
      <c r="N47" s="1133">
        <v>5.3296013931140002E-2</v>
      </c>
      <c r="O47" s="109">
        <f t="shared" si="1"/>
        <v>0</v>
      </c>
      <c r="P47" s="1137">
        <f t="shared" si="7"/>
        <v>0</v>
      </c>
      <c r="Q47" s="1131"/>
    </row>
    <row r="48" spans="2:17">
      <c r="B48" s="1132" t="s">
        <v>858</v>
      </c>
      <c r="C48" s="1133">
        <v>0.17909999999999998</v>
      </c>
      <c r="D48" s="1134">
        <v>0</v>
      </c>
      <c r="E48" s="1134">
        <v>0</v>
      </c>
      <c r="F48" s="1133">
        <v>0.13389793999999999</v>
      </c>
      <c r="G48" s="1133">
        <v>0.129998</v>
      </c>
      <c r="H48" s="1135">
        <f t="shared" si="5"/>
        <v>4.5202059999999988E-2</v>
      </c>
      <c r="J48" s="1136">
        <v>1.702372212817941E-2</v>
      </c>
      <c r="K48" s="1135">
        <f t="shared" si="6"/>
        <v>2.8178337871820579E-2</v>
      </c>
      <c r="M48" s="106">
        <f t="shared" si="8"/>
        <v>0.1867083722407484</v>
      </c>
      <c r="N48" s="1133">
        <v>0.298457678014384</v>
      </c>
      <c r="O48" s="109">
        <f t="shared" si="1"/>
        <v>0</v>
      </c>
      <c r="P48" s="1137">
        <f t="shared" si="7"/>
        <v>0</v>
      </c>
      <c r="Q48" s="1131"/>
    </row>
    <row r="49" spans="2:17">
      <c r="B49" s="1132" t="s">
        <v>859</v>
      </c>
      <c r="C49" s="1133">
        <v>4.9750000000000003E-2</v>
      </c>
      <c r="D49" s="1134">
        <v>0</v>
      </c>
      <c r="E49" s="1134">
        <v>0</v>
      </c>
      <c r="F49" s="1133">
        <v>2.996064E-2</v>
      </c>
      <c r="G49" s="1133">
        <v>2.9087999999999999E-2</v>
      </c>
      <c r="H49" s="1135">
        <f t="shared" si="5"/>
        <v>1.9789360000000002E-2</v>
      </c>
      <c r="J49" s="1136">
        <v>2.3968512000000003E-3</v>
      </c>
      <c r="K49" s="1135">
        <f t="shared" si="6"/>
        <v>1.7392508800000001E-2</v>
      </c>
      <c r="M49" s="106">
        <f t="shared" si="8"/>
        <v>0.53751104164713492</v>
      </c>
      <c r="N49" s="1133">
        <v>0.11935766107542313</v>
      </c>
      <c r="O49" s="109">
        <f t="shared" si="1"/>
        <v>0</v>
      </c>
      <c r="P49" s="1137">
        <f t="shared" si="7"/>
        <v>0</v>
      </c>
      <c r="Q49" s="1131"/>
    </row>
    <row r="50" spans="2:17">
      <c r="B50" s="1132" t="s">
        <v>860</v>
      </c>
      <c r="C50" s="1133">
        <v>1.46</v>
      </c>
      <c r="D50" s="1134">
        <v>0</v>
      </c>
      <c r="E50" s="1134">
        <v>0</v>
      </c>
      <c r="F50" s="1133">
        <v>1.4269459320000002</v>
      </c>
      <c r="G50" s="1133">
        <v>1.154487</v>
      </c>
      <c r="H50" s="1135">
        <f t="shared" si="5"/>
        <v>3.305406799999977E-2</v>
      </c>
      <c r="J50" s="1136">
        <v>0.11415567456000002</v>
      </c>
      <c r="K50" s="1135">
        <f t="shared" si="6"/>
        <v>-8.1101606560000247E-2</v>
      </c>
      <c r="M50" s="106">
        <f t="shared" si="8"/>
        <v>-5.2625736171304609E-2</v>
      </c>
      <c r="N50" s="1133">
        <v>1.9950474548223407</v>
      </c>
      <c r="O50" s="109">
        <f t="shared" si="1"/>
        <v>3.7287103591708277E-4</v>
      </c>
      <c r="P50" s="1137">
        <f t="shared" si="7"/>
        <v>1.0326544422096043E-4</v>
      </c>
      <c r="Q50" s="1131"/>
    </row>
    <row r="51" spans="2:17">
      <c r="B51" s="1132" t="s">
        <v>861</v>
      </c>
      <c r="C51" s="1133">
        <v>0.15</v>
      </c>
      <c r="D51" s="1134">
        <v>0</v>
      </c>
      <c r="E51" s="1134">
        <v>0</v>
      </c>
      <c r="F51" s="1133">
        <v>0.1403226783</v>
      </c>
      <c r="G51" s="1133">
        <v>0.10560899999999999</v>
      </c>
      <c r="H51" s="1135">
        <f t="shared" si="5"/>
        <v>9.6773216999999911E-3</v>
      </c>
      <c r="J51" s="1136">
        <v>1.1225814264000001E-2</v>
      </c>
      <c r="K51" s="1135">
        <f t="shared" si="6"/>
        <v>-1.5484925640000102E-3</v>
      </c>
      <c r="M51" s="106">
        <f t="shared" si="8"/>
        <v>-1.0217802485538224E-2</v>
      </c>
      <c r="N51" s="1133">
        <v>0.143899237614078</v>
      </c>
      <c r="O51" s="109">
        <f t="shared" si="1"/>
        <v>2.6894527078614163E-5</v>
      </c>
      <c r="P51" s="1137">
        <f t="shared" si="7"/>
        <v>2.8078824252601481E-7</v>
      </c>
      <c r="Q51" s="1131"/>
    </row>
    <row r="52" spans="2:17">
      <c r="B52" s="1132" t="s">
        <v>862</v>
      </c>
      <c r="C52" s="1133">
        <v>0.31212011066829271</v>
      </c>
      <c r="D52" s="1134">
        <v>0</v>
      </c>
      <c r="E52" s="1134">
        <v>0</v>
      </c>
      <c r="F52" s="1133">
        <v>0.31705705140000001</v>
      </c>
      <c r="G52" s="1133">
        <v>0.238622</v>
      </c>
      <c r="H52" s="1135">
        <f t="shared" si="5"/>
        <v>-4.9369407317073066E-3</v>
      </c>
      <c r="J52" s="1136">
        <v>3.1825128643610666E-2</v>
      </c>
      <c r="K52" s="1135">
        <f t="shared" si="6"/>
        <v>-3.6762069375317973E-2</v>
      </c>
      <c r="M52" s="106">
        <f t="shared" si="8"/>
        <v>-0.10537101485298754</v>
      </c>
      <c r="N52" s="1133">
        <v>0.35708329333863797</v>
      </c>
      <c r="O52" s="109">
        <f t="shared" si="1"/>
        <v>6.6738270898783288E-5</v>
      </c>
      <c r="P52" s="1137">
        <f t="shared" si="7"/>
        <v>7.409984101678548E-5</v>
      </c>
      <c r="Q52" s="1131"/>
    </row>
    <row r="53" spans="2:17">
      <c r="B53" s="1132" t="s">
        <v>863</v>
      </c>
      <c r="C53" s="1133">
        <v>0.15</v>
      </c>
      <c r="D53" s="1134">
        <v>0</v>
      </c>
      <c r="E53" s="1134">
        <v>0</v>
      </c>
      <c r="F53" s="1133">
        <v>0.16372210500000001</v>
      </c>
      <c r="G53" s="1133">
        <v>0.10596899999999999</v>
      </c>
      <c r="H53" s="1135">
        <f t="shared" si="5"/>
        <v>-1.3722105000000012E-2</v>
      </c>
      <c r="J53" s="1136">
        <v>1.3097768400000001E-2</v>
      </c>
      <c r="K53" s="1135">
        <f t="shared" si="6"/>
        <v>-2.6819873400000013E-2</v>
      </c>
      <c r="M53" s="106">
        <f t="shared" si="8"/>
        <v>-0.15167906686217553</v>
      </c>
      <c r="N53" s="1133">
        <v>0.11192162925539401</v>
      </c>
      <c r="O53" s="109">
        <f t="shared" si="1"/>
        <v>2.0917965505588795E-5</v>
      </c>
      <c r="P53" s="1137">
        <f t="shared" si="7"/>
        <v>4.8124999598617593E-5</v>
      </c>
      <c r="Q53" s="1131"/>
    </row>
    <row r="54" spans="2:17">
      <c r="B54" s="1132" t="s">
        <v>864</v>
      </c>
      <c r="C54" s="1133">
        <v>0.44775000000000004</v>
      </c>
      <c r="D54" s="1134">
        <v>0</v>
      </c>
      <c r="E54" s="1134">
        <v>0</v>
      </c>
      <c r="F54" s="1133">
        <v>0.46011336000000003</v>
      </c>
      <c r="G54" s="1133">
        <v>0.446712</v>
      </c>
      <c r="H54" s="1135">
        <f t="shared" si="5"/>
        <v>-1.236335999999999E-2</v>
      </c>
      <c r="J54" s="1136">
        <v>8.1435975794062865E-2</v>
      </c>
      <c r="K54" s="1135">
        <f t="shared" si="6"/>
        <v>-9.3799335794062855E-2</v>
      </c>
      <c r="M54" s="106">
        <f t="shared" si="8"/>
        <v>-0.17320552273695763</v>
      </c>
      <c r="N54" s="1133">
        <v>0.77634526959693939</v>
      </c>
      <c r="O54" s="109">
        <f t="shared" si="1"/>
        <v>1.4509763374511594E-4</v>
      </c>
      <c r="P54" s="1137">
        <f t="shared" si="7"/>
        <v>4.3529512277563459E-4</v>
      </c>
      <c r="Q54" s="1131"/>
    </row>
    <row r="55" spans="2:17">
      <c r="B55" s="1132" t="s">
        <v>865</v>
      </c>
      <c r="C55" s="1133">
        <v>0.19900000000000001</v>
      </c>
      <c r="D55" s="1134">
        <v>0</v>
      </c>
      <c r="E55" s="1134">
        <v>0</v>
      </c>
      <c r="F55" s="1133">
        <v>0.15099182</v>
      </c>
      <c r="G55" s="1133">
        <v>0.146594</v>
      </c>
      <c r="H55" s="1135">
        <f t="shared" si="5"/>
        <v>4.8008180000000011E-2</v>
      </c>
      <c r="J55" s="1136">
        <v>3.1294426191662068E-2</v>
      </c>
      <c r="K55" s="1135">
        <f t="shared" si="6"/>
        <v>1.6713753808337943E-2</v>
      </c>
      <c r="M55" s="106">
        <f t="shared" si="8"/>
        <v>9.1689604440943526E-2</v>
      </c>
      <c r="N55" s="1133">
        <v>0.28602194143045129</v>
      </c>
      <c r="O55" s="109">
        <f t="shared" si="1"/>
        <v>0</v>
      </c>
      <c r="P55" s="1137">
        <f t="shared" si="7"/>
        <v>0</v>
      </c>
      <c r="Q55" s="1131"/>
    </row>
    <row r="56" spans="2:17">
      <c r="B56" s="1132" t="s">
        <v>866</v>
      </c>
      <c r="C56" s="1133">
        <v>0.1</v>
      </c>
      <c r="D56" s="1134">
        <v>0</v>
      </c>
      <c r="E56" s="1134">
        <v>0</v>
      </c>
      <c r="F56" s="1133">
        <v>9.4180710000000001E-2</v>
      </c>
      <c r="G56" s="1133">
        <v>5.7457000000000001E-2</v>
      </c>
      <c r="H56" s="1135">
        <f t="shared" si="5"/>
        <v>5.8192900000000047E-3</v>
      </c>
      <c r="J56" s="1136">
        <v>7.5344568000000004E-3</v>
      </c>
      <c r="K56" s="1135">
        <f t="shared" si="6"/>
        <v>-1.7151667999999957E-3</v>
      </c>
      <c r="M56" s="106">
        <f t="shared" si="8"/>
        <v>-1.686244887522512E-2</v>
      </c>
      <c r="N56" s="1133">
        <v>0.101262426469166</v>
      </c>
      <c r="O56" s="109">
        <f t="shared" si="1"/>
        <v>1.8925778314580336E-5</v>
      </c>
      <c r="P56" s="1137">
        <f t="shared" si="7"/>
        <v>5.3813971033329278E-7</v>
      </c>
      <c r="Q56" s="1131"/>
    </row>
    <row r="57" spans="2:17">
      <c r="B57" s="1132" t="s">
        <v>867</v>
      </c>
      <c r="C57" s="1133">
        <v>8.4512805820895515E-2</v>
      </c>
      <c r="D57" s="1134">
        <v>0</v>
      </c>
      <c r="E57" s="1134">
        <v>0</v>
      </c>
      <c r="F57" s="1133">
        <v>0.11149347</v>
      </c>
      <c r="G57" s="1133">
        <v>7.8148999999999996E-2</v>
      </c>
      <c r="H57" s="1135">
        <f t="shared" si="5"/>
        <v>-2.6980664179104483E-2</v>
      </c>
      <c r="J57" s="1136">
        <v>8.9194775999999996E-3</v>
      </c>
      <c r="K57" s="1135">
        <f t="shared" si="6"/>
        <v>-3.5900141779104486E-2</v>
      </c>
      <c r="M57" s="106">
        <f t="shared" si="8"/>
        <v>-0.29814187340020304</v>
      </c>
      <c r="N57" s="1133">
        <v>0.149228839007192</v>
      </c>
      <c r="O57" s="109">
        <f t="shared" si="1"/>
        <v>2.7890620674118393E-5</v>
      </c>
      <c r="P57" s="1137">
        <f t="shared" si="7"/>
        <v>2.479157574293074E-4</v>
      </c>
      <c r="Q57" s="1131"/>
    </row>
    <row r="58" spans="2:17">
      <c r="B58" s="1132" t="s">
        <v>868</v>
      </c>
      <c r="C58" s="1133">
        <v>4.3605422044444439E-2</v>
      </c>
      <c r="D58" s="1134">
        <v>0</v>
      </c>
      <c r="E58" s="1134">
        <v>0</v>
      </c>
      <c r="F58" s="1133">
        <v>7.3524720000000002E-2</v>
      </c>
      <c r="G58" s="1133">
        <v>5.0023999999999999E-2</v>
      </c>
      <c r="H58" s="1135">
        <f t="shared" si="5"/>
        <v>-2.9919297955555563E-2</v>
      </c>
      <c r="J58" s="1136">
        <v>5.8819776000000002E-3</v>
      </c>
      <c r="K58" s="1135">
        <f t="shared" si="6"/>
        <v>-3.580127555555556E-2</v>
      </c>
      <c r="M58" s="106">
        <f t="shared" si="8"/>
        <v>-0.45085964581853555</v>
      </c>
      <c r="N58" s="1133">
        <v>0.101262426469166</v>
      </c>
      <c r="O58" s="109">
        <f t="shared" si="1"/>
        <v>1.8925778314580336E-5</v>
      </c>
      <c r="P58" s="1137">
        <f t="shared" si="7"/>
        <v>3.8471266142526932E-4</v>
      </c>
      <c r="Q58" s="1131"/>
    </row>
    <row r="59" spans="2:17">
      <c r="B59" s="1132" t="s">
        <v>869</v>
      </c>
      <c r="C59" s="1133">
        <v>0.04</v>
      </c>
      <c r="D59" s="1134">
        <v>0</v>
      </c>
      <c r="E59" s="1134">
        <v>0</v>
      </c>
      <c r="F59" s="1133">
        <v>3.4309670799999997E-2</v>
      </c>
      <c r="G59" s="1133">
        <v>2.3458E-2</v>
      </c>
      <c r="H59" s="1135">
        <f t="shared" si="5"/>
        <v>5.6903292000000036E-3</v>
      </c>
      <c r="J59" s="1136">
        <v>2.7447736639999998E-3</v>
      </c>
      <c r="K59" s="1135">
        <f t="shared" si="6"/>
        <v>2.9455555360000038E-3</v>
      </c>
      <c r="M59" s="106">
        <f t="shared" si="8"/>
        <v>7.9492637890219597E-2</v>
      </c>
      <c r="N59" s="1133">
        <v>7.106135190818666E-2</v>
      </c>
      <c r="O59" s="109">
        <f t="shared" si="1"/>
        <v>0</v>
      </c>
      <c r="P59" s="1137">
        <f t="shared" si="7"/>
        <v>0</v>
      </c>
      <c r="Q59" s="1131"/>
    </row>
    <row r="60" spans="2:17">
      <c r="B60" s="1132" t="s">
        <v>870</v>
      </c>
      <c r="C60" s="1133">
        <v>0.14418762506666666</v>
      </c>
      <c r="D60" s="1134">
        <v>0</v>
      </c>
      <c r="E60" s="1134">
        <v>0</v>
      </c>
      <c r="F60" s="1133">
        <v>0.1478381248</v>
      </c>
      <c r="G60" s="1133">
        <v>0.104768</v>
      </c>
      <c r="H60" s="1135">
        <f t="shared" si="5"/>
        <v>-3.65049973333334E-3</v>
      </c>
      <c r="J60" s="1136">
        <v>1.1827049984E-2</v>
      </c>
      <c r="K60" s="1135">
        <f t="shared" si="6"/>
        <v>-1.547754971733334E-2</v>
      </c>
      <c r="M60" s="106">
        <f t="shared" si="8"/>
        <v>-9.6937542819038963E-2</v>
      </c>
      <c r="N60" s="1133">
        <v>0.24693819788094867</v>
      </c>
      <c r="O60" s="109">
        <f t="shared" si="1"/>
        <v>4.6152336591695909E-5</v>
      </c>
      <c r="P60" s="1137">
        <f t="shared" si="7"/>
        <v>4.3368830132826468E-5</v>
      </c>
      <c r="Q60" s="1131"/>
    </row>
    <row r="61" spans="2:17">
      <c r="B61" s="1132" t="s">
        <v>871</v>
      </c>
      <c r="C61" s="1133">
        <v>0.05</v>
      </c>
      <c r="D61" s="1134">
        <v>0</v>
      </c>
      <c r="E61" s="1134">
        <v>0</v>
      </c>
      <c r="F61" s="1133">
        <v>3.3684720000000001E-2</v>
      </c>
      <c r="G61" s="1133">
        <v>2.2023999999999998E-2</v>
      </c>
      <c r="H61" s="1135">
        <f t="shared" si="5"/>
        <v>1.6315280000000001E-2</v>
      </c>
      <c r="J61" s="1136">
        <v>2.6947776E-3</v>
      </c>
      <c r="K61" s="1135">
        <f t="shared" si="6"/>
        <v>1.3620502400000001E-2</v>
      </c>
      <c r="M61" s="106">
        <f t="shared" si="8"/>
        <v>0.3744005084886054</v>
      </c>
      <c r="N61" s="1133">
        <v>4.7966412538026006E-2</v>
      </c>
      <c r="O61" s="109">
        <f t="shared" si="1"/>
        <v>0</v>
      </c>
      <c r="P61" s="1137">
        <f t="shared" si="7"/>
        <v>0</v>
      </c>
      <c r="Q61" s="1131"/>
    </row>
    <row r="62" spans="2:17">
      <c r="B62" s="1132" t="s">
        <v>872</v>
      </c>
      <c r="C62" s="1133">
        <v>0.29161057294999965</v>
      </c>
      <c r="D62" s="1134">
        <v>0</v>
      </c>
      <c r="E62" s="1134">
        <v>0</v>
      </c>
      <c r="F62" s="1133">
        <v>0.36356439420000003</v>
      </c>
      <c r="G62" s="1133">
        <v>0.28013900000000003</v>
      </c>
      <c r="H62" s="1135">
        <f t="shared" si="5"/>
        <v>-7.1953821250000383E-2</v>
      </c>
      <c r="J62" s="1136">
        <v>2.9085151536000001E-2</v>
      </c>
      <c r="K62" s="1135">
        <f t="shared" si="6"/>
        <v>-0.10103897278600038</v>
      </c>
      <c r="M62" s="106">
        <f t="shared" si="8"/>
        <v>-0.25732609112435967</v>
      </c>
      <c r="N62" s="1133">
        <v>0.95044558177199667</v>
      </c>
      <c r="O62" s="109">
        <f t="shared" si="1"/>
        <v>1.7763669119825405E-4</v>
      </c>
      <c r="P62" s="1137">
        <f t="shared" si="7"/>
        <v>1.1762518540683123E-3</v>
      </c>
      <c r="Q62" s="1131"/>
    </row>
    <row r="63" spans="2:17">
      <c r="B63" s="1132" t="s">
        <v>873</v>
      </c>
      <c r="C63" s="1133">
        <v>1.5</v>
      </c>
      <c r="D63" s="1134">
        <v>0</v>
      </c>
      <c r="E63" s="1134">
        <v>0</v>
      </c>
      <c r="F63" s="1133">
        <v>1.2482170399999999</v>
      </c>
      <c r="G63" s="1133">
        <v>0.97496799999999995</v>
      </c>
      <c r="H63" s="1135">
        <f>+C63+D63-E63-F63</f>
        <v>0.25178296000000011</v>
      </c>
      <c r="J63" s="1136">
        <v>0.16454480264719284</v>
      </c>
      <c r="K63" s="1135">
        <f>+H63-J63</f>
        <v>8.7238157352807266E-2</v>
      </c>
      <c r="M63" s="106">
        <f>+IF(ISERROR(K63/(F63+J63)),0,K63/(F63+J63))</f>
        <v>6.1750080388172791E-2</v>
      </c>
      <c r="N63" s="1133">
        <v>1.5953273503387908</v>
      </c>
      <c r="O63" s="109">
        <f t="shared" si="1"/>
        <v>0</v>
      </c>
      <c r="P63" s="1137">
        <f>(M63^2*O63)*100</f>
        <v>0</v>
      </c>
      <c r="Q63" s="1131"/>
    </row>
    <row r="64" spans="2:17">
      <c r="B64" s="1132" t="s">
        <v>874</v>
      </c>
      <c r="C64" s="1133">
        <v>5.7710000000000004E-2</v>
      </c>
      <c r="D64" s="1134">
        <v>0</v>
      </c>
      <c r="E64" s="1134">
        <v>0</v>
      </c>
      <c r="F64" s="1133">
        <v>3.7963740000000003E-2</v>
      </c>
      <c r="G64" s="1133">
        <v>3.6858000000000002E-2</v>
      </c>
      <c r="H64" s="1135">
        <f t="shared" ref="H64:H87" si="9">+C64+D64-E64-F64</f>
        <v>1.9746260000000002E-2</v>
      </c>
      <c r="J64" s="1136">
        <v>3.0370992000000002E-3</v>
      </c>
      <c r="K64" s="1135">
        <f t="shared" ref="K64:K87" si="10">+H64-J64</f>
        <v>1.6709160800000001E-2</v>
      </c>
      <c r="M64" s="106">
        <f>+IF(ISERROR(K64/(F64+J64)),0,K64/(F64+J64))</f>
        <v>0.40753216582942531</v>
      </c>
      <c r="N64" s="1133">
        <v>4.7966412538026006E-2</v>
      </c>
      <c r="O64" s="109">
        <f t="shared" si="1"/>
        <v>0</v>
      </c>
      <c r="P64" s="1137">
        <f t="shared" ref="P64:P87" si="11">(M64^2*O64)*100</f>
        <v>0</v>
      </c>
      <c r="Q64" s="1131"/>
    </row>
    <row r="65" spans="2:17">
      <c r="B65" s="1132" t="s">
        <v>875</v>
      </c>
      <c r="C65" s="1133">
        <v>0.13961543826478873</v>
      </c>
      <c r="D65" s="1134">
        <v>0</v>
      </c>
      <c r="E65" s="1134">
        <v>0</v>
      </c>
      <c r="F65" s="1133">
        <v>0.28057134080000001</v>
      </c>
      <c r="G65" s="1133">
        <v>0.212812</v>
      </c>
      <c r="H65" s="1135">
        <f t="shared" si="9"/>
        <v>-0.14095590253521129</v>
      </c>
      <c r="J65" s="1136">
        <v>2.8467927259551062E-2</v>
      </c>
      <c r="K65" s="1135">
        <f t="shared" si="10"/>
        <v>-0.16942382979476234</v>
      </c>
      <c r="M65" s="106">
        <f t="shared" ref="M65:M87" si="12">+IF(ISERROR(K65/(F65+J65)),0,K65/(F65+J65))</f>
        <v>-0.5482275144468528</v>
      </c>
      <c r="N65" s="1133">
        <v>0.52585400412058125</v>
      </c>
      <c r="O65" s="109">
        <f t="shared" si="1"/>
        <v>9.8281234756417176E-5</v>
      </c>
      <c r="P65" s="1137">
        <f t="shared" si="11"/>
        <v>2.9538760008840041E-3</v>
      </c>
      <c r="Q65" s="1131"/>
    </row>
    <row r="66" spans="2:17">
      <c r="B66" s="1132" t="s">
        <v>876</v>
      </c>
      <c r="C66" s="1133">
        <v>2.4E-2</v>
      </c>
      <c r="D66" s="1134">
        <v>0</v>
      </c>
      <c r="E66" s="1134">
        <v>0</v>
      </c>
      <c r="F66" s="1133">
        <v>4.0090896000000008E-2</v>
      </c>
      <c r="G66" s="1133">
        <v>2.5440000000000001E-2</v>
      </c>
      <c r="H66" s="1135">
        <f t="shared" si="9"/>
        <v>-1.6090896000000007E-2</v>
      </c>
      <c r="J66" s="1136">
        <v>3.2072716800000006E-3</v>
      </c>
      <c r="K66" s="1135">
        <f t="shared" si="10"/>
        <v>-1.9298167680000009E-2</v>
      </c>
      <c r="M66" s="106">
        <f t="shared" si="12"/>
        <v>-0.44570402661436609</v>
      </c>
      <c r="N66" s="1133">
        <v>6.5731750515072657E-2</v>
      </c>
      <c r="O66" s="109">
        <f t="shared" si="1"/>
        <v>1.2285154344552147E-5</v>
      </c>
      <c r="P66" s="1137">
        <f t="shared" si="11"/>
        <v>2.4404714555613076E-4</v>
      </c>
      <c r="Q66" s="1131"/>
    </row>
    <row r="67" spans="2:17">
      <c r="B67" s="1132" t="s">
        <v>877</v>
      </c>
      <c r="C67" s="1133">
        <v>6.8216793548387097E-2</v>
      </c>
      <c r="D67" s="1134">
        <v>0</v>
      </c>
      <c r="E67" s="1134">
        <v>0</v>
      </c>
      <c r="F67" s="1133">
        <v>0.1585376</v>
      </c>
      <c r="G67" s="1133">
        <v>0.11840000000000001</v>
      </c>
      <c r="H67" s="1135">
        <f t="shared" si="9"/>
        <v>-9.0320806451612903E-2</v>
      </c>
      <c r="J67" s="1136">
        <v>1.2683008000000001E-2</v>
      </c>
      <c r="K67" s="1135">
        <f t="shared" si="10"/>
        <v>-0.1030038144516129</v>
      </c>
      <c r="M67" s="106">
        <f t="shared" si="12"/>
        <v>-0.60158537955672309</v>
      </c>
      <c r="N67" s="1133">
        <v>0.23094939370160669</v>
      </c>
      <c r="O67" s="109">
        <f t="shared" si="1"/>
        <v>4.316405580518323E-5</v>
      </c>
      <c r="P67" s="1137">
        <f t="shared" si="11"/>
        <v>1.5621286273617592E-3</v>
      </c>
      <c r="Q67" s="1131"/>
    </row>
    <row r="68" spans="2:17">
      <c r="B68" s="1132" t="s">
        <v>878</v>
      </c>
      <c r="C68" s="1133">
        <v>0.01</v>
      </c>
      <c r="D68" s="1134">
        <v>0</v>
      </c>
      <c r="E68" s="1134">
        <v>0</v>
      </c>
      <c r="F68" s="1133">
        <v>2.5018288000000001E-3</v>
      </c>
      <c r="G68" s="1133">
        <v>1.598E-3</v>
      </c>
      <c r="H68" s="1135">
        <f t="shared" si="9"/>
        <v>7.4981712000000006E-3</v>
      </c>
      <c r="J68" s="1136">
        <v>2.0014630400000001E-4</v>
      </c>
      <c r="K68" s="1135">
        <f t="shared" si="10"/>
        <v>7.2980248960000009E-3</v>
      </c>
      <c r="M68" s="106">
        <f t="shared" si="12"/>
        <v>2.7009963508531278</v>
      </c>
      <c r="N68" s="1133">
        <v>2.1318405572455998E-2</v>
      </c>
      <c r="O68" s="109">
        <f t="shared" si="1"/>
        <v>0</v>
      </c>
      <c r="P68" s="1137">
        <f t="shared" si="11"/>
        <v>0</v>
      </c>
      <c r="Q68" s="1131"/>
    </row>
    <row r="69" spans="2:17">
      <c r="B69" s="1132" t="s">
        <v>879</v>
      </c>
      <c r="C69" s="1133">
        <v>0.38</v>
      </c>
      <c r="D69" s="1134">
        <v>0</v>
      </c>
      <c r="E69" s="1134">
        <v>0</v>
      </c>
      <c r="F69" s="1133">
        <v>0.30926862399999999</v>
      </c>
      <c r="G69" s="1133">
        <v>0.22078</v>
      </c>
      <c r="H69" s="1135">
        <f t="shared" si="9"/>
        <v>7.0731376000000012E-2</v>
      </c>
      <c r="J69" s="1136">
        <v>2.4741489919999998E-2</v>
      </c>
      <c r="K69" s="1135">
        <f t="shared" si="10"/>
        <v>4.5989886080000014E-2</v>
      </c>
      <c r="M69" s="106">
        <f t="shared" si="12"/>
        <v>0.13769010027946404</v>
      </c>
      <c r="N69" s="1133">
        <v>0.40327317207895935</v>
      </c>
      <c r="O69" s="109">
        <f t="shared" si="1"/>
        <v>0</v>
      </c>
      <c r="P69" s="1137">
        <f t="shared" si="11"/>
        <v>0</v>
      </c>
      <c r="Q69" s="1131"/>
    </row>
    <row r="70" spans="2:17">
      <c r="B70" s="1132" t="s">
        <v>880</v>
      </c>
      <c r="C70" s="1133">
        <v>0.21307004062499998</v>
      </c>
      <c r="D70" s="1134">
        <v>0</v>
      </c>
      <c r="E70" s="1134">
        <v>0</v>
      </c>
      <c r="F70" s="1133">
        <v>0.16568615</v>
      </c>
      <c r="G70" s="1133">
        <v>0.13270499999999999</v>
      </c>
      <c r="H70" s="1135">
        <f t="shared" si="9"/>
        <v>4.738389062499998E-2</v>
      </c>
      <c r="J70" s="1136">
        <v>1.3254892000000001E-2</v>
      </c>
      <c r="K70" s="1135">
        <f t="shared" si="10"/>
        <v>3.4128998624999976E-2</v>
      </c>
      <c r="M70" s="106">
        <f t="shared" si="12"/>
        <v>0.19072761756355469</v>
      </c>
      <c r="N70" s="1133">
        <v>0.20963098812915065</v>
      </c>
      <c r="O70" s="109">
        <f t="shared" si="1"/>
        <v>0</v>
      </c>
      <c r="P70" s="1137">
        <f t="shared" si="11"/>
        <v>0</v>
      </c>
      <c r="Q70" s="1131"/>
    </row>
    <row r="71" spans="2:17">
      <c r="B71" s="1132" t="s">
        <v>881</v>
      </c>
      <c r="C71" s="1133">
        <v>0.19500000000000001</v>
      </c>
      <c r="D71" s="1134">
        <v>0</v>
      </c>
      <c r="E71" s="1134">
        <v>0</v>
      </c>
      <c r="F71" s="1133">
        <v>7.2388039500000015E-2</v>
      </c>
      <c r="G71" s="1133">
        <v>5.2059000000000001E-2</v>
      </c>
      <c r="H71" s="1135">
        <f t="shared" si="9"/>
        <v>0.12261196049999999</v>
      </c>
      <c r="J71" s="1136">
        <v>5.7910431600000012E-3</v>
      </c>
      <c r="K71" s="1135">
        <f t="shared" si="10"/>
        <v>0.11682091734</v>
      </c>
      <c r="M71" s="106">
        <f t="shared" si="12"/>
        <v>1.4942733192208575</v>
      </c>
      <c r="N71" s="1133">
        <v>0.21851365711767401</v>
      </c>
      <c r="O71" s="109">
        <f t="shared" si="1"/>
        <v>0</v>
      </c>
      <c r="P71" s="1137">
        <f t="shared" si="11"/>
        <v>0</v>
      </c>
      <c r="Q71" s="1131"/>
    </row>
    <row r="72" spans="2:17">
      <c r="B72" s="1132" t="s">
        <v>882</v>
      </c>
      <c r="C72" s="1133">
        <v>2.5999999999999999E-2</v>
      </c>
      <c r="D72" s="1134">
        <v>0</v>
      </c>
      <c r="E72" s="1134">
        <v>0</v>
      </c>
      <c r="F72" s="1133">
        <v>1.8898543E-2</v>
      </c>
      <c r="G72" s="1133">
        <v>1.0793000000000001E-2</v>
      </c>
      <c r="H72" s="1135">
        <f t="shared" si="9"/>
        <v>7.1014569999999985E-3</v>
      </c>
      <c r="J72" s="1136">
        <v>2.3340158888628753E-3</v>
      </c>
      <c r="K72" s="1135">
        <f t="shared" si="10"/>
        <v>4.7674411111371228E-3</v>
      </c>
      <c r="M72" s="106">
        <f t="shared" si="12"/>
        <v>0.22453445842732556</v>
      </c>
      <c r="N72" s="1133">
        <v>5.3296013931140002E-2</v>
      </c>
      <c r="O72" s="109">
        <f t="shared" si="1"/>
        <v>0</v>
      </c>
      <c r="P72" s="1137">
        <f t="shared" si="11"/>
        <v>0</v>
      </c>
      <c r="Q72" s="1131"/>
    </row>
    <row r="73" spans="2:17">
      <c r="B73" s="1132" t="s">
        <v>883</v>
      </c>
      <c r="C73" s="1133">
        <v>2.1912957051546393</v>
      </c>
      <c r="D73" s="1134">
        <v>0</v>
      </c>
      <c r="E73" s="1134">
        <v>0</v>
      </c>
      <c r="F73" s="1133">
        <v>2.6208444499999999</v>
      </c>
      <c r="G73" s="1133">
        <v>2.1843149999999998</v>
      </c>
      <c r="H73" s="1135">
        <f t="shared" si="9"/>
        <v>-0.42954874484536054</v>
      </c>
      <c r="J73" s="1136">
        <v>0.209667556</v>
      </c>
      <c r="K73" s="1135">
        <f t="shared" si="10"/>
        <v>-0.63921630084536052</v>
      </c>
      <c r="M73" s="106">
        <f t="shared" si="12"/>
        <v>-0.22583062692911277</v>
      </c>
      <c r="N73" s="1133">
        <v>3.8225210572750719</v>
      </c>
      <c r="O73" s="109">
        <f t="shared" si="1"/>
        <v>7.144227988140475E-4</v>
      </c>
      <c r="P73" s="1137">
        <f t="shared" si="11"/>
        <v>3.6435185566569698E-3</v>
      </c>
      <c r="Q73" s="1131"/>
    </row>
    <row r="74" spans="2:17">
      <c r="B74" s="1132" t="s">
        <v>884</v>
      </c>
      <c r="C74" s="1133">
        <v>0.9689522888105262</v>
      </c>
      <c r="D74" s="1134">
        <v>0</v>
      </c>
      <c r="E74" s="1134">
        <v>0</v>
      </c>
      <c r="F74" s="1133">
        <v>0.52026948000000006</v>
      </c>
      <c r="G74" s="1133">
        <v>0.50511600000000001</v>
      </c>
      <c r="H74" s="1135">
        <f t="shared" si="9"/>
        <v>0.44868280881052613</v>
      </c>
      <c r="J74" s="1136">
        <v>7.4617026917230281E-2</v>
      </c>
      <c r="K74" s="1135">
        <f t="shared" si="10"/>
        <v>0.37406578189329587</v>
      </c>
      <c r="M74" s="106">
        <f t="shared" si="12"/>
        <v>0.62880192699570103</v>
      </c>
      <c r="N74" s="1133">
        <v>1.3600489563211113</v>
      </c>
      <c r="O74" s="109">
        <f t="shared" si="1"/>
        <v>0</v>
      </c>
      <c r="P74" s="1137">
        <f t="shared" si="11"/>
        <v>0</v>
      </c>
      <c r="Q74" s="1131"/>
    </row>
    <row r="75" spans="2:17">
      <c r="B75" s="1132" t="s">
        <v>885</v>
      </c>
      <c r="C75" s="1133">
        <v>0.34865611666666668</v>
      </c>
      <c r="D75" s="1134">
        <v>0</v>
      </c>
      <c r="E75" s="1134">
        <v>0</v>
      </c>
      <c r="F75" s="1133">
        <v>0.57575595000000002</v>
      </c>
      <c r="G75" s="1133">
        <v>0.44636500000000001</v>
      </c>
      <c r="H75" s="1135">
        <f t="shared" si="9"/>
        <v>-0.22709983333333333</v>
      </c>
      <c r="J75" s="1136">
        <v>4.6060476000000003E-2</v>
      </c>
      <c r="K75" s="1135">
        <f t="shared" si="10"/>
        <v>-0.27316030933333335</v>
      </c>
      <c r="M75" s="106">
        <f t="shared" si="12"/>
        <v>-0.43929413555462005</v>
      </c>
      <c r="N75" s="1133">
        <v>0.54717240969303726</v>
      </c>
      <c r="O75" s="109">
        <f t="shared" si="1"/>
        <v>1.0226560913843409E-4</v>
      </c>
      <c r="P75" s="1137">
        <f t="shared" si="11"/>
        <v>1.9735149503911087E-3</v>
      </c>
      <c r="Q75" s="1131"/>
    </row>
    <row r="76" spans="2:17">
      <c r="B76" s="1132" t="s">
        <v>886</v>
      </c>
      <c r="C76" s="1133">
        <v>0.28332911279069772</v>
      </c>
      <c r="D76" s="1134">
        <v>0</v>
      </c>
      <c r="E76" s="1134">
        <v>0</v>
      </c>
      <c r="F76" s="1133">
        <v>0.35328484999999998</v>
      </c>
      <c r="G76" s="1133">
        <v>0.27439599999999997</v>
      </c>
      <c r="H76" s="1135">
        <f t="shared" si="9"/>
        <v>-6.995573720930226E-2</v>
      </c>
      <c r="J76" s="1136">
        <v>2.8262788E-2</v>
      </c>
      <c r="K76" s="1135">
        <f t="shared" si="10"/>
        <v>-9.8218525209302257E-2</v>
      </c>
      <c r="M76" s="106">
        <f t="shared" si="12"/>
        <v>-0.25742139493811322</v>
      </c>
      <c r="N76" s="1133">
        <v>0.3926139692927314</v>
      </c>
      <c r="O76" s="109">
        <f t="shared" si="1"/>
        <v>7.3378894868811499E-5</v>
      </c>
      <c r="P76" s="1137">
        <f t="shared" si="11"/>
        <v>4.8625093057106435E-4</v>
      </c>
      <c r="Q76" s="1131"/>
    </row>
    <row r="77" spans="2:17">
      <c r="B77" s="1132" t="s">
        <v>887</v>
      </c>
      <c r="C77" s="1133">
        <v>0.4</v>
      </c>
      <c r="D77" s="1134">
        <v>0</v>
      </c>
      <c r="E77" s="1134">
        <v>0</v>
      </c>
      <c r="F77" s="1133">
        <v>0.43567764000000003</v>
      </c>
      <c r="G77" s="1133">
        <v>0.35249000000000003</v>
      </c>
      <c r="H77" s="1135">
        <f t="shared" si="9"/>
        <v>-3.567764000000001E-2</v>
      </c>
      <c r="J77" s="1136">
        <v>4.5497206588664414E-2</v>
      </c>
      <c r="K77" s="1135">
        <f t="shared" si="10"/>
        <v>-8.1174846588664418E-2</v>
      </c>
      <c r="M77" s="106">
        <f t="shared" si="12"/>
        <v>-0.16870135079620502</v>
      </c>
      <c r="N77" s="1133">
        <v>0.66264710654384062</v>
      </c>
      <c r="O77" s="109">
        <f t="shared" si="1"/>
        <v>1.2384763704102571E-4</v>
      </c>
      <c r="P77" s="1137">
        <f t="shared" si="11"/>
        <v>3.5247218022766596E-4</v>
      </c>
      <c r="Q77" s="1131"/>
    </row>
    <row r="78" spans="2:17">
      <c r="B78" s="1132" t="s">
        <v>888</v>
      </c>
      <c r="C78" s="1133">
        <v>6.1626204210526329E-2</v>
      </c>
      <c r="D78" s="1134">
        <v>0</v>
      </c>
      <c r="E78" s="1134">
        <v>0</v>
      </c>
      <c r="F78" s="1133">
        <v>0.19063426999999999</v>
      </c>
      <c r="G78" s="1133">
        <v>0.13750899999999999</v>
      </c>
      <c r="H78" s="1135">
        <f t="shared" si="9"/>
        <v>-0.12900806578947366</v>
      </c>
      <c r="J78" s="1136">
        <v>1.5250741599999999E-2</v>
      </c>
      <c r="K78" s="1135">
        <f t="shared" si="10"/>
        <v>-0.14425880738947366</v>
      </c>
      <c r="M78" s="106">
        <f t="shared" si="12"/>
        <v>-0.70067658771462349</v>
      </c>
      <c r="N78" s="1133">
        <v>0.34820062435011473</v>
      </c>
      <c r="O78" s="109">
        <f t="shared" ref="O78:O141" si="13">IF(K78&lt;0,N78/$N$263,0)</f>
        <v>6.5078114906276256E-5</v>
      </c>
      <c r="P78" s="1137">
        <f t="shared" si="11"/>
        <v>3.1949949569195935E-3</v>
      </c>
      <c r="Q78" s="1131"/>
    </row>
    <row r="79" spans="2:17">
      <c r="B79" s="1132" t="s">
        <v>889</v>
      </c>
      <c r="C79" s="1133">
        <v>0.19</v>
      </c>
      <c r="D79" s="1134">
        <v>0</v>
      </c>
      <c r="E79" s="1134">
        <v>0</v>
      </c>
      <c r="F79" s="1133">
        <v>0.22999689880000002</v>
      </c>
      <c r="G79" s="1133">
        <v>0.18007899999999999</v>
      </c>
      <c r="H79" s="1135">
        <f t="shared" si="9"/>
        <v>-3.9996898800000014E-2</v>
      </c>
      <c r="J79" s="1136">
        <v>1.8399751904000002E-2</v>
      </c>
      <c r="K79" s="1135">
        <f t="shared" si="10"/>
        <v>-5.8396650704000019E-2</v>
      </c>
      <c r="M79" s="106">
        <f t="shared" si="12"/>
        <v>-0.23509435629866018</v>
      </c>
      <c r="N79" s="1133">
        <v>0.54361934209762808</v>
      </c>
      <c r="O79" s="109">
        <f t="shared" si="13"/>
        <v>1.016015467414313E-4</v>
      </c>
      <c r="P79" s="1137">
        <f t="shared" si="11"/>
        <v>5.615452093933077E-4</v>
      </c>
      <c r="Q79" s="1131"/>
    </row>
    <row r="80" spans="2:17">
      <c r="B80" s="1132" t="s">
        <v>890</v>
      </c>
      <c r="C80" s="1133">
        <v>0</v>
      </c>
      <c r="D80" s="1134">
        <v>0</v>
      </c>
      <c r="E80" s="1134">
        <v>0</v>
      </c>
      <c r="F80" s="1133">
        <v>0.12052553240000001</v>
      </c>
      <c r="G80" s="1133">
        <v>9.5913999999999999E-2</v>
      </c>
      <c r="H80" s="1135">
        <f t="shared" si="9"/>
        <v>-0.12052553240000001</v>
      </c>
      <c r="J80" s="1136">
        <v>9.6420425920000011E-3</v>
      </c>
      <c r="K80" s="1135">
        <f t="shared" si="10"/>
        <v>-0.13016757499200002</v>
      </c>
      <c r="M80" s="106">
        <f t="shared" si="12"/>
        <v>-1</v>
      </c>
      <c r="N80" s="1133">
        <v>0.24693819788094867</v>
      </c>
      <c r="O80" s="109">
        <f t="shared" si="13"/>
        <v>4.6152336591695909E-5</v>
      </c>
      <c r="P80" s="1137">
        <f t="shared" si="11"/>
        <v>4.6152336591695911E-3</v>
      </c>
      <c r="Q80" s="1131"/>
    </row>
    <row r="81" spans="2:17">
      <c r="B81" s="1132" t="s">
        <v>891</v>
      </c>
      <c r="C81" s="1133">
        <v>7.5236226315789495E-2</v>
      </c>
      <c r="D81" s="1134">
        <v>0</v>
      </c>
      <c r="E81" s="1134">
        <v>0</v>
      </c>
      <c r="F81" s="1133">
        <v>0.28610445000000001</v>
      </c>
      <c r="G81" s="1133">
        <v>0.22631499999999999</v>
      </c>
      <c r="H81" s="1135">
        <f t="shared" si="9"/>
        <v>-0.21086822368421052</v>
      </c>
      <c r="J81" s="1136">
        <v>4.2981363536487627E-2</v>
      </c>
      <c r="K81" s="1135">
        <f t="shared" si="10"/>
        <v>-0.25384958722069817</v>
      </c>
      <c r="M81" s="106">
        <f t="shared" si="12"/>
        <v>-0.77137809282244374</v>
      </c>
      <c r="N81" s="1133">
        <v>0.54217270492913383</v>
      </c>
      <c r="O81" s="109">
        <f t="shared" si="13"/>
        <v>1.0133117267172746E-4</v>
      </c>
      <c r="P81" s="1137">
        <f t="shared" si="11"/>
        <v>6.0294496112225995E-3</v>
      </c>
      <c r="Q81" s="1131"/>
    </row>
    <row r="82" spans="2:17">
      <c r="B82" s="1132" t="s">
        <v>892</v>
      </c>
      <c r="C82" s="1133">
        <v>0.54800000000000004</v>
      </c>
      <c r="D82" s="1134">
        <v>0</v>
      </c>
      <c r="E82" s="1134">
        <v>0</v>
      </c>
      <c r="F82" s="1133">
        <v>0.62052071900000005</v>
      </c>
      <c r="G82" s="1133">
        <v>0.46342100000000003</v>
      </c>
      <c r="H82" s="1135">
        <f t="shared" si="9"/>
        <v>-7.2520719000000011E-2</v>
      </c>
      <c r="J82" s="1136">
        <v>4.9641657520000007E-2</v>
      </c>
      <c r="K82" s="1135">
        <f t="shared" si="10"/>
        <v>-0.12216237652000002</v>
      </c>
      <c r="M82" s="106">
        <f t="shared" si="12"/>
        <v>-0.18228772727344272</v>
      </c>
      <c r="N82" s="1133">
        <v>0.92202104100872206</v>
      </c>
      <c r="O82" s="109">
        <f t="shared" si="13"/>
        <v>1.7232419202223152E-4</v>
      </c>
      <c r="P82" s="1137">
        <f t="shared" si="11"/>
        <v>5.7261287853949388E-4</v>
      </c>
      <c r="Q82" s="1131"/>
    </row>
    <row r="83" spans="2:17">
      <c r="B83" s="1132" t="s">
        <v>893</v>
      </c>
      <c r="C83" s="1133">
        <v>4.355183185204145E-2</v>
      </c>
      <c r="D83" s="1134">
        <v>0</v>
      </c>
      <c r="E83" s="1134">
        <v>0</v>
      </c>
      <c r="F83" s="1133">
        <v>0.20799002</v>
      </c>
      <c r="G83" s="1133">
        <v>0.148534</v>
      </c>
      <c r="H83" s="1135">
        <f t="shared" si="9"/>
        <v>-0.16443818814795855</v>
      </c>
      <c r="J83" s="1136">
        <v>2.5892282611580032E-2</v>
      </c>
      <c r="K83" s="1135">
        <f t="shared" si="10"/>
        <v>-0.19033047075953857</v>
      </c>
      <c r="M83" s="106">
        <f t="shared" si="12"/>
        <v>-0.81378739919296017</v>
      </c>
      <c r="N83" s="1133">
        <v>0.26292700206029063</v>
      </c>
      <c r="O83" s="109">
        <f t="shared" si="13"/>
        <v>4.9140617378208588E-5</v>
      </c>
      <c r="P83" s="1137">
        <f t="shared" si="11"/>
        <v>3.25433704722049E-3</v>
      </c>
      <c r="Q83" s="1131"/>
    </row>
    <row r="84" spans="2:17">
      <c r="B84" s="1132" t="s">
        <v>894</v>
      </c>
      <c r="C84" s="1133">
        <v>0.9546130312550607</v>
      </c>
      <c r="D84" s="1134">
        <v>0</v>
      </c>
      <c r="E84" s="1134">
        <v>0</v>
      </c>
      <c r="F84" s="1133">
        <v>1.0053359100000001</v>
      </c>
      <c r="G84" s="1133">
        <v>0.80129700000000004</v>
      </c>
      <c r="H84" s="1135">
        <f t="shared" si="9"/>
        <v>-5.0722878744939415E-2</v>
      </c>
      <c r="J84" s="1136">
        <v>8.0426872800000007E-2</v>
      </c>
      <c r="K84" s="1135">
        <f t="shared" si="10"/>
        <v>-0.13114975154493941</v>
      </c>
      <c r="M84" s="106">
        <f t="shared" si="12"/>
        <v>-0.1207904282800394</v>
      </c>
      <c r="N84" s="1133">
        <v>1.602419722651564</v>
      </c>
      <c r="O84" s="109">
        <f t="shared" si="13"/>
        <v>2.9948956878936007E-4</v>
      </c>
      <c r="P84" s="1137">
        <f t="shared" si="11"/>
        <v>4.369650910660438E-4</v>
      </c>
      <c r="Q84" s="1131"/>
    </row>
    <row r="85" spans="2:17">
      <c r="B85" s="1132" t="s">
        <v>895</v>
      </c>
      <c r="C85" s="1133">
        <v>0.16</v>
      </c>
      <c r="D85" s="1134">
        <v>0</v>
      </c>
      <c r="E85" s="1134">
        <v>0</v>
      </c>
      <c r="F85" s="1133">
        <v>0.12638146349999999</v>
      </c>
      <c r="G85" s="1133">
        <v>8.4621000000000002E-2</v>
      </c>
      <c r="H85" s="1135">
        <f t="shared" si="9"/>
        <v>3.3618536500000018E-2</v>
      </c>
      <c r="J85" s="1136">
        <v>1.0110517079999999E-2</v>
      </c>
      <c r="K85" s="1135">
        <f t="shared" si="10"/>
        <v>2.3508019420000019E-2</v>
      </c>
      <c r="M85" s="106">
        <f t="shared" si="12"/>
        <v>0.17223004106253423</v>
      </c>
      <c r="N85" s="1133">
        <v>0.17232377837735269</v>
      </c>
      <c r="O85" s="109">
        <f t="shared" si="13"/>
        <v>0</v>
      </c>
      <c r="P85" s="1137">
        <f t="shared" si="11"/>
        <v>0</v>
      </c>
      <c r="Q85" s="1131"/>
    </row>
    <row r="86" spans="2:17">
      <c r="B86" s="1132" t="s">
        <v>896</v>
      </c>
      <c r="C86" s="1133">
        <v>2.2228134516129035E-2</v>
      </c>
      <c r="D86" s="1134">
        <v>0</v>
      </c>
      <c r="E86" s="1134">
        <v>0</v>
      </c>
      <c r="F86" s="1133">
        <v>5.8163069999999997E-2</v>
      </c>
      <c r="G86" s="1133">
        <v>3.7645999999999999E-2</v>
      </c>
      <c r="H86" s="1135">
        <f t="shared" si="9"/>
        <v>-3.5934935483870958E-2</v>
      </c>
      <c r="J86" s="1136">
        <v>6.0838571219999993E-3</v>
      </c>
      <c r="K86" s="1135">
        <f t="shared" si="10"/>
        <v>-4.2018792605870957E-2</v>
      </c>
      <c r="M86" s="106">
        <f t="shared" si="12"/>
        <v>-0.65402026973337546</v>
      </c>
      <c r="N86" s="1133">
        <v>7.106135190818666E-2</v>
      </c>
      <c r="O86" s="109">
        <f t="shared" si="13"/>
        <v>1.3281247940056375E-5</v>
      </c>
      <c r="P86" s="1137">
        <f t="shared" si="11"/>
        <v>5.6809543726057802E-4</v>
      </c>
      <c r="Q86" s="1131"/>
    </row>
    <row r="87" spans="2:17">
      <c r="B87" s="1132" t="s">
        <v>897</v>
      </c>
      <c r="C87" s="1133">
        <v>1.3002172929870124</v>
      </c>
      <c r="D87" s="1134">
        <v>0</v>
      </c>
      <c r="E87" s="1134">
        <v>0</v>
      </c>
      <c r="F87" s="1133">
        <v>1.97745393</v>
      </c>
      <c r="G87" s="1133">
        <v>1.567431</v>
      </c>
      <c r="H87" s="1135">
        <f t="shared" si="9"/>
        <v>-0.67723663701298764</v>
      </c>
      <c r="J87" s="1136">
        <v>0.25981419707809844</v>
      </c>
      <c r="K87" s="1135">
        <f t="shared" si="10"/>
        <v>-0.93705083409108614</v>
      </c>
      <c r="M87" s="106">
        <f t="shared" si="12"/>
        <v>-0.41883707310258195</v>
      </c>
      <c r="N87" s="1133">
        <v>2.9639181678298052</v>
      </c>
      <c r="O87" s="109">
        <f t="shared" si="13"/>
        <v>5.539513533579461E-4</v>
      </c>
      <c r="P87" s="1137">
        <f t="shared" si="11"/>
        <v>9.71766357554886E-3</v>
      </c>
      <c r="Q87" s="1131"/>
    </row>
    <row r="88" spans="2:17">
      <c r="B88" s="1132" t="s">
        <v>898</v>
      </c>
      <c r="C88" s="1133">
        <v>0.51739999999999997</v>
      </c>
      <c r="D88" s="1134">
        <v>0</v>
      </c>
      <c r="E88" s="1134">
        <v>0</v>
      </c>
      <c r="F88" s="1133">
        <v>0.50563420999999997</v>
      </c>
      <c r="G88" s="1133">
        <v>0.49090699999999998</v>
      </c>
      <c r="H88" s="1135">
        <f>+C88+D88-E88-F88</f>
        <v>1.1765789999999998E-2</v>
      </c>
      <c r="J88" s="1136">
        <v>4.0450736799999998E-2</v>
      </c>
      <c r="K88" s="1135">
        <f>+H88-J88</f>
        <v>-2.86849468E-2</v>
      </c>
      <c r="M88" s="106">
        <f>+IF(ISERROR(K88/(F88+J88)),0,K88/(F88+J88))</f>
        <v>-5.2528360226903804E-2</v>
      </c>
      <c r="N88" s="1133">
        <v>0.92557410860413136</v>
      </c>
      <c r="O88" s="109">
        <f t="shared" si="13"/>
        <v>1.7298825441923433E-4</v>
      </c>
      <c r="P88" s="1137">
        <f>(M88^2*O88)*100</f>
        <v>4.7731414392333234E-5</v>
      </c>
      <c r="Q88" s="1131"/>
    </row>
    <row r="89" spans="2:17">
      <c r="B89" s="1132" t="s">
        <v>899</v>
      </c>
      <c r="C89" s="1133">
        <v>1.3</v>
      </c>
      <c r="D89" s="1134">
        <v>0</v>
      </c>
      <c r="E89" s="1134">
        <v>0</v>
      </c>
      <c r="F89" s="1133">
        <v>1.1165413416000001</v>
      </c>
      <c r="G89" s="1133">
        <v>0.79125599999999996</v>
      </c>
      <c r="H89" s="1135">
        <f t="shared" ref="H89:H112" si="14">+C89+D89-E89-F89</f>
        <v>0.18345865839999997</v>
      </c>
      <c r="J89" s="1136">
        <v>8.9323307328000007E-2</v>
      </c>
      <c r="K89" s="1135">
        <f t="shared" ref="K89:K112" si="15">+H89-J89</f>
        <v>9.4135351071999968E-2</v>
      </c>
      <c r="M89" s="106">
        <f>+IF(ISERROR(K89/(F89+J89)),0,K89/(F89+J89))</f>
        <v>7.8064607960508028E-2</v>
      </c>
      <c r="N89" s="1133">
        <v>1.4478750451293032</v>
      </c>
      <c r="O89" s="109">
        <f t="shared" si="13"/>
        <v>0</v>
      </c>
      <c r="P89" s="1137">
        <f t="shared" ref="P89:P112" si="16">(M89^2*O89)*100</f>
        <v>0</v>
      </c>
      <c r="Q89" s="1131"/>
    </row>
    <row r="90" spans="2:17">
      <c r="B90" s="1132" t="s">
        <v>900</v>
      </c>
      <c r="C90" s="1133">
        <v>0.42943689093061227</v>
      </c>
      <c r="D90" s="1134">
        <v>0</v>
      </c>
      <c r="E90" s="1134">
        <v>0</v>
      </c>
      <c r="F90" s="1133">
        <v>0.18567859440000001</v>
      </c>
      <c r="G90" s="1133">
        <v>0.118599</v>
      </c>
      <c r="H90" s="1135">
        <f t="shared" si="14"/>
        <v>0.24375829653061226</v>
      </c>
      <c r="J90" s="1136">
        <v>1.4854287552E-2</v>
      </c>
      <c r="K90" s="1135">
        <f t="shared" si="15"/>
        <v>0.22890400897861227</v>
      </c>
      <c r="M90" s="106">
        <f t="shared" ref="M90:M112" si="17">+IF(ISERROR(K90/(F90+J90)),0,K90/(F90+J90))</f>
        <v>1.1414786779626658</v>
      </c>
      <c r="N90" s="1133">
        <v>0.19056969511377361</v>
      </c>
      <c r="O90" s="109">
        <f t="shared" si="13"/>
        <v>0</v>
      </c>
      <c r="P90" s="1137">
        <f t="shared" si="16"/>
        <v>0</v>
      </c>
      <c r="Q90" s="1131"/>
    </row>
    <row r="91" spans="2:17">
      <c r="B91" s="1132" t="s">
        <v>901</v>
      </c>
      <c r="C91" s="1133">
        <v>5.6715000000000002E-2</v>
      </c>
      <c r="D91" s="1134">
        <v>0</v>
      </c>
      <c r="E91" s="1134">
        <v>0</v>
      </c>
      <c r="F91" s="1133">
        <v>3.2812710000000002E-2</v>
      </c>
      <c r="G91" s="1133">
        <v>3.1857000000000003E-2</v>
      </c>
      <c r="H91" s="1135">
        <f t="shared" si="14"/>
        <v>2.390229E-2</v>
      </c>
      <c r="J91" s="1136">
        <v>2.6250168000000003E-3</v>
      </c>
      <c r="K91" s="1135">
        <f t="shared" si="15"/>
        <v>2.1277273199999999E-2</v>
      </c>
      <c r="M91" s="106">
        <f t="shared" si="17"/>
        <v>0.60041303777983857</v>
      </c>
      <c r="N91" s="1133">
        <v>8.2858849129567078E-2</v>
      </c>
      <c r="O91" s="109">
        <f t="shared" si="13"/>
        <v>0</v>
      </c>
      <c r="P91" s="1137">
        <f t="shared" si="16"/>
        <v>0</v>
      </c>
      <c r="Q91" s="1131"/>
    </row>
    <row r="92" spans="2:17">
      <c r="B92" s="1132" t="s">
        <v>902</v>
      </c>
      <c r="C92" s="1133">
        <v>0.35322499999999996</v>
      </c>
      <c r="D92" s="1134">
        <v>0</v>
      </c>
      <c r="E92" s="1134">
        <v>0</v>
      </c>
      <c r="F92" s="1133">
        <v>0.31597515999999998</v>
      </c>
      <c r="G92" s="1133">
        <v>0.30677199999999999</v>
      </c>
      <c r="H92" s="1135">
        <f t="shared" si="14"/>
        <v>3.7249839999999979E-2</v>
      </c>
      <c r="J92" s="1136">
        <v>2.5278012799999999E-2</v>
      </c>
      <c r="K92" s="1135">
        <f t="shared" si="15"/>
        <v>1.1971827199999979E-2</v>
      </c>
      <c r="M92" s="106">
        <f t="shared" si="17"/>
        <v>3.5081951331823569E-2</v>
      </c>
      <c r="N92" s="1133">
        <v>0.51827397788886076</v>
      </c>
      <c r="O92" s="109">
        <f t="shared" si="13"/>
        <v>0</v>
      </c>
      <c r="P92" s="1137">
        <f t="shared" si="16"/>
        <v>0</v>
      </c>
      <c r="Q92" s="1131"/>
    </row>
    <row r="93" spans="2:17">
      <c r="B93" s="1132" t="s">
        <v>903</v>
      </c>
      <c r="C93" s="1133">
        <v>4.8849480326530616E-2</v>
      </c>
      <c r="D93" s="1134">
        <v>0</v>
      </c>
      <c r="E93" s="1134">
        <v>0</v>
      </c>
      <c r="F93" s="1133">
        <v>5.0715964000000002E-2</v>
      </c>
      <c r="G93" s="1133">
        <v>2.8964E-2</v>
      </c>
      <c r="H93" s="1135">
        <f t="shared" si="14"/>
        <v>-1.8664836734693865E-3</v>
      </c>
      <c r="J93" s="1136">
        <v>4.0572771200000001E-3</v>
      </c>
      <c r="K93" s="1135">
        <f t="shared" si="15"/>
        <v>-5.9237607934693867E-3</v>
      </c>
      <c r="M93" s="106">
        <f t="shared" si="17"/>
        <v>-0.10815063473222829</v>
      </c>
      <c r="N93" s="1133">
        <v>9.0982265710897195E-2</v>
      </c>
      <c r="O93" s="109">
        <f t="shared" si="13"/>
        <v>1.7004433445281889E-5</v>
      </c>
      <c r="P93" s="1137">
        <f t="shared" si="16"/>
        <v>1.9889337253855423E-5</v>
      </c>
      <c r="Q93" s="1131"/>
    </row>
    <row r="94" spans="2:17">
      <c r="B94" s="1132" t="s">
        <v>904</v>
      </c>
      <c r="C94" s="1133">
        <v>0.04</v>
      </c>
      <c r="D94" s="1134">
        <v>0</v>
      </c>
      <c r="E94" s="1134">
        <v>0</v>
      </c>
      <c r="F94" s="1133">
        <v>8.8990699999999985E-3</v>
      </c>
      <c r="G94" s="1133">
        <v>7.6689999999999996E-3</v>
      </c>
      <c r="H94" s="1135">
        <f t="shared" si="14"/>
        <v>3.1100930000000002E-2</v>
      </c>
      <c r="J94" s="1136">
        <v>7.1192559999999985E-4</v>
      </c>
      <c r="K94" s="1135">
        <f t="shared" si="15"/>
        <v>3.0389004400000003E-2</v>
      </c>
      <c r="M94" s="106">
        <f t="shared" si="17"/>
        <v>3.1618997307625452</v>
      </c>
      <c r="N94" s="1133">
        <v>5.3614549436778701E-2</v>
      </c>
      <c r="O94" s="109">
        <f t="shared" si="13"/>
        <v>0</v>
      </c>
      <c r="P94" s="1137">
        <f t="shared" si="16"/>
        <v>0</v>
      </c>
      <c r="Q94" s="1131"/>
    </row>
    <row r="95" spans="2:17">
      <c r="B95" s="1132" t="s">
        <v>905</v>
      </c>
      <c r="C95" s="1133">
        <v>0.61610998463235289</v>
      </c>
      <c r="D95" s="1134">
        <v>0</v>
      </c>
      <c r="E95" s="1134">
        <v>0</v>
      </c>
      <c r="F95" s="1133">
        <v>0.4017</v>
      </c>
      <c r="G95" s="1133">
        <v>0.39</v>
      </c>
      <c r="H95" s="1135">
        <f t="shared" si="14"/>
        <v>0.21440998463235289</v>
      </c>
      <c r="J95" s="1136">
        <v>5.0853152465477454E-2</v>
      </c>
      <c r="K95" s="1135">
        <f t="shared" si="15"/>
        <v>0.16355683216687544</v>
      </c>
      <c r="M95" s="106">
        <f t="shared" si="17"/>
        <v>0.36140911023562522</v>
      </c>
      <c r="N95" s="1133">
        <v>0.49601015857178549</v>
      </c>
      <c r="O95" s="109">
        <f t="shared" si="13"/>
        <v>0</v>
      </c>
      <c r="P95" s="1137">
        <f t="shared" si="16"/>
        <v>0</v>
      </c>
      <c r="Q95" s="1131"/>
    </row>
    <row r="96" spans="2:17">
      <c r="B96" s="1132" t="s">
        <v>906</v>
      </c>
      <c r="C96" s="1133">
        <v>0.35196742151428567</v>
      </c>
      <c r="D96" s="1134">
        <v>0</v>
      </c>
      <c r="E96" s="1134">
        <v>0</v>
      </c>
      <c r="F96" s="1133">
        <v>0.15334934580000001</v>
      </c>
      <c r="G96" s="1133">
        <v>0.111942</v>
      </c>
      <c r="H96" s="1135">
        <f t="shared" si="14"/>
        <v>0.19861807571428566</v>
      </c>
      <c r="J96" s="1136">
        <v>1.2267947664E-2</v>
      </c>
      <c r="K96" s="1135">
        <f t="shared" si="15"/>
        <v>0.18635012805028567</v>
      </c>
      <c r="M96" s="106">
        <f t="shared" si="17"/>
        <v>1.1251852035052869</v>
      </c>
      <c r="N96" s="1133">
        <v>0.32006261330440616</v>
      </c>
      <c r="O96" s="109">
        <f t="shared" si="13"/>
        <v>0</v>
      </c>
      <c r="P96" s="1137">
        <f t="shared" si="16"/>
        <v>0</v>
      </c>
      <c r="Q96" s="1131"/>
    </row>
    <row r="97" spans="2:17">
      <c r="B97" s="1132" t="s">
        <v>907</v>
      </c>
      <c r="C97" s="1133">
        <v>0.60478661562608693</v>
      </c>
      <c r="D97" s="1134">
        <v>0</v>
      </c>
      <c r="E97" s="1134">
        <v>0</v>
      </c>
      <c r="F97" s="1133">
        <v>0.48461294000000005</v>
      </c>
      <c r="G97" s="1133">
        <v>0.47049800000000003</v>
      </c>
      <c r="H97" s="1135">
        <f t="shared" si="14"/>
        <v>0.12017367562608688</v>
      </c>
      <c r="J97" s="1136">
        <v>3.8769035200000003E-2</v>
      </c>
      <c r="K97" s="1135">
        <f t="shared" si="15"/>
        <v>8.1404640426086888E-2</v>
      </c>
      <c r="M97" s="106">
        <f t="shared" si="17"/>
        <v>0.15553581186088747</v>
      </c>
      <c r="N97" s="1133">
        <v>0.58813536048829962</v>
      </c>
      <c r="O97" s="109">
        <f t="shared" si="13"/>
        <v>0</v>
      </c>
      <c r="P97" s="1137">
        <f t="shared" si="16"/>
        <v>0</v>
      </c>
      <c r="Q97" s="1131"/>
    </row>
    <row r="98" spans="2:17">
      <c r="B98" s="1132" t="s">
        <v>908</v>
      </c>
      <c r="C98" s="1133">
        <v>4.2627409999999992</v>
      </c>
      <c r="D98" s="1134">
        <v>0</v>
      </c>
      <c r="E98" s="1134">
        <v>0</v>
      </c>
      <c r="F98" s="1133">
        <v>3.9359606300000003</v>
      </c>
      <c r="G98" s="1133">
        <v>3.8213210000000002</v>
      </c>
      <c r="H98" s="1135">
        <f t="shared" si="14"/>
        <v>0.32678036999999893</v>
      </c>
      <c r="J98" s="1136">
        <v>0.31487685040000002</v>
      </c>
      <c r="K98" s="1135">
        <f t="shared" si="15"/>
        <v>1.1903519599998913E-2</v>
      </c>
      <c r="M98" s="106">
        <f t="shared" si="17"/>
        <v>2.8002763349303113E-3</v>
      </c>
      <c r="N98" s="1133">
        <v>5.4325933140372511</v>
      </c>
      <c r="O98" s="109">
        <f t="shared" si="13"/>
        <v>0</v>
      </c>
      <c r="P98" s="1137">
        <f t="shared" si="16"/>
        <v>0</v>
      </c>
      <c r="Q98" s="1131"/>
    </row>
    <row r="99" spans="2:17">
      <c r="B99" s="1132" t="s">
        <v>909</v>
      </c>
      <c r="C99" s="1133">
        <v>6.820766880549451</v>
      </c>
      <c r="D99" s="1134">
        <v>0</v>
      </c>
      <c r="E99" s="1134">
        <v>0</v>
      </c>
      <c r="F99" s="1133">
        <v>6.6184514300000004</v>
      </c>
      <c r="G99" s="1133">
        <v>6.425681</v>
      </c>
      <c r="H99" s="1135">
        <f t="shared" si="14"/>
        <v>0.20231545054945066</v>
      </c>
      <c r="J99" s="1136">
        <v>0.52947611440000009</v>
      </c>
      <c r="K99" s="1135">
        <f t="shared" si="15"/>
        <v>-0.32716066385054943</v>
      </c>
      <c r="M99" s="106">
        <f t="shared" si="17"/>
        <v>-4.5770002818070171E-2</v>
      </c>
      <c r="N99" s="1133">
        <v>14.301705631692171</v>
      </c>
      <c r="O99" s="109">
        <f t="shared" si="13"/>
        <v>2.6729648868152431E-3</v>
      </c>
      <c r="P99" s="1137">
        <f t="shared" si="16"/>
        <v>5.5995758528730216E-4</v>
      </c>
      <c r="Q99" s="1131"/>
    </row>
    <row r="100" spans="2:17">
      <c r="B100" s="1132" t="s">
        <v>910</v>
      </c>
      <c r="C100" s="1133">
        <v>0.59699999999999998</v>
      </c>
      <c r="D100" s="1134">
        <v>0</v>
      </c>
      <c r="E100" s="1134">
        <v>0</v>
      </c>
      <c r="F100" s="1133">
        <v>0.65315287000000011</v>
      </c>
      <c r="G100" s="1133">
        <v>0.63412900000000005</v>
      </c>
      <c r="H100" s="1135">
        <f t="shared" si="14"/>
        <v>-5.6152870000000132E-2</v>
      </c>
      <c r="J100" s="1136">
        <v>5.2252229600000012E-2</v>
      </c>
      <c r="K100" s="1135">
        <f t="shared" si="15"/>
        <v>-0.10840509960000014</v>
      </c>
      <c r="M100" s="106">
        <f t="shared" si="17"/>
        <v>-0.15367779402427234</v>
      </c>
      <c r="N100" s="1133">
        <v>0.99158760171320171</v>
      </c>
      <c r="O100" s="109">
        <f t="shared" si="13"/>
        <v>1.8532606598386007E-4</v>
      </c>
      <c r="P100" s="1137">
        <f t="shared" si="16"/>
        <v>4.3768205657093392E-4</v>
      </c>
      <c r="Q100" s="1131"/>
    </row>
    <row r="101" spans="2:17">
      <c r="B101" s="1132" t="s">
        <v>911</v>
      </c>
      <c r="C101" s="1133">
        <v>0.58704000000000001</v>
      </c>
      <c r="D101" s="1134">
        <v>0</v>
      </c>
      <c r="E101" s="1134">
        <v>0</v>
      </c>
      <c r="F101" s="1133">
        <v>0.38389439000000003</v>
      </c>
      <c r="G101" s="1133">
        <v>0.37271300000000002</v>
      </c>
      <c r="H101" s="1135">
        <f t="shared" si="14"/>
        <v>0.20314560999999998</v>
      </c>
      <c r="J101" s="1136">
        <v>3.0711551200000003E-2</v>
      </c>
      <c r="K101" s="1135">
        <f t="shared" si="15"/>
        <v>0.17243405879999998</v>
      </c>
      <c r="M101" s="106">
        <f t="shared" si="17"/>
        <v>0.41589866826539329</v>
      </c>
      <c r="N101" s="1133">
        <v>0.75329910827824631</v>
      </c>
      <c r="O101" s="109">
        <f t="shared" si="13"/>
        <v>0</v>
      </c>
      <c r="P101" s="1137">
        <f t="shared" si="16"/>
        <v>0</v>
      </c>
      <c r="Q101" s="1131"/>
    </row>
    <row r="102" spans="2:17">
      <c r="B102" s="1132" t="s">
        <v>912</v>
      </c>
      <c r="C102" s="1133">
        <v>0.39800000000000002</v>
      </c>
      <c r="D102" s="1134">
        <v>0</v>
      </c>
      <c r="E102" s="1134">
        <v>0</v>
      </c>
      <c r="F102" s="1133">
        <v>0.33031894000000001</v>
      </c>
      <c r="G102" s="1133">
        <v>0.32069799999999998</v>
      </c>
      <c r="H102" s="1135">
        <f t="shared" si="14"/>
        <v>6.7681060000000015E-2</v>
      </c>
      <c r="J102" s="1136">
        <v>2.6425515199999999E-2</v>
      </c>
      <c r="K102" s="1135">
        <f t="shared" si="15"/>
        <v>4.1255544800000016E-2</v>
      </c>
      <c r="M102" s="106">
        <f t="shared" si="17"/>
        <v>0.11564452985505019</v>
      </c>
      <c r="N102" s="1133">
        <v>0.86475662940104803</v>
      </c>
      <c r="O102" s="109">
        <f t="shared" si="13"/>
        <v>0</v>
      </c>
      <c r="P102" s="1137">
        <f t="shared" si="16"/>
        <v>0</v>
      </c>
      <c r="Q102" s="1131"/>
    </row>
    <row r="103" spans="2:17">
      <c r="B103" s="1132" t="s">
        <v>913</v>
      </c>
      <c r="C103" s="1133">
        <v>5.7371999999999999E-2</v>
      </c>
      <c r="D103" s="1134">
        <v>0</v>
      </c>
      <c r="E103" s="1134">
        <v>0</v>
      </c>
      <c r="F103" s="1133">
        <v>1.9780119999999998E-2</v>
      </c>
      <c r="G103" s="1133">
        <v>1.9203999999999999E-2</v>
      </c>
      <c r="H103" s="1135">
        <f t="shared" si="14"/>
        <v>3.7591880000000001E-2</v>
      </c>
      <c r="J103" s="1136">
        <v>1.5824095999999999E-3</v>
      </c>
      <c r="K103" s="1135">
        <f t="shared" si="15"/>
        <v>3.60094704E-2</v>
      </c>
      <c r="M103" s="106">
        <f t="shared" si="17"/>
        <v>1.6856370043367899</v>
      </c>
      <c r="N103" s="1133">
        <v>0.11530088392013974</v>
      </c>
      <c r="O103" s="109">
        <f t="shared" si="13"/>
        <v>0</v>
      </c>
      <c r="P103" s="1137">
        <f t="shared" si="16"/>
        <v>0</v>
      </c>
      <c r="Q103" s="1131"/>
    </row>
    <row r="104" spans="2:17">
      <c r="B104" s="1132" t="s">
        <v>914</v>
      </c>
      <c r="C104" s="1133">
        <v>1.4508389875E-2</v>
      </c>
      <c r="D104" s="1134">
        <v>0</v>
      </c>
      <c r="E104" s="1134">
        <v>0</v>
      </c>
      <c r="F104" s="1133">
        <v>2.0662418000000002E-2</v>
      </c>
      <c r="G104" s="1133">
        <v>1.2460000000000001E-2</v>
      </c>
      <c r="H104" s="1135">
        <f t="shared" si="14"/>
        <v>-6.1540281250000023E-3</v>
      </c>
      <c r="J104" s="1136">
        <v>1.6529934400000001E-3</v>
      </c>
      <c r="K104" s="1135">
        <f t="shared" si="15"/>
        <v>-7.8070215650000024E-3</v>
      </c>
      <c r="M104" s="106">
        <f t="shared" si="17"/>
        <v>-0.34984887399414233</v>
      </c>
      <c r="N104" s="1133">
        <v>6.9180530352083852E-2</v>
      </c>
      <c r="O104" s="109">
        <f t="shared" si="13"/>
        <v>1.2929725533757682E-5</v>
      </c>
      <c r="P104" s="1137">
        <f t="shared" si="16"/>
        <v>1.582523860744491E-4</v>
      </c>
      <c r="Q104" s="1131"/>
    </row>
    <row r="105" spans="2:17">
      <c r="B105" s="1132" t="s">
        <v>915</v>
      </c>
      <c r="C105" s="1133">
        <v>0.03</v>
      </c>
      <c r="D105" s="1134">
        <v>0</v>
      </c>
      <c r="E105" s="1134">
        <v>0</v>
      </c>
      <c r="F105" s="1133">
        <v>1.2645763200000002E-2</v>
      </c>
      <c r="G105" s="1133">
        <v>7.3080000000000003E-3</v>
      </c>
      <c r="H105" s="1135">
        <f t="shared" si="14"/>
        <v>1.7354236799999999E-2</v>
      </c>
      <c r="J105" s="1136">
        <v>1.0116610560000001E-3</v>
      </c>
      <c r="K105" s="1135">
        <f t="shared" si="15"/>
        <v>1.6342575743999999E-2</v>
      </c>
      <c r="M105" s="106">
        <f t="shared" si="17"/>
        <v>1.1966074596255112</v>
      </c>
      <c r="N105" s="1133">
        <v>5.5728760561400865E-2</v>
      </c>
      <c r="O105" s="109">
        <f t="shared" si="13"/>
        <v>0</v>
      </c>
      <c r="P105" s="1137">
        <f t="shared" si="16"/>
        <v>0</v>
      </c>
      <c r="Q105" s="1131"/>
    </row>
    <row r="106" spans="2:17">
      <c r="B106" s="1132" t="s">
        <v>916</v>
      </c>
      <c r="C106" s="1133">
        <v>0</v>
      </c>
      <c r="D106" s="1134">
        <v>0</v>
      </c>
      <c r="E106" s="1134">
        <v>0</v>
      </c>
      <c r="F106" s="1133">
        <v>2.7087569999999998E-2</v>
      </c>
      <c r="G106" s="1133">
        <v>1.5618999999999999E-2</v>
      </c>
      <c r="H106" s="1135">
        <f t="shared" si="14"/>
        <v>-2.7087569999999998E-2</v>
      </c>
      <c r="J106" s="1136">
        <v>2.7429476666129878E-3</v>
      </c>
      <c r="K106" s="1135">
        <f t="shared" si="15"/>
        <v>-2.9830517666612988E-2</v>
      </c>
      <c r="M106" s="106">
        <f t="shared" si="17"/>
        <v>-1</v>
      </c>
      <c r="N106" s="1133">
        <v>3.8433627973379916E-2</v>
      </c>
      <c r="O106" s="109">
        <f t="shared" si="13"/>
        <v>7.1831808520876007E-6</v>
      </c>
      <c r="P106" s="1137">
        <f t="shared" si="16"/>
        <v>7.1831808520876009E-4</v>
      </c>
      <c r="Q106" s="1131"/>
    </row>
    <row r="107" spans="2:17">
      <c r="B107" s="1132" t="s">
        <v>917</v>
      </c>
      <c r="C107" s="1133">
        <v>1.4999999999999999E-2</v>
      </c>
      <c r="D107" s="1134">
        <v>0</v>
      </c>
      <c r="E107" s="1134">
        <v>0</v>
      </c>
      <c r="F107" s="1133">
        <v>4.0324499999999999E-3</v>
      </c>
      <c r="G107" s="1133">
        <v>3.9150000000000001E-3</v>
      </c>
      <c r="H107" s="1135">
        <f t="shared" si="14"/>
        <v>1.096755E-2</v>
      </c>
      <c r="J107" s="1136">
        <v>3.2259600000000003E-4</v>
      </c>
      <c r="K107" s="1135">
        <f t="shared" si="15"/>
        <v>1.0644954E-2</v>
      </c>
      <c r="M107" s="106">
        <f t="shared" si="17"/>
        <v>2.444280496692802</v>
      </c>
      <c r="N107" s="1133">
        <v>1.9401563014936087E-2</v>
      </c>
      <c r="O107" s="109">
        <f t="shared" si="13"/>
        <v>0</v>
      </c>
      <c r="P107" s="1137">
        <f t="shared" si="16"/>
        <v>0</v>
      </c>
      <c r="Q107" s="1131"/>
    </row>
    <row r="108" spans="2:17">
      <c r="B108" s="1132" t="s">
        <v>918</v>
      </c>
      <c r="C108" s="1133">
        <v>1.2262044010624999</v>
      </c>
      <c r="D108" s="1134">
        <v>0</v>
      </c>
      <c r="E108" s="1134">
        <v>0</v>
      </c>
      <c r="F108" s="1133">
        <v>1.5102623744999999</v>
      </c>
      <c r="G108" s="1133">
        <v>1.275021</v>
      </c>
      <c r="H108" s="1135">
        <f t="shared" si="14"/>
        <v>-0.28405797343749994</v>
      </c>
      <c r="J108" s="1136">
        <v>0.12082098996</v>
      </c>
      <c r="K108" s="1135">
        <f t="shared" si="15"/>
        <v>-0.40487896339749996</v>
      </c>
      <c r="M108" s="106">
        <f t="shared" si="17"/>
        <v>-0.24822702028571214</v>
      </c>
      <c r="N108" s="1133">
        <v>2.8776142908488387</v>
      </c>
      <c r="O108" s="109">
        <f t="shared" si="13"/>
        <v>5.3782130294948653E-4</v>
      </c>
      <c r="P108" s="1137">
        <f t="shared" si="16"/>
        <v>3.3138748922497945E-3</v>
      </c>
      <c r="Q108" s="1131"/>
    </row>
    <row r="109" spans="2:17">
      <c r="B109" s="1132" t="s">
        <v>919</v>
      </c>
      <c r="C109" s="1133">
        <v>0.51831847208333326</v>
      </c>
      <c r="D109" s="1134">
        <v>0</v>
      </c>
      <c r="E109" s="1134">
        <v>0</v>
      </c>
      <c r="F109" s="1133">
        <v>0.57217267000000005</v>
      </c>
      <c r="G109" s="1133">
        <v>0.41278900000000002</v>
      </c>
      <c r="H109" s="1135">
        <f t="shared" si="14"/>
        <v>-5.3854197916666791E-2</v>
      </c>
      <c r="J109" s="1136">
        <v>4.5773813600000005E-2</v>
      </c>
      <c r="K109" s="1135">
        <f t="shared" si="15"/>
        <v>-9.9628011516666795E-2</v>
      </c>
      <c r="M109" s="106">
        <f t="shared" si="17"/>
        <v>-0.16122433602382391</v>
      </c>
      <c r="N109" s="1133">
        <v>0.49876488552697923</v>
      </c>
      <c r="O109" s="109">
        <f t="shared" si="13"/>
        <v>9.3218323752640285E-5</v>
      </c>
      <c r="P109" s="1137">
        <f t="shared" si="16"/>
        <v>2.4230505988059094E-4</v>
      </c>
      <c r="Q109" s="1131"/>
    </row>
    <row r="110" spans="2:17">
      <c r="B110" s="1132" t="s">
        <v>920</v>
      </c>
      <c r="C110" s="1133">
        <v>0.85636972952500001</v>
      </c>
      <c r="D110" s="1134">
        <v>0</v>
      </c>
      <c r="E110" s="1134">
        <v>0</v>
      </c>
      <c r="F110" s="1133">
        <v>0.34344732</v>
      </c>
      <c r="G110" s="1133">
        <v>0.33344400000000002</v>
      </c>
      <c r="H110" s="1135">
        <f t="shared" si="14"/>
        <v>0.51292240952500001</v>
      </c>
      <c r="J110" s="1136">
        <v>2.74757856E-2</v>
      </c>
      <c r="K110" s="1135">
        <f t="shared" si="15"/>
        <v>0.48544662392499999</v>
      </c>
      <c r="M110" s="106">
        <f t="shared" si="17"/>
        <v>1.3087527215101586</v>
      </c>
      <c r="N110" s="1133">
        <v>1.1400340240616669</v>
      </c>
      <c r="O110" s="109">
        <f t="shared" si="13"/>
        <v>0</v>
      </c>
      <c r="P110" s="1137">
        <f t="shared" si="16"/>
        <v>0</v>
      </c>
      <c r="Q110" s="1131"/>
    </row>
    <row r="111" spans="2:17">
      <c r="B111" s="1132" t="s">
        <v>921</v>
      </c>
      <c r="C111" s="1133">
        <v>5.6406387018608699</v>
      </c>
      <c r="D111" s="1134">
        <v>0</v>
      </c>
      <c r="E111" s="1134">
        <v>0</v>
      </c>
      <c r="F111" s="1133">
        <v>3.6318788799999999</v>
      </c>
      <c r="G111" s="1133">
        <v>3.5260959999999999</v>
      </c>
      <c r="H111" s="1135">
        <f t="shared" si="14"/>
        <v>2.00875982186087</v>
      </c>
      <c r="J111" s="1136">
        <v>0.29055031040000001</v>
      </c>
      <c r="K111" s="1135">
        <f t="shared" si="15"/>
        <v>1.71820951146087</v>
      </c>
      <c r="M111" s="106">
        <f t="shared" si="17"/>
        <v>0.43804729876733633</v>
      </c>
      <c r="N111" s="1133">
        <v>9.2475122744943921</v>
      </c>
      <c r="O111" s="109">
        <f t="shared" si="13"/>
        <v>0</v>
      </c>
      <c r="P111" s="1137">
        <f t="shared" si="16"/>
        <v>0</v>
      </c>
      <c r="Q111" s="1131"/>
    </row>
    <row r="112" spans="2:17">
      <c r="B112" s="1132" t="s">
        <v>922</v>
      </c>
      <c r="C112" s="1133">
        <v>2.0816385714583334</v>
      </c>
      <c r="D112" s="1134">
        <v>0</v>
      </c>
      <c r="E112" s="1134">
        <v>0</v>
      </c>
      <c r="F112" s="1133">
        <v>1.8242845000000001</v>
      </c>
      <c r="G112" s="1133">
        <v>1.77115</v>
      </c>
      <c r="H112" s="1135">
        <f t="shared" si="14"/>
        <v>0.25735407145833333</v>
      </c>
      <c r="J112" s="1136">
        <v>0.14594276</v>
      </c>
      <c r="K112" s="1135">
        <f t="shared" si="15"/>
        <v>0.11141131145833333</v>
      </c>
      <c r="M112" s="106">
        <f t="shared" si="17"/>
        <v>5.654744187141808E-2</v>
      </c>
      <c r="N112" s="1133">
        <v>4.2743685604594965</v>
      </c>
      <c r="O112" s="109">
        <f t="shared" si="13"/>
        <v>0</v>
      </c>
      <c r="P112" s="1137">
        <f t="shared" si="16"/>
        <v>0</v>
      </c>
      <c r="Q112" s="1131"/>
    </row>
    <row r="113" spans="2:17">
      <c r="B113" s="1132" t="s">
        <v>923</v>
      </c>
      <c r="C113" s="1133">
        <v>2.9850000000000002E-3</v>
      </c>
      <c r="D113" s="1134">
        <v>0</v>
      </c>
      <c r="E113" s="1134">
        <v>0</v>
      </c>
      <c r="F113" s="1133">
        <v>1.5810499999999999E-3</v>
      </c>
      <c r="G113" s="1133">
        <v>1.5349999999999999E-3</v>
      </c>
      <c r="H113" s="1135">
        <f>+C113+D113-E113-F113</f>
        <v>1.4039500000000004E-3</v>
      </c>
      <c r="J113" s="1136">
        <v>1.26484E-4</v>
      </c>
      <c r="K113" s="1135">
        <f>+H113-J113</f>
        <v>1.2774660000000003E-3</v>
      </c>
      <c r="M113" s="106">
        <f>+IF(ISERROR(K113/(F113+J113)),0,K113/(F113+J113))</f>
        <v>0.7481350298149263</v>
      </c>
      <c r="N113" s="1133">
        <v>1.6193665114512312E-2</v>
      </c>
      <c r="O113" s="109">
        <f t="shared" si="13"/>
        <v>0</v>
      </c>
      <c r="P113" s="1137">
        <f>(M113^2*O113)*100</f>
        <v>0</v>
      </c>
      <c r="Q113" s="1131"/>
    </row>
    <row r="114" spans="2:17">
      <c r="B114" s="1132" t="s">
        <v>924</v>
      </c>
      <c r="C114" s="1133">
        <v>1.2E-2</v>
      </c>
      <c r="D114" s="1134">
        <v>0</v>
      </c>
      <c r="E114" s="1134">
        <v>0</v>
      </c>
      <c r="F114" s="1133">
        <v>1.48811104E-2</v>
      </c>
      <c r="G114" s="1133">
        <v>7.8519999999999996E-3</v>
      </c>
      <c r="H114" s="1135">
        <f t="shared" ref="H114:H137" si="18">+C114+D114-E114-F114</f>
        <v>-2.8811103999999994E-3</v>
      </c>
      <c r="J114" s="1136">
        <v>1.1904888319999999E-3</v>
      </c>
      <c r="K114" s="1135">
        <f t="shared" ref="K114:K137" si="19">+H114-J114</f>
        <v>-4.0715992319999995E-3</v>
      </c>
      <c r="M114" s="106">
        <f>+IF(ISERROR(K114/(F114+J114)),0,K114/(F114+J114))</f>
        <v>-0.25334126201287299</v>
      </c>
      <c r="N114" s="1133">
        <v>2.7529230694670937E-2</v>
      </c>
      <c r="O114" s="109">
        <f t="shared" si="13"/>
        <v>5.145167220113264E-6</v>
      </c>
      <c r="P114" s="1137">
        <f t="shared" ref="P114:P137" si="20">(M114^2*O114)*100</f>
        <v>3.3022606795896153E-5</v>
      </c>
      <c r="Q114" s="1131"/>
    </row>
    <row r="115" spans="2:17">
      <c r="B115" s="1132" t="s">
        <v>925</v>
      </c>
      <c r="C115" s="1133">
        <v>0.61599999999999999</v>
      </c>
      <c r="D115" s="1134">
        <v>0</v>
      </c>
      <c r="E115" s="1134">
        <v>0</v>
      </c>
      <c r="F115" s="1133">
        <v>0.59570643279999991</v>
      </c>
      <c r="G115" s="1133">
        <v>0.49013200000000001</v>
      </c>
      <c r="H115" s="1135">
        <f t="shared" si="18"/>
        <v>2.0293567200000084E-2</v>
      </c>
      <c r="J115" s="1136">
        <v>5.0934450299292937E-2</v>
      </c>
      <c r="K115" s="1135">
        <f t="shared" si="19"/>
        <v>-3.0640883099292852E-2</v>
      </c>
      <c r="M115" s="106">
        <f t="shared" ref="M115:M137" si="21">+IF(ISERROR(K115/(F115+J115)),0,K115/(F115+J115))</f>
        <v>-4.7384698215234701E-2</v>
      </c>
      <c r="N115" s="1133">
        <v>1.0234396352371784</v>
      </c>
      <c r="O115" s="109">
        <f t="shared" si="13"/>
        <v>1.9127915783009311E-4</v>
      </c>
      <c r="P115" s="1137">
        <f t="shared" si="20"/>
        <v>4.2948093412802141E-5</v>
      </c>
      <c r="Q115" s="1131"/>
    </row>
    <row r="116" spans="2:17">
      <c r="B116" s="1132" t="s">
        <v>926</v>
      </c>
      <c r="C116" s="1133">
        <v>3.0000000000000001E-3</v>
      </c>
      <c r="D116" s="1134">
        <v>0</v>
      </c>
      <c r="E116" s="1134">
        <v>0</v>
      </c>
      <c r="F116" s="1133">
        <v>3.1565380000000004E-3</v>
      </c>
      <c r="G116" s="1133">
        <v>1.3929999999999999E-3</v>
      </c>
      <c r="H116" s="1135">
        <f t="shared" si="18"/>
        <v>-1.5653800000000034E-4</v>
      </c>
      <c r="J116" s="1136">
        <v>2.5252304000000005E-4</v>
      </c>
      <c r="K116" s="1135">
        <f t="shared" si="19"/>
        <v>-4.0906104000000039E-4</v>
      </c>
      <c r="M116" s="106">
        <f t="shared" si="21"/>
        <v>-0.11999228972444576</v>
      </c>
      <c r="N116" s="1133">
        <v>9.7161990687073888E-3</v>
      </c>
      <c r="O116" s="109">
        <f t="shared" si="13"/>
        <v>1.8159413718046812E-6</v>
      </c>
      <c r="P116" s="1137">
        <f t="shared" si="20"/>
        <v>2.6146195523934054E-6</v>
      </c>
      <c r="Q116" s="1131"/>
    </row>
    <row r="117" spans="2:17">
      <c r="B117" s="1132" t="s">
        <v>927</v>
      </c>
      <c r="C117" s="1133">
        <v>1</v>
      </c>
      <c r="D117" s="1134">
        <v>0</v>
      </c>
      <c r="E117" s="1134">
        <v>0</v>
      </c>
      <c r="F117" s="1133">
        <v>1.1641505700000001</v>
      </c>
      <c r="G117" s="1133">
        <v>0.94771899999999998</v>
      </c>
      <c r="H117" s="1135">
        <f t="shared" si="18"/>
        <v>-0.16415057000000011</v>
      </c>
      <c r="J117" s="1136">
        <v>0.1429307621552855</v>
      </c>
      <c r="K117" s="1135">
        <f t="shared" si="19"/>
        <v>-0.3070813321552856</v>
      </c>
      <c r="M117" s="106">
        <f t="shared" si="21"/>
        <v>-0.23493666736784463</v>
      </c>
      <c r="N117" s="1133">
        <v>1.6889992714436344</v>
      </c>
      <c r="O117" s="109">
        <f t="shared" si="13"/>
        <v>3.1567114179871373E-4</v>
      </c>
      <c r="P117" s="1137">
        <f t="shared" si="20"/>
        <v>1.7423543698374319E-3</v>
      </c>
      <c r="Q117" s="1131"/>
    </row>
    <row r="118" spans="2:17">
      <c r="B118" s="1132" t="s">
        <v>928</v>
      </c>
      <c r="C118" s="1133">
        <v>1.2513000000000001</v>
      </c>
      <c r="D118" s="1134">
        <v>0</v>
      </c>
      <c r="E118" s="1134">
        <v>0</v>
      </c>
      <c r="F118" s="1133">
        <v>0.91940272000000001</v>
      </c>
      <c r="G118" s="1133">
        <v>0.89262399999999997</v>
      </c>
      <c r="H118" s="1135">
        <f t="shared" si="18"/>
        <v>0.33189728000000007</v>
      </c>
      <c r="J118" s="1136">
        <v>7.3552217599999997E-2</v>
      </c>
      <c r="K118" s="1135">
        <f t="shared" si="19"/>
        <v>0.2583450624000001</v>
      </c>
      <c r="M118" s="106">
        <f t="shared" si="21"/>
        <v>0.26017803287672592</v>
      </c>
      <c r="N118" s="1133">
        <v>1.9009901515290071</v>
      </c>
      <c r="O118" s="109">
        <f t="shared" si="13"/>
        <v>0</v>
      </c>
      <c r="P118" s="1137">
        <f t="shared" si="20"/>
        <v>0</v>
      </c>
      <c r="Q118" s="1131"/>
    </row>
    <row r="119" spans="2:17">
      <c r="B119" s="1132" t="s">
        <v>929</v>
      </c>
      <c r="C119" s="1133">
        <v>0.33343704242247185</v>
      </c>
      <c r="D119" s="1134">
        <v>0</v>
      </c>
      <c r="E119" s="1134">
        <v>0</v>
      </c>
      <c r="F119" s="1133">
        <v>1.0449810204000001</v>
      </c>
      <c r="G119" s="1133">
        <v>0.83159400000000006</v>
      </c>
      <c r="H119" s="1135">
        <f t="shared" si="18"/>
        <v>-0.71154397797752822</v>
      </c>
      <c r="J119" s="1136">
        <v>0.10804639196143424</v>
      </c>
      <c r="K119" s="1135">
        <f t="shared" si="19"/>
        <v>-0.8195903699389625</v>
      </c>
      <c r="M119" s="106">
        <f t="shared" si="21"/>
        <v>-0.71081603191065257</v>
      </c>
      <c r="N119" s="1133">
        <v>1.4137069644969251</v>
      </c>
      <c r="O119" s="109">
        <f t="shared" si="13"/>
        <v>2.6421946959758114E-4</v>
      </c>
      <c r="P119" s="1137">
        <f t="shared" si="20"/>
        <v>1.3349937892644256E-2</v>
      </c>
      <c r="Q119" s="1131"/>
    </row>
    <row r="120" spans="2:17">
      <c r="B120" s="1132" t="s">
        <v>930</v>
      </c>
      <c r="C120" s="1133">
        <v>119.76756198447254</v>
      </c>
      <c r="D120" s="1134">
        <v>0</v>
      </c>
      <c r="E120" s="1134">
        <v>0</v>
      </c>
      <c r="F120" s="1133">
        <v>132.67130990999999</v>
      </c>
      <c r="G120" s="1133">
        <v>128.807097</v>
      </c>
      <c r="H120" s="1135">
        <f t="shared" si="18"/>
        <v>-12.903747925527455</v>
      </c>
      <c r="J120" s="1136">
        <v>10.6137047928</v>
      </c>
      <c r="K120" s="1135">
        <f t="shared" si="19"/>
        <v>-23.517452718327455</v>
      </c>
      <c r="M120" s="106">
        <f t="shared" si="21"/>
        <v>-0.16413058104580625</v>
      </c>
      <c r="N120" s="1133">
        <v>373.08857065557686</v>
      </c>
      <c r="O120" s="109">
        <f t="shared" si="13"/>
        <v>6.9729630487188984E-2</v>
      </c>
      <c r="P120" s="1137">
        <f t="shared" si="20"/>
        <v>0.18784358912997659</v>
      </c>
      <c r="Q120" s="1131"/>
    </row>
    <row r="121" spans="2:17">
      <c r="B121" s="1132" t="s">
        <v>931</v>
      </c>
      <c r="C121" s="1133">
        <v>12.93164941112105</v>
      </c>
      <c r="D121" s="1134">
        <v>0</v>
      </c>
      <c r="E121" s="1134">
        <v>0</v>
      </c>
      <c r="F121" s="1133">
        <v>11.85546171</v>
      </c>
      <c r="G121" s="1133">
        <v>11.510157</v>
      </c>
      <c r="H121" s="1135">
        <f t="shared" si="18"/>
        <v>1.0761877011210501</v>
      </c>
      <c r="J121" s="1136">
        <v>1.0393912624784947</v>
      </c>
      <c r="K121" s="1135">
        <f t="shared" si="19"/>
        <v>3.679643864255544E-2</v>
      </c>
      <c r="M121" s="106">
        <f t="shared" si="21"/>
        <v>2.8535756647315126E-3</v>
      </c>
      <c r="N121" s="1133">
        <v>33.192832596494149</v>
      </c>
      <c r="O121" s="109">
        <f t="shared" si="13"/>
        <v>0</v>
      </c>
      <c r="P121" s="1137">
        <f t="shared" si="20"/>
        <v>0</v>
      </c>
      <c r="Q121" s="1131"/>
    </row>
    <row r="122" spans="2:17">
      <c r="B122" s="1132" t="s">
        <v>932</v>
      </c>
      <c r="C122" s="1133">
        <v>18.71085368449722</v>
      </c>
      <c r="D122" s="1134">
        <v>0</v>
      </c>
      <c r="E122" s="1134">
        <v>0</v>
      </c>
      <c r="F122" s="1133">
        <v>14.67542194</v>
      </c>
      <c r="G122" s="1133">
        <v>12.220798</v>
      </c>
      <c r="H122" s="1135">
        <f t="shared" si="18"/>
        <v>4.0354317444972203</v>
      </c>
      <c r="J122" s="1136">
        <v>1.1740337552</v>
      </c>
      <c r="K122" s="1135">
        <f t="shared" si="19"/>
        <v>2.8613979892972203</v>
      </c>
      <c r="M122" s="106">
        <f t="shared" si="21"/>
        <v>0.18053604138366677</v>
      </c>
      <c r="N122" s="1133">
        <v>35.477595447853652</v>
      </c>
      <c r="O122" s="109">
        <f t="shared" si="13"/>
        <v>0</v>
      </c>
      <c r="P122" s="1137">
        <f t="shared" si="20"/>
        <v>0</v>
      </c>
      <c r="Q122" s="1131"/>
    </row>
    <row r="123" spans="2:17">
      <c r="B123" s="1132" t="s">
        <v>933</v>
      </c>
      <c r="C123" s="1133">
        <v>1.94</v>
      </c>
      <c r="D123" s="1134">
        <v>0</v>
      </c>
      <c r="E123" s="1134">
        <v>0</v>
      </c>
      <c r="F123" s="1133">
        <v>1.6989953</v>
      </c>
      <c r="G123" s="1133">
        <v>1.64951</v>
      </c>
      <c r="H123" s="1135">
        <f t="shared" si="18"/>
        <v>0.24100469999999996</v>
      </c>
      <c r="J123" s="1136">
        <v>0.13591962399999999</v>
      </c>
      <c r="K123" s="1135">
        <f t="shared" si="19"/>
        <v>0.10508507599999997</v>
      </c>
      <c r="M123" s="106">
        <f t="shared" si="21"/>
        <v>5.7269726582702303E-2</v>
      </c>
      <c r="N123" s="1133">
        <v>4.3935730903278838</v>
      </c>
      <c r="O123" s="109">
        <f t="shared" si="13"/>
        <v>0</v>
      </c>
      <c r="P123" s="1137">
        <f t="shared" si="20"/>
        <v>0</v>
      </c>
      <c r="Q123" s="1131"/>
    </row>
    <row r="124" spans="2:17">
      <c r="B124" s="1132" t="s">
        <v>934</v>
      </c>
      <c r="C124" s="1133">
        <v>6.3076203318521742</v>
      </c>
      <c r="D124" s="1134">
        <v>0</v>
      </c>
      <c r="E124" s="1134">
        <v>0</v>
      </c>
      <c r="F124" s="1133">
        <v>7.5748847100000001</v>
      </c>
      <c r="G124" s="1133">
        <v>7.3542569999999996</v>
      </c>
      <c r="H124" s="1135">
        <f t="shared" si="18"/>
        <v>-1.2672643781478259</v>
      </c>
      <c r="J124" s="1136">
        <v>0.60599077680000002</v>
      </c>
      <c r="K124" s="1135">
        <f t="shared" si="19"/>
        <v>-1.873255154947826</v>
      </c>
      <c r="M124" s="106">
        <f t="shared" si="21"/>
        <v>-0.2289797904845709</v>
      </c>
      <c r="N124" s="1133">
        <v>18.241306644046343</v>
      </c>
      <c r="O124" s="109">
        <f t="shared" si="13"/>
        <v>3.4092697336126341E-3</v>
      </c>
      <c r="P124" s="1137">
        <f t="shared" si="20"/>
        <v>1.7875395943511771E-2</v>
      </c>
      <c r="Q124" s="1131"/>
    </row>
    <row r="125" spans="2:17">
      <c r="B125" s="1132" t="s">
        <v>935</v>
      </c>
      <c r="C125" s="1133">
        <v>0.45</v>
      </c>
      <c r="D125" s="1134">
        <v>0</v>
      </c>
      <c r="E125" s="1134">
        <v>0</v>
      </c>
      <c r="F125" s="1133">
        <v>0.3658427130000001</v>
      </c>
      <c r="G125" s="1133">
        <v>0.28877000000000003</v>
      </c>
      <c r="H125" s="1135">
        <f t="shared" si="18"/>
        <v>8.4157286999999914E-2</v>
      </c>
      <c r="J125" s="1136">
        <v>2.9267417040000007E-2</v>
      </c>
      <c r="K125" s="1135">
        <f t="shared" si="19"/>
        <v>5.4889869959999907E-2</v>
      </c>
      <c r="M125" s="106">
        <f t="shared" si="21"/>
        <v>0.1389229629583098</v>
      </c>
      <c r="N125" s="1133">
        <v>0.79283861524570476</v>
      </c>
      <c r="O125" s="109">
        <f t="shared" si="13"/>
        <v>0</v>
      </c>
      <c r="P125" s="1137">
        <f t="shared" si="20"/>
        <v>0</v>
      </c>
      <c r="Q125" s="1131"/>
    </row>
    <row r="126" spans="2:17">
      <c r="B126" s="1132" t="s">
        <v>936</v>
      </c>
      <c r="C126" s="1133">
        <v>4.3370598315306125E-2</v>
      </c>
      <c r="D126" s="1134">
        <v>0</v>
      </c>
      <c r="E126" s="1134">
        <v>0</v>
      </c>
      <c r="F126" s="1133">
        <v>5.7585240000000003E-2</v>
      </c>
      <c r="G126" s="1133">
        <v>5.5907999999999999E-2</v>
      </c>
      <c r="H126" s="1135">
        <f t="shared" si="18"/>
        <v>-1.4214641684693878E-2</v>
      </c>
      <c r="J126" s="1136">
        <v>4.6068191999999999E-3</v>
      </c>
      <c r="K126" s="1135">
        <f t="shared" si="19"/>
        <v>-1.8821460884693879E-2</v>
      </c>
      <c r="M126" s="106">
        <f t="shared" si="21"/>
        <v>-0.30263447016872336</v>
      </c>
      <c r="N126" s="1133">
        <v>6.9484732572095462E-2</v>
      </c>
      <c r="O126" s="109">
        <f t="shared" si="13"/>
        <v>1.2986580420407035E-5</v>
      </c>
      <c r="P126" s="1137">
        <f t="shared" si="20"/>
        <v>1.1894100255556212E-4</v>
      </c>
      <c r="Q126" s="1131"/>
    </row>
    <row r="127" spans="2:17">
      <c r="B127" s="1132" t="s">
        <v>937</v>
      </c>
      <c r="C127" s="1133">
        <v>17.107505539193024</v>
      </c>
      <c r="D127" s="1134">
        <v>0</v>
      </c>
      <c r="E127" s="1134">
        <v>0</v>
      </c>
      <c r="F127" s="1133">
        <v>17.116309279999999</v>
      </c>
      <c r="G127" s="1133">
        <v>16.617775999999999</v>
      </c>
      <c r="H127" s="1135">
        <f t="shared" si="18"/>
        <v>-8.8037408069752132E-3</v>
      </c>
      <c r="J127" s="1136">
        <v>1.3962216718442837</v>
      </c>
      <c r="K127" s="1135">
        <f t="shared" si="19"/>
        <v>-1.4050254126512589</v>
      </c>
      <c r="M127" s="106">
        <f t="shared" si="21"/>
        <v>-7.5895911602043009E-2</v>
      </c>
      <c r="N127" s="1133">
        <v>26.38428840013022</v>
      </c>
      <c r="O127" s="109">
        <f t="shared" si="13"/>
        <v>4.9311794182698761E-3</v>
      </c>
      <c r="P127" s="1137">
        <f t="shared" si="20"/>
        <v>2.840452740428611E-3</v>
      </c>
      <c r="Q127" s="1131"/>
    </row>
    <row r="128" spans="2:17">
      <c r="B128" s="1132" t="s">
        <v>938</v>
      </c>
      <c r="C128" s="1133">
        <v>30.028741965094653</v>
      </c>
      <c r="D128" s="1134">
        <v>0</v>
      </c>
      <c r="E128" s="1134">
        <v>0</v>
      </c>
      <c r="F128" s="1133">
        <v>31.35657531</v>
      </c>
      <c r="G128" s="1133">
        <v>30.443276999999998</v>
      </c>
      <c r="H128" s="1135">
        <f t="shared" si="18"/>
        <v>-1.327833344905347</v>
      </c>
      <c r="J128" s="1136">
        <v>2.5085260248000001</v>
      </c>
      <c r="K128" s="1135">
        <f t="shared" si="19"/>
        <v>-3.8363593697053471</v>
      </c>
      <c r="M128" s="106">
        <f t="shared" si="21"/>
        <v>-0.11328356386056578</v>
      </c>
      <c r="N128" s="1133">
        <v>47.083304132127239</v>
      </c>
      <c r="O128" s="109">
        <f t="shared" si="13"/>
        <v>8.7997908740013973E-3</v>
      </c>
      <c r="P128" s="1137">
        <f t="shared" si="20"/>
        <v>1.1292917565174605E-2</v>
      </c>
      <c r="Q128" s="1131"/>
    </row>
    <row r="129" spans="2:17">
      <c r="B129" s="1132" t="s">
        <v>939</v>
      </c>
      <c r="C129" s="1133">
        <v>0.1</v>
      </c>
      <c r="D129" s="1134">
        <v>0</v>
      </c>
      <c r="E129" s="1134">
        <v>0</v>
      </c>
      <c r="F129" s="1133">
        <v>3.7752384000000007E-2</v>
      </c>
      <c r="G129" s="1133">
        <v>2.2908000000000001E-2</v>
      </c>
      <c r="H129" s="1135">
        <f t="shared" si="18"/>
        <v>6.2247615999999999E-2</v>
      </c>
      <c r="J129" s="1136">
        <v>3.0201907200000004E-3</v>
      </c>
      <c r="K129" s="1135">
        <f t="shared" si="19"/>
        <v>5.9227425279999996E-2</v>
      </c>
      <c r="M129" s="106">
        <f t="shared" si="21"/>
        <v>1.4526290205300034</v>
      </c>
      <c r="N129" s="1133">
        <v>7.6867998545197949E-2</v>
      </c>
      <c r="O129" s="109">
        <f t="shared" si="13"/>
        <v>0</v>
      </c>
      <c r="P129" s="1137">
        <f t="shared" si="20"/>
        <v>0</v>
      </c>
      <c r="Q129" s="1131"/>
    </row>
    <row r="130" spans="2:17">
      <c r="B130" s="1132" t="s">
        <v>940</v>
      </c>
      <c r="C130" s="1133">
        <v>14.643810507714823</v>
      </c>
      <c r="D130" s="1134">
        <v>0</v>
      </c>
      <c r="E130" s="1134">
        <v>0</v>
      </c>
      <c r="F130" s="1133">
        <v>13.031081050000001</v>
      </c>
      <c r="G130" s="1133">
        <v>12.651535000000001</v>
      </c>
      <c r="H130" s="1135">
        <f t="shared" si="18"/>
        <v>1.6127294577148223</v>
      </c>
      <c r="J130" s="1136">
        <v>1.0424864840000001</v>
      </c>
      <c r="K130" s="1135">
        <f t="shared" si="19"/>
        <v>0.57024297371482224</v>
      </c>
      <c r="M130" s="106">
        <f t="shared" si="21"/>
        <v>4.0518722231387722E-2</v>
      </c>
      <c r="N130" s="1133">
        <v>20.759511291702005</v>
      </c>
      <c r="O130" s="109">
        <f t="shared" si="13"/>
        <v>0</v>
      </c>
      <c r="P130" s="1137">
        <f t="shared" si="20"/>
        <v>0</v>
      </c>
      <c r="Q130" s="1131"/>
    </row>
    <row r="131" spans="2:17">
      <c r="B131" s="1132" t="s">
        <v>941</v>
      </c>
      <c r="C131" s="1133">
        <v>17.907252113709216</v>
      </c>
      <c r="D131" s="1134">
        <v>0</v>
      </c>
      <c r="E131" s="1134">
        <v>0</v>
      </c>
      <c r="F131" s="1133">
        <v>15.55113467</v>
      </c>
      <c r="G131" s="1133">
        <v>15.098189</v>
      </c>
      <c r="H131" s="1135">
        <f t="shared" si="18"/>
        <v>2.3561174437092163</v>
      </c>
      <c r="J131" s="1136">
        <v>1.3726155004701004</v>
      </c>
      <c r="K131" s="1135">
        <f t="shared" si="19"/>
        <v>0.98350194323911588</v>
      </c>
      <c r="M131" s="106">
        <f t="shared" si="21"/>
        <v>5.8113711992464172E-2</v>
      </c>
      <c r="N131" s="1133">
        <v>35.010427729842021</v>
      </c>
      <c r="O131" s="109">
        <f t="shared" si="13"/>
        <v>0</v>
      </c>
      <c r="P131" s="1137">
        <f t="shared" si="20"/>
        <v>0</v>
      </c>
      <c r="Q131" s="1131"/>
    </row>
    <row r="132" spans="2:17">
      <c r="B132" s="1132" t="s">
        <v>942</v>
      </c>
      <c r="C132" s="1133">
        <v>0.4</v>
      </c>
      <c r="D132" s="1134">
        <v>0</v>
      </c>
      <c r="E132" s="1134">
        <v>0</v>
      </c>
      <c r="F132" s="1133">
        <v>0.25999972999999998</v>
      </c>
      <c r="G132" s="1133">
        <v>0.19029099999999999</v>
      </c>
      <c r="H132" s="1135">
        <f t="shared" si="18"/>
        <v>0.14000027000000004</v>
      </c>
      <c r="J132" s="1136">
        <v>2.0799978399999999E-2</v>
      </c>
      <c r="K132" s="1135">
        <f t="shared" si="19"/>
        <v>0.11920029160000004</v>
      </c>
      <c r="M132" s="106">
        <f t="shared" si="21"/>
        <v>0.42450290379290173</v>
      </c>
      <c r="N132" s="1133">
        <v>0.13570778598303795</v>
      </c>
      <c r="O132" s="109">
        <f t="shared" si="13"/>
        <v>0</v>
      </c>
      <c r="P132" s="1137">
        <f t="shared" si="20"/>
        <v>0</v>
      </c>
      <c r="Q132" s="1131"/>
    </row>
    <row r="133" spans="2:17">
      <c r="B133" s="1132" t="s">
        <v>943</v>
      </c>
      <c r="C133" s="1133">
        <v>0.4</v>
      </c>
      <c r="D133" s="1134">
        <v>0</v>
      </c>
      <c r="E133" s="1134">
        <v>0</v>
      </c>
      <c r="F133" s="1133">
        <v>0.36842451100000001</v>
      </c>
      <c r="G133" s="1133">
        <v>0.27514899999999998</v>
      </c>
      <c r="H133" s="1135">
        <f t="shared" si="18"/>
        <v>3.1575489000000012E-2</v>
      </c>
      <c r="J133" s="1136">
        <v>2.947396088E-2</v>
      </c>
      <c r="K133" s="1135">
        <f t="shared" si="19"/>
        <v>2.1015281200000117E-3</v>
      </c>
      <c r="M133" s="106">
        <f t="shared" si="21"/>
        <v>5.2815687129198121E-3</v>
      </c>
      <c r="N133" s="1133">
        <v>0.91364651741628777</v>
      </c>
      <c r="O133" s="109">
        <f t="shared" si="13"/>
        <v>0</v>
      </c>
      <c r="P133" s="1137">
        <f t="shared" si="20"/>
        <v>0</v>
      </c>
      <c r="Q133" s="1131"/>
    </row>
    <row r="134" spans="2:17">
      <c r="B134" s="1132" t="s">
        <v>944</v>
      </c>
      <c r="C134" s="1133">
        <v>0.20857592636363645</v>
      </c>
      <c r="D134" s="1134">
        <v>0</v>
      </c>
      <c r="E134" s="1134">
        <v>0</v>
      </c>
      <c r="F134" s="1133">
        <v>0.23309009</v>
      </c>
      <c r="G134" s="1133">
        <v>0.172903</v>
      </c>
      <c r="H134" s="1135">
        <f t="shared" si="18"/>
        <v>-2.4514163636363551E-2</v>
      </c>
      <c r="J134" s="1136">
        <v>1.8647207200000002E-2</v>
      </c>
      <c r="K134" s="1135">
        <f t="shared" si="19"/>
        <v>-4.3161370836363552E-2</v>
      </c>
      <c r="M134" s="106">
        <f t="shared" si="21"/>
        <v>-0.17145401701072827</v>
      </c>
      <c r="N134" s="1133">
        <v>0.34351033326956487</v>
      </c>
      <c r="O134" s="109">
        <f t="shared" si="13"/>
        <v>6.4201507340010109E-5</v>
      </c>
      <c r="P134" s="1137">
        <f t="shared" si="20"/>
        <v>1.8872983232235731E-4</v>
      </c>
      <c r="Q134" s="1131"/>
    </row>
    <row r="135" spans="2:17">
      <c r="B135" s="1132" t="s">
        <v>945</v>
      </c>
      <c r="C135" s="1133">
        <v>0.10427479768309858</v>
      </c>
      <c r="D135" s="1134">
        <v>0</v>
      </c>
      <c r="E135" s="1134">
        <v>0</v>
      </c>
      <c r="F135" s="1133">
        <v>0.10054690049999999</v>
      </c>
      <c r="G135" s="1133">
        <v>6.7322999999999994E-2</v>
      </c>
      <c r="H135" s="1135">
        <f t="shared" si="18"/>
        <v>3.7278971830985858E-3</v>
      </c>
      <c r="J135" s="1136">
        <v>8.0437520399999993E-3</v>
      </c>
      <c r="K135" s="1135">
        <f t="shared" si="19"/>
        <v>-4.3158548569014136E-3</v>
      </c>
      <c r="M135" s="106">
        <f t="shared" si="21"/>
        <v>-3.9744257502381648E-2</v>
      </c>
      <c r="N135" s="1133">
        <v>0.23112732300236152</v>
      </c>
      <c r="O135" s="109">
        <f t="shared" si="13"/>
        <v>4.3197310494204329E-5</v>
      </c>
      <c r="P135" s="1137">
        <f t="shared" si="20"/>
        <v>6.823473103125102E-6</v>
      </c>
      <c r="Q135" s="1131"/>
    </row>
    <row r="136" spans="2:17">
      <c r="B136" s="1132" t="s">
        <v>946</v>
      </c>
      <c r="C136" s="1133">
        <v>0.1</v>
      </c>
      <c r="D136" s="1134">
        <v>0</v>
      </c>
      <c r="E136" s="1134">
        <v>0</v>
      </c>
      <c r="F136" s="1133">
        <v>7.0281596799999999E-2</v>
      </c>
      <c r="G136" s="1133">
        <v>4.6736E-2</v>
      </c>
      <c r="H136" s="1135">
        <f t="shared" si="18"/>
        <v>2.9718403200000007E-2</v>
      </c>
      <c r="J136" s="1136">
        <v>5.6225277440000001E-3</v>
      </c>
      <c r="K136" s="1135">
        <f t="shared" si="19"/>
        <v>2.4095875456000008E-2</v>
      </c>
      <c r="M136" s="106">
        <f t="shared" si="21"/>
        <v>0.31745146394557444</v>
      </c>
      <c r="N136" s="1133">
        <v>5.9372156367579108E-2</v>
      </c>
      <c r="O136" s="109">
        <f t="shared" si="13"/>
        <v>0</v>
      </c>
      <c r="P136" s="1137">
        <f t="shared" si="20"/>
        <v>0</v>
      </c>
      <c r="Q136" s="1131"/>
    </row>
    <row r="137" spans="2:17">
      <c r="B137" s="1132" t="s">
        <v>947</v>
      </c>
      <c r="C137" s="1133">
        <v>0.1</v>
      </c>
      <c r="D137" s="1134">
        <v>0</v>
      </c>
      <c r="E137" s="1134">
        <v>0</v>
      </c>
      <c r="F137" s="1133">
        <v>7.6377898999999999E-2</v>
      </c>
      <c r="G137" s="1133">
        <v>5.7041000000000001E-2</v>
      </c>
      <c r="H137" s="1135">
        <f t="shared" si="18"/>
        <v>2.3622101000000006E-2</v>
      </c>
      <c r="J137" s="1136">
        <v>6.1102319200000005E-3</v>
      </c>
      <c r="K137" s="1135">
        <f t="shared" si="19"/>
        <v>1.7511869080000006E-2</v>
      </c>
      <c r="M137" s="106">
        <f t="shared" si="21"/>
        <v>0.21229562222695597</v>
      </c>
      <c r="N137" s="1133">
        <v>0.21204341559849682</v>
      </c>
      <c r="O137" s="109">
        <f t="shared" si="13"/>
        <v>0</v>
      </c>
      <c r="P137" s="1137">
        <f t="shared" si="20"/>
        <v>0</v>
      </c>
      <c r="Q137" s="1131"/>
    </row>
    <row r="138" spans="2:17">
      <c r="B138" s="1132" t="s">
        <v>948</v>
      </c>
      <c r="C138" s="1133">
        <v>0.1</v>
      </c>
      <c r="D138" s="1134">
        <v>0</v>
      </c>
      <c r="E138" s="1134">
        <v>0</v>
      </c>
      <c r="F138" s="1133">
        <v>0.113199884</v>
      </c>
      <c r="G138" s="1133">
        <v>7.8502000000000002E-2</v>
      </c>
      <c r="H138" s="1135">
        <f>+C138+D138-E138-F138</f>
        <v>-1.3199883999999995E-2</v>
      </c>
      <c r="J138" s="1136">
        <v>9.0559907200000005E-3</v>
      </c>
      <c r="K138" s="1135">
        <f>+H138-J138</f>
        <v>-2.2255874719999996E-2</v>
      </c>
      <c r="M138" s="106">
        <f>+IF(ISERROR(K138/(F138+J138)),0,K138/(F138+J138))</f>
        <v>-0.18204339685902329</v>
      </c>
      <c r="N138" s="1133">
        <v>0.12086474689114318</v>
      </c>
      <c r="O138" s="109">
        <f t="shared" si="13"/>
        <v>2.2589419249262816E-5</v>
      </c>
      <c r="P138" s="1137">
        <f>(M138^2*O138)*100</f>
        <v>7.4860879853764809E-5</v>
      </c>
      <c r="Q138" s="1131"/>
    </row>
    <row r="139" spans="2:17">
      <c r="B139" s="1132" t="s">
        <v>949</v>
      </c>
      <c r="C139" s="1133">
        <v>0.2</v>
      </c>
      <c r="D139" s="1134">
        <v>0</v>
      </c>
      <c r="E139" s="1134">
        <v>0</v>
      </c>
      <c r="F139" s="1133">
        <v>0.16198274400000001</v>
      </c>
      <c r="G139" s="1133">
        <v>9.3609999999999999E-2</v>
      </c>
      <c r="H139" s="1135">
        <f t="shared" ref="H139:H162" si="22">+C139+D139-E139-F139</f>
        <v>3.8017255999999999E-2</v>
      </c>
      <c r="J139" s="1136">
        <v>1.2958619520000001E-2</v>
      </c>
      <c r="K139" s="1135">
        <f t="shared" ref="K139:K162" si="23">+H139-J139</f>
        <v>2.505863648E-2</v>
      </c>
      <c r="M139" s="106">
        <f>+IF(ISERROR(K139/(F139+J139)),0,K139/(F139+J139))</f>
        <v>0.143240203321813</v>
      </c>
      <c r="N139" s="1133">
        <v>0.13782822013902293</v>
      </c>
      <c r="O139" s="109">
        <f t="shared" si="13"/>
        <v>0</v>
      </c>
      <c r="P139" s="1137">
        <f t="shared" ref="P139:P162" si="24">(M139^2*O139)*100</f>
        <v>0</v>
      </c>
      <c r="Q139" s="1131"/>
    </row>
    <row r="140" spans="2:17">
      <c r="B140" s="1132" t="s">
        <v>950</v>
      </c>
      <c r="C140" s="1133">
        <v>8.1677001308673471</v>
      </c>
      <c r="D140" s="1134">
        <v>0</v>
      </c>
      <c r="E140" s="1134">
        <v>0</v>
      </c>
      <c r="F140" s="1133">
        <v>6.2462547500000003</v>
      </c>
      <c r="G140" s="1133">
        <v>6.0643250000000002</v>
      </c>
      <c r="H140" s="1135">
        <f t="shared" si="22"/>
        <v>1.9214453808673468</v>
      </c>
      <c r="J140" s="1136">
        <v>0.49970038000000006</v>
      </c>
      <c r="K140" s="1135">
        <f t="shared" si="23"/>
        <v>1.4217450008673467</v>
      </c>
      <c r="M140" s="106">
        <f t="shared" ref="M140:M162" si="25">+IF(ISERROR(K140/(F140+J140)),0,K140/(F140+J140))</f>
        <v>0.21075518195261797</v>
      </c>
      <c r="N140" s="1133">
        <v>5.3154499762378054</v>
      </c>
      <c r="O140" s="109">
        <f t="shared" si="13"/>
        <v>0</v>
      </c>
      <c r="P140" s="1137">
        <f t="shared" si="24"/>
        <v>0</v>
      </c>
      <c r="Q140" s="1131"/>
    </row>
    <row r="141" spans="2:17">
      <c r="B141" s="1132" t="s">
        <v>951</v>
      </c>
      <c r="C141" s="1133">
        <v>0.12474647899999999</v>
      </c>
      <c r="D141" s="1134">
        <v>0</v>
      </c>
      <c r="E141" s="1134">
        <v>0</v>
      </c>
      <c r="F141" s="1133">
        <v>0.16663270000000002</v>
      </c>
      <c r="G141" s="1133">
        <v>0.11809</v>
      </c>
      <c r="H141" s="1135">
        <f t="shared" si="22"/>
        <v>-4.1886221000000029E-2</v>
      </c>
      <c r="J141" s="1136">
        <v>1.3330616000000002E-2</v>
      </c>
      <c r="K141" s="1135">
        <f t="shared" si="23"/>
        <v>-5.5216837000000032E-2</v>
      </c>
      <c r="M141" s="106">
        <f t="shared" si="25"/>
        <v>-0.30682273602915844</v>
      </c>
      <c r="N141" s="1133">
        <v>0.2216668656186003</v>
      </c>
      <c r="O141" s="109">
        <f t="shared" si="13"/>
        <v>4.1429166816014689E-5</v>
      </c>
      <c r="P141" s="1137">
        <f t="shared" si="24"/>
        <v>3.9001496912994616E-4</v>
      </c>
      <c r="Q141" s="1131"/>
    </row>
    <row r="142" spans="2:17">
      <c r="B142" s="1132" t="s">
        <v>952</v>
      </c>
      <c r="C142" s="1133">
        <v>2.8349345746869568</v>
      </c>
      <c r="D142" s="1134">
        <v>0</v>
      </c>
      <c r="E142" s="1134">
        <v>0</v>
      </c>
      <c r="F142" s="1133">
        <v>2.8004848911</v>
      </c>
      <c r="G142" s="1133">
        <v>2.323861</v>
      </c>
      <c r="H142" s="1135">
        <f t="shared" si="22"/>
        <v>3.444968358695677E-2</v>
      </c>
      <c r="J142" s="1136">
        <v>0.2281795541286582</v>
      </c>
      <c r="K142" s="1135">
        <f t="shared" si="23"/>
        <v>-0.19372987054170143</v>
      </c>
      <c r="M142" s="106">
        <f t="shared" si="25"/>
        <v>-6.3965445510777014E-2</v>
      </c>
      <c r="N142" s="1133">
        <v>5.7821952181283809</v>
      </c>
      <c r="O142" s="109">
        <f t="shared" ref="O142:O205" si="26">IF(K142&lt;0,N142/$N$263,0)</f>
        <v>1.0806826251911511E-3</v>
      </c>
      <c r="P142" s="1137">
        <f t="shared" si="24"/>
        <v>4.4216974913076801E-4</v>
      </c>
      <c r="Q142" s="1131"/>
    </row>
    <row r="143" spans="2:17">
      <c r="B143" s="1132" t="s">
        <v>953</v>
      </c>
      <c r="C143" s="1133">
        <v>6.2685000000000005E-2</v>
      </c>
      <c r="D143" s="1134">
        <v>0</v>
      </c>
      <c r="E143" s="1134">
        <v>0</v>
      </c>
      <c r="F143" s="1133">
        <v>2.6172299999999999E-2</v>
      </c>
      <c r="G143" s="1133">
        <v>2.5409999999999999E-2</v>
      </c>
      <c r="H143" s="1135">
        <f t="shared" si="22"/>
        <v>3.6512700000000009E-2</v>
      </c>
      <c r="J143" s="1136">
        <v>2.093784E-3</v>
      </c>
      <c r="K143" s="1135">
        <f t="shared" si="23"/>
        <v>3.4418916000000008E-2</v>
      </c>
      <c r="M143" s="106">
        <f t="shared" si="25"/>
        <v>1.2176754303850512</v>
      </c>
      <c r="N143" s="1133">
        <v>0.10476036799783163</v>
      </c>
      <c r="O143" s="109">
        <f t="shared" si="26"/>
        <v>0</v>
      </c>
      <c r="P143" s="1137">
        <f t="shared" si="24"/>
        <v>0</v>
      </c>
      <c r="Q143" s="1131"/>
    </row>
    <row r="144" spans="2:17">
      <c r="B144" s="1132" t="s">
        <v>954</v>
      </c>
      <c r="C144" s="1133">
        <v>0.13853851978953491</v>
      </c>
      <c r="D144" s="1134">
        <v>0</v>
      </c>
      <c r="E144" s="1134">
        <v>0</v>
      </c>
      <c r="F144" s="1133">
        <v>0.12127117</v>
      </c>
      <c r="G144" s="1133">
        <v>0.117739</v>
      </c>
      <c r="H144" s="1135">
        <f t="shared" si="22"/>
        <v>1.7267349789534911E-2</v>
      </c>
      <c r="J144" s="1136">
        <v>9.7016936000000002E-3</v>
      </c>
      <c r="K144" s="1135">
        <f t="shared" si="23"/>
        <v>7.5656561895349108E-3</v>
      </c>
      <c r="M144" s="106">
        <f t="shared" si="25"/>
        <v>5.7765066606781525E-2</v>
      </c>
      <c r="N144" s="1133">
        <v>0.21103900219853042</v>
      </c>
      <c r="O144" s="109">
        <f t="shared" si="26"/>
        <v>0</v>
      </c>
      <c r="P144" s="1137">
        <f t="shared" si="24"/>
        <v>0</v>
      </c>
      <c r="Q144" s="1131"/>
    </row>
    <row r="145" spans="2:17">
      <c r="B145" s="1132" t="s">
        <v>955</v>
      </c>
      <c r="C145" s="1133">
        <v>0.54725000000000001</v>
      </c>
      <c r="D145" s="1134">
        <v>0</v>
      </c>
      <c r="E145" s="1134">
        <v>0</v>
      </c>
      <c r="F145" s="1133">
        <v>0.44750616000000004</v>
      </c>
      <c r="G145" s="1133">
        <v>0.43447200000000002</v>
      </c>
      <c r="H145" s="1135">
        <f t="shared" si="22"/>
        <v>9.9743839999999973E-2</v>
      </c>
      <c r="J145" s="1136">
        <v>3.5800492800000007E-2</v>
      </c>
      <c r="K145" s="1135">
        <f t="shared" si="23"/>
        <v>6.3943347199999973E-2</v>
      </c>
      <c r="M145" s="106">
        <f t="shared" si="25"/>
        <v>0.13230388373416566</v>
      </c>
      <c r="N145" s="1133">
        <v>0.57694115708950766</v>
      </c>
      <c r="O145" s="109">
        <f t="shared" si="26"/>
        <v>0</v>
      </c>
      <c r="P145" s="1137">
        <f t="shared" si="24"/>
        <v>0</v>
      </c>
      <c r="Q145" s="1131"/>
    </row>
    <row r="146" spans="2:17">
      <c r="B146" s="1132" t="s">
        <v>956</v>
      </c>
      <c r="C146" s="1133">
        <v>2.744478950225</v>
      </c>
      <c r="D146" s="1134">
        <v>0</v>
      </c>
      <c r="E146" s="1134">
        <v>0</v>
      </c>
      <c r="F146" s="1133">
        <v>2.9886541800000002</v>
      </c>
      <c r="G146" s="1133">
        <v>2.9016060000000001</v>
      </c>
      <c r="H146" s="1135">
        <f t="shared" si="22"/>
        <v>-0.24417522977500017</v>
      </c>
      <c r="J146" s="1136">
        <v>0.24473079653543725</v>
      </c>
      <c r="K146" s="1135">
        <f t="shared" si="23"/>
        <v>-0.48890602631043745</v>
      </c>
      <c r="M146" s="106">
        <f t="shared" si="25"/>
        <v>-0.15120563429916681</v>
      </c>
      <c r="N146" s="1133">
        <v>5.8437453879346348</v>
      </c>
      <c r="O146" s="109">
        <f t="shared" si="26"/>
        <v>1.0921862490879443E-3</v>
      </c>
      <c r="P146" s="1137">
        <f t="shared" si="24"/>
        <v>2.4970811317132648E-3</v>
      </c>
      <c r="Q146" s="1131"/>
    </row>
    <row r="147" spans="2:17">
      <c r="B147" s="1132" t="s">
        <v>957</v>
      </c>
      <c r="C147" s="1133">
        <v>0.43</v>
      </c>
      <c r="D147" s="1134">
        <v>0</v>
      </c>
      <c r="E147" s="1134">
        <v>0</v>
      </c>
      <c r="F147" s="1133">
        <v>0.24913063200000002</v>
      </c>
      <c r="G147" s="1133">
        <v>0.15604799999999999</v>
      </c>
      <c r="H147" s="1135">
        <f t="shared" si="22"/>
        <v>0.18086936799999997</v>
      </c>
      <c r="J147" s="1136">
        <v>1.9930450560000004E-2</v>
      </c>
      <c r="K147" s="1135">
        <f t="shared" si="23"/>
        <v>0.16093891743999997</v>
      </c>
      <c r="M147" s="106">
        <f t="shared" si="25"/>
        <v>0.59815011486884573</v>
      </c>
      <c r="N147" s="1133">
        <v>0.47977212010601156</v>
      </c>
      <c r="O147" s="109">
        <f t="shared" si="26"/>
        <v>0</v>
      </c>
      <c r="P147" s="1137">
        <f t="shared" si="24"/>
        <v>0</v>
      </c>
      <c r="Q147" s="1131"/>
    </row>
    <row r="148" spans="2:17">
      <c r="B148" s="1132" t="s">
        <v>958</v>
      </c>
      <c r="C148" s="1133">
        <v>6.1706995466666671E-2</v>
      </c>
      <c r="D148" s="1134">
        <v>0</v>
      </c>
      <c r="E148" s="1134">
        <v>0</v>
      </c>
      <c r="F148" s="1133">
        <v>1.7558368800000002E-2</v>
      </c>
      <c r="G148" s="1133">
        <v>1.1676000000000001E-2</v>
      </c>
      <c r="H148" s="1135">
        <f t="shared" si="22"/>
        <v>4.414862666666667E-2</v>
      </c>
      <c r="J148" s="1136">
        <v>1.4046695040000003E-3</v>
      </c>
      <c r="K148" s="1135">
        <f t="shared" si="23"/>
        <v>4.2743957162666671E-2</v>
      </c>
      <c r="M148" s="106">
        <f t="shared" si="25"/>
        <v>2.2540669104512858</v>
      </c>
      <c r="N148" s="1133">
        <v>8.9577705969160384E-2</v>
      </c>
      <c r="O148" s="109">
        <f t="shared" si="26"/>
        <v>0</v>
      </c>
      <c r="P148" s="1137">
        <f t="shared" si="24"/>
        <v>0</v>
      </c>
      <c r="Q148" s="1131"/>
    </row>
    <row r="149" spans="2:17">
      <c r="B149" s="1132" t="s">
        <v>959</v>
      </c>
      <c r="C149" s="1133">
        <v>0</v>
      </c>
      <c r="D149" s="1134">
        <v>0</v>
      </c>
      <c r="E149" s="1134">
        <v>0</v>
      </c>
      <c r="F149" s="1133">
        <v>9.6272658000000014E-3</v>
      </c>
      <c r="G149" s="1133">
        <v>5.4660000000000004E-3</v>
      </c>
      <c r="H149" s="1135">
        <f t="shared" si="22"/>
        <v>-9.6272658000000014E-3</v>
      </c>
      <c r="J149" s="1136">
        <v>7.7018126400000013E-4</v>
      </c>
      <c r="K149" s="1135">
        <f t="shared" si="23"/>
        <v>-1.0397447064000002E-2</v>
      </c>
      <c r="M149" s="106">
        <f t="shared" si="25"/>
        <v>-1</v>
      </c>
      <c r="N149" s="1133">
        <v>1.9737460637272629E-2</v>
      </c>
      <c r="O149" s="109">
        <f t="shared" si="26"/>
        <v>3.6888984151245954E-6</v>
      </c>
      <c r="P149" s="1137">
        <f t="shared" si="24"/>
        <v>3.6888984151245955E-4</v>
      </c>
      <c r="Q149" s="1131"/>
    </row>
    <row r="150" spans="2:17">
      <c r="B150" s="1132" t="s">
        <v>960</v>
      </c>
      <c r="C150" s="1133">
        <v>0.20596499999999998</v>
      </c>
      <c r="D150" s="1134">
        <v>0</v>
      </c>
      <c r="E150" s="1134">
        <v>0</v>
      </c>
      <c r="F150" s="1133">
        <v>0.11569063</v>
      </c>
      <c r="G150" s="1133">
        <v>0.112321</v>
      </c>
      <c r="H150" s="1135">
        <f t="shared" si="22"/>
        <v>9.0274369999999979E-2</v>
      </c>
      <c r="J150" s="1136">
        <v>9.2552503999999997E-3</v>
      </c>
      <c r="K150" s="1135">
        <f t="shared" si="23"/>
        <v>8.1019119599999981E-2</v>
      </c>
      <c r="M150" s="106">
        <f t="shared" si="25"/>
        <v>0.64843370058001515</v>
      </c>
      <c r="N150" s="1133">
        <v>0.1563814188953139</v>
      </c>
      <c r="O150" s="109">
        <f t="shared" si="26"/>
        <v>0</v>
      </c>
      <c r="P150" s="1137">
        <f t="shared" si="24"/>
        <v>0</v>
      </c>
      <c r="Q150" s="1131"/>
    </row>
    <row r="151" spans="2:17">
      <c r="B151" s="1132" t="s">
        <v>961</v>
      </c>
      <c r="C151" s="1133">
        <v>0.08</v>
      </c>
      <c r="D151" s="1134">
        <v>0</v>
      </c>
      <c r="E151" s="1134">
        <v>0</v>
      </c>
      <c r="F151" s="1133">
        <v>6.3649735799999996E-2</v>
      </c>
      <c r="G151" s="1133">
        <v>4.2037999999999999E-2</v>
      </c>
      <c r="H151" s="1135">
        <f t="shared" si="22"/>
        <v>1.6350264200000006E-2</v>
      </c>
      <c r="J151" s="1136">
        <v>7.9147558267494977E-3</v>
      </c>
      <c r="K151" s="1135">
        <f t="shared" si="23"/>
        <v>8.4355083732505082E-3</v>
      </c>
      <c r="M151" s="106">
        <f t="shared" si="25"/>
        <v>0.11787281906852071</v>
      </c>
      <c r="N151" s="1133">
        <v>0.15334488648957964</v>
      </c>
      <c r="O151" s="109">
        <f t="shared" si="26"/>
        <v>0</v>
      </c>
      <c r="P151" s="1137">
        <f t="shared" si="24"/>
        <v>0</v>
      </c>
      <c r="Q151" s="1131"/>
    </row>
    <row r="152" spans="2:17">
      <c r="B152" s="1132" t="s">
        <v>962</v>
      </c>
      <c r="C152" s="1133">
        <v>0.47</v>
      </c>
      <c r="D152" s="1134">
        <v>0</v>
      </c>
      <c r="E152" s="1134">
        <v>0</v>
      </c>
      <c r="F152" s="1133">
        <v>0.34982920000000001</v>
      </c>
      <c r="G152" s="1133">
        <v>0.27171200000000001</v>
      </c>
      <c r="H152" s="1135">
        <f t="shared" si="22"/>
        <v>0.12017079999999997</v>
      </c>
      <c r="J152" s="1136">
        <v>2.7986336000000001E-2</v>
      </c>
      <c r="K152" s="1135">
        <f t="shared" si="23"/>
        <v>9.2184463999999966E-2</v>
      </c>
      <c r="M152" s="106">
        <f t="shared" si="25"/>
        <v>0.24399331212255909</v>
      </c>
      <c r="N152" s="1133">
        <v>0.39323094654258545</v>
      </c>
      <c r="O152" s="109">
        <f t="shared" si="26"/>
        <v>0</v>
      </c>
      <c r="P152" s="1137">
        <f t="shared" si="24"/>
        <v>0</v>
      </c>
      <c r="Q152" s="1131"/>
    </row>
    <row r="153" spans="2:17">
      <c r="B153" s="1132" t="s">
        <v>963</v>
      </c>
      <c r="C153" s="1133">
        <v>0.15</v>
      </c>
      <c r="D153" s="1134">
        <v>0</v>
      </c>
      <c r="E153" s="1134">
        <v>0</v>
      </c>
      <c r="F153" s="1133">
        <v>8.4176235000000002E-2</v>
      </c>
      <c r="G153" s="1133">
        <v>6.2865000000000004E-2</v>
      </c>
      <c r="H153" s="1135">
        <f t="shared" si="22"/>
        <v>6.5823764999999992E-2</v>
      </c>
      <c r="J153" s="1136">
        <v>6.7340988000000003E-3</v>
      </c>
      <c r="K153" s="1135">
        <f t="shared" si="23"/>
        <v>5.9089666199999995E-2</v>
      </c>
      <c r="M153" s="106">
        <f t="shared" si="25"/>
        <v>0.64997744183841055</v>
      </c>
      <c r="N153" s="1133">
        <v>0.17611887953258654</v>
      </c>
      <c r="O153" s="109">
        <f t="shared" si="26"/>
        <v>0</v>
      </c>
      <c r="P153" s="1137">
        <f t="shared" si="24"/>
        <v>0</v>
      </c>
      <c r="Q153" s="1131"/>
    </row>
    <row r="154" spans="2:17">
      <c r="B154" s="1132" t="s">
        <v>964</v>
      </c>
      <c r="C154" s="1133">
        <v>0.13930000000000001</v>
      </c>
      <c r="D154" s="1134">
        <v>0</v>
      </c>
      <c r="E154" s="1134">
        <v>0</v>
      </c>
      <c r="F154" s="1133">
        <v>0.12711744999999999</v>
      </c>
      <c r="G154" s="1133">
        <v>0.123415</v>
      </c>
      <c r="H154" s="1135">
        <f t="shared" si="22"/>
        <v>1.2182550000000014E-2</v>
      </c>
      <c r="J154" s="1136">
        <v>1.0169395999999999E-2</v>
      </c>
      <c r="K154" s="1135">
        <f t="shared" si="23"/>
        <v>2.0131540000000153E-3</v>
      </c>
      <c r="M154" s="106">
        <f t="shared" si="25"/>
        <v>1.4663852063438149E-2</v>
      </c>
      <c r="N154" s="1133">
        <v>0.13816222446090839</v>
      </c>
      <c r="O154" s="109">
        <f t="shared" si="26"/>
        <v>0</v>
      </c>
      <c r="P154" s="1137">
        <f t="shared" si="24"/>
        <v>0</v>
      </c>
      <c r="Q154" s="1131"/>
    </row>
    <row r="155" spans="2:17">
      <c r="B155" s="1132" t="s">
        <v>965</v>
      </c>
      <c r="C155" s="1133">
        <v>0.88397225850434769</v>
      </c>
      <c r="D155" s="1134">
        <v>0</v>
      </c>
      <c r="E155" s="1134">
        <v>0</v>
      </c>
      <c r="F155" s="1133">
        <v>0.92585282720000006</v>
      </c>
      <c r="G155" s="1133">
        <v>0.736792</v>
      </c>
      <c r="H155" s="1135">
        <f t="shared" si="22"/>
        <v>-4.1880568695652376E-2</v>
      </c>
      <c r="J155" s="1136">
        <v>8.9856133558465556E-2</v>
      </c>
      <c r="K155" s="1135">
        <f t="shared" si="23"/>
        <v>-0.13173670225411793</v>
      </c>
      <c r="M155" s="106">
        <f t="shared" si="25"/>
        <v>-0.12969926164257278</v>
      </c>
      <c r="N155" s="1133">
        <v>0.99598262908083413</v>
      </c>
      <c r="O155" s="109">
        <f t="shared" si="26"/>
        <v>1.8614748925551802E-4</v>
      </c>
      <c r="P155" s="1137">
        <f t="shared" si="24"/>
        <v>3.1313541648187435E-4</v>
      </c>
      <c r="Q155" s="1131"/>
    </row>
    <row r="156" spans="2:17">
      <c r="B156" s="1132" t="s">
        <v>966</v>
      </c>
      <c r="C156" s="1133">
        <v>0</v>
      </c>
      <c r="D156" s="1134">
        <v>0</v>
      </c>
      <c r="E156" s="1134">
        <v>0</v>
      </c>
      <c r="F156" s="1133">
        <v>2.5973120000000002E-2</v>
      </c>
      <c r="G156" s="1133">
        <v>2.2304000000000001E-2</v>
      </c>
      <c r="H156" s="1135">
        <f t="shared" si="22"/>
        <v>-2.5973120000000002E-2</v>
      </c>
      <c r="J156" s="1136">
        <v>2.0778496000000003E-3</v>
      </c>
      <c r="K156" s="1135">
        <f t="shared" si="23"/>
        <v>-2.8050969600000003E-2</v>
      </c>
      <c r="M156" s="106">
        <f t="shared" si="25"/>
        <v>-1</v>
      </c>
      <c r="N156" s="1133">
        <v>1.6700928231538376E-2</v>
      </c>
      <c r="O156" s="109">
        <f t="shared" si="26"/>
        <v>3.1213755820285031E-6</v>
      </c>
      <c r="P156" s="1137">
        <f t="shared" si="24"/>
        <v>3.121375582028503E-4</v>
      </c>
      <c r="Q156" s="1131"/>
    </row>
    <row r="157" spans="2:17">
      <c r="B157" s="1132" t="s">
        <v>967</v>
      </c>
      <c r="C157" s="1133">
        <v>0.32802427818461549</v>
      </c>
      <c r="D157" s="1134">
        <v>0</v>
      </c>
      <c r="E157" s="1134">
        <v>0</v>
      </c>
      <c r="F157" s="1133">
        <v>0.7590978048</v>
      </c>
      <c r="G157" s="1133">
        <v>0.57577199999999995</v>
      </c>
      <c r="H157" s="1135">
        <f t="shared" si="22"/>
        <v>-0.43107352661538451</v>
      </c>
      <c r="J157" s="1136">
        <v>8.5600849335385851E-2</v>
      </c>
      <c r="K157" s="1135">
        <f t="shared" si="23"/>
        <v>-0.51667437595077037</v>
      </c>
      <c r="M157" s="106">
        <f t="shared" si="25"/>
        <v>-0.61166709976544997</v>
      </c>
      <c r="N157" s="1133">
        <v>1.0142018235152397</v>
      </c>
      <c r="O157" s="109">
        <f t="shared" si="26"/>
        <v>1.8955262625409459E-4</v>
      </c>
      <c r="P157" s="1137">
        <f t="shared" si="24"/>
        <v>7.0918582867204845E-3</v>
      </c>
      <c r="Q157" s="1131"/>
    </row>
    <row r="158" spans="2:17">
      <c r="B158" s="1132" t="s">
        <v>968</v>
      </c>
      <c r="C158" s="1133">
        <v>9.0545E-2</v>
      </c>
      <c r="D158" s="1134">
        <v>0</v>
      </c>
      <c r="E158" s="1134">
        <v>0</v>
      </c>
      <c r="F158" s="1133">
        <v>6.0791629999999999E-2</v>
      </c>
      <c r="G158" s="1133">
        <v>5.9020999999999997E-2</v>
      </c>
      <c r="H158" s="1135">
        <f t="shared" si="22"/>
        <v>2.9753370000000001E-2</v>
      </c>
      <c r="J158" s="1136">
        <v>4.8633304E-3</v>
      </c>
      <c r="K158" s="1135">
        <f t="shared" si="23"/>
        <v>2.48900396E-2</v>
      </c>
      <c r="M158" s="106">
        <f t="shared" si="25"/>
        <v>0.37910371810992666</v>
      </c>
      <c r="N158" s="1133">
        <v>0.13208915964943993</v>
      </c>
      <c r="O158" s="109">
        <f t="shared" si="26"/>
        <v>0</v>
      </c>
      <c r="P158" s="1137">
        <f t="shared" si="24"/>
        <v>0</v>
      </c>
      <c r="Q158" s="1131"/>
    </row>
    <row r="159" spans="2:17">
      <c r="B159" s="1132" t="s">
        <v>969</v>
      </c>
      <c r="C159" s="1133">
        <v>0.16337443391428574</v>
      </c>
      <c r="D159" s="1134">
        <v>0</v>
      </c>
      <c r="E159" s="1134">
        <v>0</v>
      </c>
      <c r="F159" s="1133">
        <v>0.2145151542</v>
      </c>
      <c r="G159" s="1133">
        <v>0.14666699999999999</v>
      </c>
      <c r="H159" s="1135">
        <f t="shared" si="22"/>
        <v>-5.1140720285714258E-2</v>
      </c>
      <c r="J159" s="1136">
        <v>1.7161212336000001E-2</v>
      </c>
      <c r="K159" s="1135">
        <f t="shared" si="23"/>
        <v>-6.8301932621714259E-2</v>
      </c>
      <c r="M159" s="106">
        <f t="shared" si="25"/>
        <v>-0.2948161422028383</v>
      </c>
      <c r="N159" s="1133">
        <v>0.28998884474762093</v>
      </c>
      <c r="O159" s="109">
        <f t="shared" si="26"/>
        <v>5.4198430560676744E-5</v>
      </c>
      <c r="P159" s="1137">
        <f t="shared" si="24"/>
        <v>4.7107410172588367E-4</v>
      </c>
      <c r="Q159" s="1131"/>
    </row>
    <row r="160" spans="2:17">
      <c r="B160" s="1132" t="s">
        <v>970</v>
      </c>
      <c r="C160" s="1133">
        <v>0.6169</v>
      </c>
      <c r="D160" s="1134">
        <v>0</v>
      </c>
      <c r="E160" s="1134">
        <v>0</v>
      </c>
      <c r="F160" s="1133">
        <v>0.38376461000000001</v>
      </c>
      <c r="G160" s="1133">
        <v>0.372587</v>
      </c>
      <c r="H160" s="1135">
        <f t="shared" si="22"/>
        <v>0.23313539</v>
      </c>
      <c r="J160" s="1136">
        <v>3.8221382504659229E-2</v>
      </c>
      <c r="K160" s="1135">
        <f t="shared" si="23"/>
        <v>0.19491400749534077</v>
      </c>
      <c r="M160" s="106">
        <f t="shared" si="25"/>
        <v>0.46189686614583225</v>
      </c>
      <c r="N160" s="1133">
        <v>0.82138201575111491</v>
      </c>
      <c r="O160" s="109">
        <f t="shared" si="26"/>
        <v>0</v>
      </c>
      <c r="P160" s="1137">
        <f t="shared" si="24"/>
        <v>0</v>
      </c>
      <c r="Q160" s="1131"/>
    </row>
    <row r="161" spans="2:17">
      <c r="B161" s="1132" t="s">
        <v>971</v>
      </c>
      <c r="C161" s="1133">
        <v>4.1000000000000002E-2</v>
      </c>
      <c r="D161" s="1134">
        <v>0</v>
      </c>
      <c r="E161" s="1134">
        <v>0</v>
      </c>
      <c r="F161" s="1133">
        <v>1.17362938E-2</v>
      </c>
      <c r="G161" s="1133">
        <v>7.5459999999999998E-3</v>
      </c>
      <c r="H161" s="1135">
        <f t="shared" si="22"/>
        <v>2.9263706200000003E-2</v>
      </c>
      <c r="J161" s="1136">
        <v>9.3890350400000009E-4</v>
      </c>
      <c r="K161" s="1135">
        <f t="shared" si="23"/>
        <v>2.8324802696000004E-2</v>
      </c>
      <c r="M161" s="106">
        <f t="shared" si="25"/>
        <v>2.2346636519071263</v>
      </c>
      <c r="N161" s="1133">
        <v>3.0365324057342505E-2</v>
      </c>
      <c r="O161" s="109">
        <f t="shared" si="26"/>
        <v>0</v>
      </c>
      <c r="P161" s="1137">
        <f t="shared" si="24"/>
        <v>0</v>
      </c>
      <c r="Q161" s="1131"/>
    </row>
    <row r="162" spans="2:17">
      <c r="B162" s="1132" t="s">
        <v>972</v>
      </c>
      <c r="C162" s="1133">
        <v>1.1639999999999999</v>
      </c>
      <c r="D162" s="1134">
        <v>0</v>
      </c>
      <c r="E162" s="1134">
        <v>0</v>
      </c>
      <c r="F162" s="1133">
        <v>0.69848007999999995</v>
      </c>
      <c r="G162" s="1133">
        <v>0.67813599999999996</v>
      </c>
      <c r="H162" s="1135">
        <f t="shared" si="22"/>
        <v>0.46551991999999998</v>
      </c>
      <c r="J162" s="1136">
        <v>5.5878406399999997E-2</v>
      </c>
      <c r="K162" s="1135">
        <f t="shared" si="23"/>
        <v>0.40964151360000001</v>
      </c>
      <c r="M162" s="106">
        <f t="shared" si="25"/>
        <v>0.54303294916839695</v>
      </c>
      <c r="N162" s="1133">
        <v>1.4560172885495732</v>
      </c>
      <c r="O162" s="109">
        <f t="shared" si="26"/>
        <v>0</v>
      </c>
      <c r="P162" s="1137">
        <f t="shared" si="24"/>
        <v>0</v>
      </c>
      <c r="Q162" s="1131"/>
    </row>
    <row r="163" spans="2:17">
      <c r="B163" s="1132" t="s">
        <v>973</v>
      </c>
      <c r="C163" s="1133">
        <v>0.54433995689361703</v>
      </c>
      <c r="D163" s="1134">
        <v>0</v>
      </c>
      <c r="E163" s="1134">
        <v>0</v>
      </c>
      <c r="F163" s="1133">
        <v>0.65042584200000009</v>
      </c>
      <c r="G163" s="1133">
        <v>0.46776400000000001</v>
      </c>
      <c r="H163" s="1135">
        <f>+C163+D163-E163-F163</f>
        <v>-0.10608588510638306</v>
      </c>
      <c r="J163" s="1136">
        <v>5.3598991810974238E-2</v>
      </c>
      <c r="K163" s="1135">
        <f>+H163-J163</f>
        <v>-0.1596848769173573</v>
      </c>
      <c r="M163" s="106">
        <f>+IF(ISERROR(K163/(F163+J163)),0,K163/(F163+J163))</f>
        <v>-0.22681710821614504</v>
      </c>
      <c r="N163" s="1133">
        <v>0.85782040461992581</v>
      </c>
      <c r="O163" s="109">
        <f t="shared" si="26"/>
        <v>1.6032520034964587E-4</v>
      </c>
      <c r="P163" s="1137">
        <f>(M163^2*O163)*100</f>
        <v>8.2480903501018575E-4</v>
      </c>
      <c r="Q163" s="1131"/>
    </row>
    <row r="164" spans="2:17">
      <c r="B164" s="1132" t="s">
        <v>974</v>
      </c>
      <c r="C164" s="1133">
        <v>0.95449580157710834</v>
      </c>
      <c r="D164" s="1134">
        <v>0</v>
      </c>
      <c r="E164" s="1134">
        <v>0</v>
      </c>
      <c r="F164" s="1133">
        <v>0.92217753999999996</v>
      </c>
      <c r="G164" s="1133">
        <v>0.89531799999999995</v>
      </c>
      <c r="H164" s="1135">
        <f t="shared" ref="H164:H187" si="27">+C164+D164-E164-F164</f>
        <v>3.2318261577108376E-2</v>
      </c>
      <c r="J164" s="1136">
        <v>7.3774203199999999E-2</v>
      </c>
      <c r="K164" s="1135">
        <f t="shared" ref="K164:K187" si="28">+H164-J164</f>
        <v>-4.1455941622891623E-2</v>
      </c>
      <c r="M164" s="106">
        <f>+IF(ISERROR(K164/(F164+J164)),0,K164/(F164+J164))</f>
        <v>-4.1624448077869101E-2</v>
      </c>
      <c r="N164" s="1133">
        <v>1.4803095477954471</v>
      </c>
      <c r="O164" s="109">
        <f t="shared" si="26"/>
        <v>2.7666738113434465E-4</v>
      </c>
      <c r="P164" s="1137">
        <f t="shared" ref="P164:P187" si="29">(M164^2*O164)*100</f>
        <v>4.7935243207069407E-5</v>
      </c>
      <c r="Q164" s="1131"/>
    </row>
    <row r="165" spans="2:17">
      <c r="B165" s="1132" t="s">
        <v>975</v>
      </c>
      <c r="C165" s="1133">
        <v>0.87</v>
      </c>
      <c r="D165" s="1134">
        <v>0</v>
      </c>
      <c r="E165" s="1134">
        <v>0</v>
      </c>
      <c r="F165" s="1133">
        <v>0.95913760680000004</v>
      </c>
      <c r="G165" s="1133">
        <v>0.750969</v>
      </c>
      <c r="H165" s="1135">
        <f t="shared" si="27"/>
        <v>-8.9137606800000047E-2</v>
      </c>
      <c r="J165" s="1136">
        <v>7.6731008544000001E-2</v>
      </c>
      <c r="K165" s="1135">
        <f t="shared" si="28"/>
        <v>-0.16586861534400005</v>
      </c>
      <c r="M165" s="106">
        <f t="shared" ref="M165:M187" si="30">+IF(ISERROR(K165/(F165+J165)),0,K165/(F165+J165))</f>
        <v>-0.16012514800336625</v>
      </c>
      <c r="N165" s="1133">
        <v>1.6531707750499731</v>
      </c>
      <c r="O165" s="109">
        <f t="shared" si="26"/>
        <v>3.0897485568613827E-4</v>
      </c>
      <c r="P165" s="1137">
        <f t="shared" si="29"/>
        <v>7.922134772345796E-4</v>
      </c>
      <c r="Q165" s="1131"/>
    </row>
    <row r="166" spans="2:17">
      <c r="B166" s="1132" t="s">
        <v>976</v>
      </c>
      <c r="C166" s="1133">
        <v>10.017710104505262</v>
      </c>
      <c r="D166" s="1134">
        <v>0</v>
      </c>
      <c r="E166" s="1134">
        <v>0</v>
      </c>
      <c r="F166" s="1133">
        <v>7.8433310144000012</v>
      </c>
      <c r="G166" s="1133">
        <v>6.799004</v>
      </c>
      <c r="H166" s="1135">
        <f t="shared" si="27"/>
        <v>2.1743790901052611</v>
      </c>
      <c r="J166" s="1136">
        <v>0.6274664811520001</v>
      </c>
      <c r="K166" s="1135">
        <f t="shared" si="28"/>
        <v>1.546912608953261</v>
      </c>
      <c r="M166" s="106">
        <f t="shared" si="30"/>
        <v>0.18261711601127775</v>
      </c>
      <c r="N166" s="1133">
        <v>10.768146383407066</v>
      </c>
      <c r="O166" s="109">
        <f t="shared" si="26"/>
        <v>0</v>
      </c>
      <c r="P166" s="1137">
        <f t="shared" si="29"/>
        <v>0</v>
      </c>
      <c r="Q166" s="1131"/>
    </row>
    <row r="167" spans="2:17">
      <c r="B167" s="1132" t="s">
        <v>977</v>
      </c>
      <c r="C167" s="1133">
        <v>3.474548831672251</v>
      </c>
      <c r="D167" s="1134">
        <v>0</v>
      </c>
      <c r="E167" s="1134">
        <v>0</v>
      </c>
      <c r="F167" s="1133">
        <v>3.75319022</v>
      </c>
      <c r="G167" s="1133">
        <v>3.6438739999999998</v>
      </c>
      <c r="H167" s="1135">
        <f t="shared" si="27"/>
        <v>-0.27864138832774898</v>
      </c>
      <c r="J167" s="1136">
        <v>0.30025521760000001</v>
      </c>
      <c r="K167" s="1135">
        <f t="shared" si="28"/>
        <v>-0.57889660592774894</v>
      </c>
      <c r="M167" s="106">
        <f t="shared" si="30"/>
        <v>-0.14281593642728474</v>
      </c>
      <c r="N167" s="1133">
        <v>5.2218733776364701</v>
      </c>
      <c r="O167" s="109">
        <f t="shared" si="26"/>
        <v>9.7595940940689802E-4</v>
      </c>
      <c r="P167" s="1137">
        <f t="shared" si="29"/>
        <v>1.9906050395223636E-3</v>
      </c>
      <c r="Q167" s="1131"/>
    </row>
    <row r="168" spans="2:17">
      <c r="B168" s="1132" t="s">
        <v>978</v>
      </c>
      <c r="C168" s="1133">
        <v>0.19</v>
      </c>
      <c r="D168" s="1134">
        <v>0</v>
      </c>
      <c r="E168" s="1134">
        <v>0</v>
      </c>
      <c r="F168" s="1133">
        <v>0.18240828000000001</v>
      </c>
      <c r="G168" s="1133">
        <v>0.11107599999999999</v>
      </c>
      <c r="H168" s="1135">
        <f t="shared" si="27"/>
        <v>7.5917199999999962E-3</v>
      </c>
      <c r="J168" s="1136">
        <v>1.4592662400000001E-2</v>
      </c>
      <c r="K168" s="1135">
        <f t="shared" si="28"/>
        <v>-7.0009424000000049E-3</v>
      </c>
      <c r="M168" s="106">
        <f t="shared" si="30"/>
        <v>-3.553760867694207E-2</v>
      </c>
      <c r="N168" s="1133">
        <v>0.31234579893214726</v>
      </c>
      <c r="O168" s="109">
        <f t="shared" si="26"/>
        <v>5.8376907943049301E-5</v>
      </c>
      <c r="P168" s="1137">
        <f t="shared" si="29"/>
        <v>7.3725459761552129E-6</v>
      </c>
      <c r="Q168" s="1131"/>
    </row>
    <row r="169" spans="2:17">
      <c r="B169" s="1132" t="s">
        <v>979</v>
      </c>
      <c r="C169" s="1133">
        <v>2.7460393611164644</v>
      </c>
      <c r="D169" s="1134">
        <v>0</v>
      </c>
      <c r="E169" s="1134">
        <v>0</v>
      </c>
      <c r="F169" s="1133">
        <v>2.8715771700000001</v>
      </c>
      <c r="G169" s="1133">
        <v>2.7879390000000002</v>
      </c>
      <c r="H169" s="1135">
        <f t="shared" si="27"/>
        <v>-0.12553780888353572</v>
      </c>
      <c r="J169" s="1136">
        <v>0.63657199665083908</v>
      </c>
      <c r="K169" s="1135">
        <f t="shared" si="28"/>
        <v>-0.7621098055343748</v>
      </c>
      <c r="M169" s="106">
        <f t="shared" si="30"/>
        <v>-0.21723985193649731</v>
      </c>
      <c r="N169" s="1133">
        <v>6.9099504086184655</v>
      </c>
      <c r="O169" s="109">
        <f t="shared" si="26"/>
        <v>1.2914581860042403E-3</v>
      </c>
      <c r="P169" s="1137">
        <f t="shared" si="29"/>
        <v>6.0947984113108138E-3</v>
      </c>
      <c r="Q169" s="1131"/>
    </row>
    <row r="170" spans="2:17">
      <c r="B170" s="1132" t="s">
        <v>980</v>
      </c>
      <c r="C170" s="1133">
        <v>9.873794889034782</v>
      </c>
      <c r="D170" s="1134">
        <v>0</v>
      </c>
      <c r="E170" s="1134">
        <v>0</v>
      </c>
      <c r="F170" s="1133">
        <v>8.2651536300000004</v>
      </c>
      <c r="G170" s="1133">
        <v>8.0244210000000002</v>
      </c>
      <c r="H170" s="1135">
        <f t="shared" si="27"/>
        <v>1.6086412590347816</v>
      </c>
      <c r="J170" s="1136">
        <v>0.66121229040000007</v>
      </c>
      <c r="K170" s="1135">
        <f t="shared" si="28"/>
        <v>0.94742896863478154</v>
      </c>
      <c r="M170" s="106">
        <f t="shared" si="30"/>
        <v>0.10613826243326649</v>
      </c>
      <c r="N170" s="1133">
        <v>12.771245387568648</v>
      </c>
      <c r="O170" s="109">
        <f t="shared" si="26"/>
        <v>0</v>
      </c>
      <c r="P170" s="1137">
        <f t="shared" si="29"/>
        <v>0</v>
      </c>
      <c r="Q170" s="1131"/>
    </row>
    <row r="171" spans="2:17">
      <c r="B171" s="1132" t="s">
        <v>981</v>
      </c>
      <c r="C171" s="1133">
        <v>7.8159512914285689E-2</v>
      </c>
      <c r="D171" s="1134">
        <v>0</v>
      </c>
      <c r="E171" s="1134">
        <v>0</v>
      </c>
      <c r="F171" s="1133">
        <v>0.53061685999999997</v>
      </c>
      <c r="G171" s="1133">
        <v>0.51516200000000001</v>
      </c>
      <c r="H171" s="1135">
        <f t="shared" si="27"/>
        <v>-0.45245734708571428</v>
      </c>
      <c r="J171" s="1136">
        <v>4.2449348800000002E-2</v>
      </c>
      <c r="K171" s="1135">
        <f t="shared" si="28"/>
        <v>-0.49490669588571429</v>
      </c>
      <c r="M171" s="106">
        <f t="shared" si="30"/>
        <v>-0.86361172284446575</v>
      </c>
      <c r="N171" s="1133">
        <v>1.0533348070350139</v>
      </c>
      <c r="O171" s="109">
        <f t="shared" si="26"/>
        <v>1.9686651548929762E-4</v>
      </c>
      <c r="P171" s="1137">
        <f t="shared" si="29"/>
        <v>1.4682800983043684E-2</v>
      </c>
      <c r="Q171" s="1131"/>
    </row>
    <row r="172" spans="2:17">
      <c r="B172" s="1132" t="s">
        <v>982</v>
      </c>
      <c r="C172" s="1133">
        <v>0.21282862600563379</v>
      </c>
      <c r="D172" s="1134">
        <v>0</v>
      </c>
      <c r="E172" s="1134">
        <v>0</v>
      </c>
      <c r="F172" s="1133">
        <v>0.35353439840000001</v>
      </c>
      <c r="G172" s="1133">
        <v>0.22581399999999999</v>
      </c>
      <c r="H172" s="1135">
        <f t="shared" si="27"/>
        <v>-0.14070577239436621</v>
      </c>
      <c r="J172" s="1136">
        <v>2.8282751872000002E-2</v>
      </c>
      <c r="K172" s="1135">
        <f t="shared" si="28"/>
        <v>-0.16898852426636621</v>
      </c>
      <c r="M172" s="106">
        <f t="shared" si="30"/>
        <v>-0.44259018785819776</v>
      </c>
      <c r="N172" s="1133">
        <v>0.42218168427092434</v>
      </c>
      <c r="O172" s="109">
        <f t="shared" si="26"/>
        <v>7.890505139555016E-5</v>
      </c>
      <c r="P172" s="1137">
        <f t="shared" si="29"/>
        <v>1.5456400767285697E-3</v>
      </c>
      <c r="Q172" s="1131"/>
    </row>
    <row r="173" spans="2:17">
      <c r="B173" s="1132" t="s">
        <v>983</v>
      </c>
      <c r="C173" s="1133">
        <v>1.0261916074105264</v>
      </c>
      <c r="D173" s="1134">
        <v>0</v>
      </c>
      <c r="E173" s="1134">
        <v>0</v>
      </c>
      <c r="F173" s="1133">
        <v>0.6737854592000001</v>
      </c>
      <c r="G173" s="1133">
        <v>0.51106300000000005</v>
      </c>
      <c r="H173" s="1135">
        <f t="shared" si="27"/>
        <v>0.35240614821052629</v>
      </c>
      <c r="J173" s="1136">
        <v>6.4095132634725313E-2</v>
      </c>
      <c r="K173" s="1135">
        <f t="shared" si="28"/>
        <v>0.28831101557580097</v>
      </c>
      <c r="M173" s="106">
        <f t="shared" si="30"/>
        <v>0.39072855251406108</v>
      </c>
      <c r="N173" s="1133">
        <v>0.96724887125184911</v>
      </c>
      <c r="O173" s="109">
        <f t="shared" si="26"/>
        <v>0</v>
      </c>
      <c r="P173" s="1137">
        <f t="shared" si="29"/>
        <v>0</v>
      </c>
      <c r="Q173" s="1131"/>
    </row>
    <row r="174" spans="2:17">
      <c r="B174" s="1132" t="s">
        <v>984</v>
      </c>
      <c r="C174" s="1133">
        <v>0.2</v>
      </c>
      <c r="D174" s="1134">
        <v>0</v>
      </c>
      <c r="E174" s="1134">
        <v>0</v>
      </c>
      <c r="F174" s="1133">
        <v>0.24448911210000002</v>
      </c>
      <c r="G174" s="1133">
        <v>0.181197</v>
      </c>
      <c r="H174" s="1135">
        <f t="shared" si="27"/>
        <v>-4.4489112100000006E-2</v>
      </c>
      <c r="J174" s="1136">
        <v>1.9559128968000002E-2</v>
      </c>
      <c r="K174" s="1135">
        <f t="shared" si="28"/>
        <v>-6.4048241068E-2</v>
      </c>
      <c r="M174" s="106">
        <f t="shared" si="30"/>
        <v>-0.24256264994965726</v>
      </c>
      <c r="N174" s="1133">
        <v>0.37340199414719044</v>
      </c>
      <c r="O174" s="109">
        <f t="shared" si="26"/>
        <v>6.9788208814093556E-5</v>
      </c>
      <c r="P174" s="1137">
        <f t="shared" si="29"/>
        <v>4.1061036589615425E-4</v>
      </c>
      <c r="Q174" s="1131"/>
    </row>
    <row r="175" spans="2:17">
      <c r="B175" s="1132" t="s">
        <v>985</v>
      </c>
      <c r="C175" s="1133">
        <v>1.7643634999999998E-2</v>
      </c>
      <c r="D175" s="1134">
        <v>0</v>
      </c>
      <c r="E175" s="1134">
        <v>0</v>
      </c>
      <c r="F175" s="1133">
        <v>2.668626E-2</v>
      </c>
      <c r="G175" s="1133">
        <v>1.8141999999999998E-2</v>
      </c>
      <c r="H175" s="1135">
        <f t="shared" si="27"/>
        <v>-9.0426250000000021E-3</v>
      </c>
      <c r="J175" s="1136">
        <v>2.1349008000000002E-3</v>
      </c>
      <c r="K175" s="1135">
        <f t="shared" si="28"/>
        <v>-1.1177525800000003E-2</v>
      </c>
      <c r="M175" s="106">
        <f t="shared" si="30"/>
        <v>-0.38782358134582851</v>
      </c>
      <c r="N175" s="1133">
        <v>3.7307209751798E-2</v>
      </c>
      <c r="O175" s="109">
        <f t="shared" si="26"/>
        <v>6.9726551685295982E-6</v>
      </c>
      <c r="P175" s="1137">
        <f t="shared" si="29"/>
        <v>1.0487370541067553E-4</v>
      </c>
      <c r="Q175" s="1131"/>
    </row>
    <row r="176" spans="2:17">
      <c r="B176" s="1132" t="s">
        <v>986</v>
      </c>
      <c r="C176" s="1133">
        <v>7.0522625673684205</v>
      </c>
      <c r="D176" s="1134">
        <v>0</v>
      </c>
      <c r="E176" s="1134">
        <v>0</v>
      </c>
      <c r="F176" s="1133">
        <v>8.04217622</v>
      </c>
      <c r="G176" s="1133">
        <v>6.570074</v>
      </c>
      <c r="H176" s="1135">
        <f t="shared" si="27"/>
        <v>-0.98991365263157949</v>
      </c>
      <c r="J176" s="1136">
        <v>0.64337409759999997</v>
      </c>
      <c r="K176" s="1135">
        <f t="shared" si="28"/>
        <v>-1.6332877502315795</v>
      </c>
      <c r="M176" s="106">
        <f t="shared" si="30"/>
        <v>-0.18804654748496016</v>
      </c>
      <c r="N176" s="1133">
        <v>13.428302707712934</v>
      </c>
      <c r="O176" s="109">
        <f t="shared" si="26"/>
        <v>2.5097273396331144E-3</v>
      </c>
      <c r="P176" s="1137">
        <f t="shared" si="29"/>
        <v>8.8747733412083592E-3</v>
      </c>
      <c r="Q176" s="1131"/>
    </row>
    <row r="177" spans="2:17">
      <c r="B177" s="1132" t="s">
        <v>987</v>
      </c>
      <c r="C177" s="1133">
        <v>0</v>
      </c>
      <c r="D177" s="1134">
        <v>0</v>
      </c>
      <c r="E177" s="1134">
        <v>0</v>
      </c>
      <c r="F177" s="1133">
        <v>5.6229760000000009E-3</v>
      </c>
      <c r="G177" s="1133">
        <v>3.4120000000000001E-3</v>
      </c>
      <c r="H177" s="1135">
        <f t="shared" si="27"/>
        <v>-5.6229760000000009E-3</v>
      </c>
      <c r="J177" s="1136">
        <v>4.498380800000001E-4</v>
      </c>
      <c r="K177" s="1135">
        <f t="shared" si="28"/>
        <v>-6.0728140800000007E-3</v>
      </c>
      <c r="M177" s="106">
        <f t="shared" si="30"/>
        <v>-1</v>
      </c>
      <c r="N177" s="1133">
        <v>1.1335565580158621E-2</v>
      </c>
      <c r="O177" s="109">
        <f t="shared" si="26"/>
        <v>2.1185982671054616E-6</v>
      </c>
      <c r="P177" s="1137">
        <f t="shared" si="29"/>
        <v>2.1185982671054616E-4</v>
      </c>
      <c r="Q177" s="1131"/>
    </row>
    <row r="178" spans="2:17">
      <c r="B178" s="1132" t="s">
        <v>988</v>
      </c>
      <c r="C178" s="1133">
        <v>9.5257373111111154E-3</v>
      </c>
      <c r="D178" s="1134">
        <v>0</v>
      </c>
      <c r="E178" s="1134">
        <v>0</v>
      </c>
      <c r="F178" s="1133">
        <v>0.2403649612</v>
      </c>
      <c r="G178" s="1133">
        <v>0.19128200000000001</v>
      </c>
      <c r="H178" s="1135">
        <f t="shared" si="27"/>
        <v>-0.23083922388888889</v>
      </c>
      <c r="J178" s="1136">
        <v>2.0348556737692217E-2</v>
      </c>
      <c r="K178" s="1135">
        <f t="shared" si="28"/>
        <v>-0.25118778062658109</v>
      </c>
      <c r="M178" s="106">
        <f t="shared" si="30"/>
        <v>-0.9634628177838187</v>
      </c>
      <c r="N178" s="1133">
        <v>0.37484863131568463</v>
      </c>
      <c r="O178" s="109">
        <f t="shared" si="26"/>
        <v>7.005858288379738E-5</v>
      </c>
      <c r="P178" s="1137">
        <f t="shared" si="29"/>
        <v>6.5032622270572334E-3</v>
      </c>
      <c r="Q178" s="1131"/>
    </row>
    <row r="179" spans="2:17">
      <c r="B179" s="1132" t="s">
        <v>989</v>
      </c>
      <c r="C179" s="1133">
        <v>13.871</v>
      </c>
      <c r="D179" s="1134">
        <v>0</v>
      </c>
      <c r="E179" s="1134">
        <v>0</v>
      </c>
      <c r="F179" s="1133">
        <v>9.4855038100000009</v>
      </c>
      <c r="G179" s="1133">
        <v>9.2092270000000003</v>
      </c>
      <c r="H179" s="1135">
        <f t="shared" si="27"/>
        <v>4.3854961899999996</v>
      </c>
      <c r="J179" s="1136">
        <v>2.6686847407587622</v>
      </c>
      <c r="K179" s="1135">
        <f t="shared" si="28"/>
        <v>1.7168114492412374</v>
      </c>
      <c r="M179" s="106">
        <f t="shared" si="30"/>
        <v>0.14125265887322935</v>
      </c>
      <c r="N179" s="1133">
        <v>19.492369952116569</v>
      </c>
      <c r="O179" s="109">
        <f t="shared" si="26"/>
        <v>0</v>
      </c>
      <c r="P179" s="1137">
        <f t="shared" si="29"/>
        <v>0</v>
      </c>
      <c r="Q179" s="1131"/>
    </row>
    <row r="180" spans="2:17">
      <c r="B180" s="1132" t="s">
        <v>990</v>
      </c>
      <c r="C180" s="1133">
        <v>206.98274507378832</v>
      </c>
      <c r="D180" s="1134">
        <v>0</v>
      </c>
      <c r="E180" s="1134">
        <v>0</v>
      </c>
      <c r="F180" s="1133">
        <v>192.55564278</v>
      </c>
      <c r="G180" s="1133">
        <v>186.947226</v>
      </c>
      <c r="H180" s="1135">
        <f t="shared" si="27"/>
        <v>14.427102293788323</v>
      </c>
      <c r="J180" s="1136">
        <v>15.926355660097768</v>
      </c>
      <c r="K180" s="1135">
        <f t="shared" si="28"/>
        <v>-1.4992533663094445</v>
      </c>
      <c r="M180" s="106">
        <f t="shared" si="30"/>
        <v>-7.1912845115028896E-3</v>
      </c>
      <c r="N180" s="1133">
        <v>729.47394211002882</v>
      </c>
      <c r="O180" s="109">
        <f t="shared" si="26"/>
        <v>0.13633746095192817</v>
      </c>
      <c r="P180" s="1137">
        <f t="shared" si="29"/>
        <v>7.050633566859821E-4</v>
      </c>
      <c r="Q180" s="1131"/>
    </row>
    <row r="181" spans="2:17">
      <c r="B181" s="1132" t="s">
        <v>991</v>
      </c>
      <c r="C181" s="1133">
        <v>624.21310599999993</v>
      </c>
      <c r="D181" s="1134">
        <v>0</v>
      </c>
      <c r="E181" s="1134">
        <v>0</v>
      </c>
      <c r="F181" s="1133">
        <v>411.51198497000001</v>
      </c>
      <c r="G181" s="1133">
        <v>399.52619900000002</v>
      </c>
      <c r="H181" s="1135">
        <f t="shared" si="27"/>
        <v>212.70112102999991</v>
      </c>
      <c r="J181" s="1136">
        <v>32.920958797600001</v>
      </c>
      <c r="K181" s="1135">
        <f t="shared" si="28"/>
        <v>179.7801622323999</v>
      </c>
      <c r="M181" s="106">
        <f t="shared" si="30"/>
        <v>0.40451583248610251</v>
      </c>
      <c r="N181" s="1133">
        <v>1303.0578526212225</v>
      </c>
      <c r="O181" s="109">
        <f t="shared" si="26"/>
        <v>0</v>
      </c>
      <c r="P181" s="1137">
        <f t="shared" si="29"/>
        <v>0</v>
      </c>
      <c r="Q181" s="1131"/>
    </row>
    <row r="182" spans="2:17">
      <c r="B182" s="1132" t="s">
        <v>992</v>
      </c>
      <c r="C182" s="1133">
        <v>6.572704504340817</v>
      </c>
      <c r="D182" s="1134">
        <v>0</v>
      </c>
      <c r="E182" s="1134">
        <v>0</v>
      </c>
      <c r="F182" s="1133">
        <v>8.8115912899999991</v>
      </c>
      <c r="G182" s="1133">
        <v>8.5549429999999997</v>
      </c>
      <c r="H182" s="1135">
        <f t="shared" si="27"/>
        <v>-2.2388867856591821</v>
      </c>
      <c r="J182" s="1136">
        <v>0.80911540393951076</v>
      </c>
      <c r="K182" s="1135">
        <f t="shared" si="28"/>
        <v>-3.0480021895986926</v>
      </c>
      <c r="M182" s="106">
        <f t="shared" si="30"/>
        <v>-0.31681687079378046</v>
      </c>
      <c r="N182" s="1133">
        <v>34.887784663302128</v>
      </c>
      <c r="O182" s="109">
        <f t="shared" si="26"/>
        <v>6.5204686619426801E-3</v>
      </c>
      <c r="P182" s="1137">
        <f t="shared" si="29"/>
        <v>6.5447854209173872E-2</v>
      </c>
      <c r="Q182" s="1131"/>
    </row>
    <row r="183" spans="2:17">
      <c r="B183" s="1132" t="s">
        <v>993</v>
      </c>
      <c r="C183" s="1133">
        <v>18.082288909220406</v>
      </c>
      <c r="D183" s="1134">
        <v>0</v>
      </c>
      <c r="E183" s="1134">
        <v>0</v>
      </c>
      <c r="F183" s="1133">
        <v>11.72418306</v>
      </c>
      <c r="G183" s="1133">
        <v>11.382702</v>
      </c>
      <c r="H183" s="1135">
        <f t="shared" si="27"/>
        <v>6.3581058492204061</v>
      </c>
      <c r="J183" s="1136">
        <v>1.0034855607384914</v>
      </c>
      <c r="K183" s="1135">
        <f t="shared" si="28"/>
        <v>5.3546202884819145</v>
      </c>
      <c r="M183" s="106">
        <f t="shared" si="30"/>
        <v>0.42070707904486798</v>
      </c>
      <c r="N183" s="1133">
        <v>49.591012738273157</v>
      </c>
      <c r="O183" s="109">
        <f t="shared" si="26"/>
        <v>0</v>
      </c>
      <c r="P183" s="1137">
        <f t="shared" si="29"/>
        <v>0</v>
      </c>
      <c r="Q183" s="1131"/>
    </row>
    <row r="184" spans="2:17">
      <c r="B184" s="1132" t="s">
        <v>994</v>
      </c>
      <c r="C184" s="1133">
        <v>22.795000000000002</v>
      </c>
      <c r="D184" s="1134">
        <v>0</v>
      </c>
      <c r="E184" s="1134">
        <v>0</v>
      </c>
      <c r="F184" s="1133">
        <v>15.661245790000001</v>
      </c>
      <c r="G184" s="1133">
        <v>15.205093</v>
      </c>
      <c r="H184" s="1135">
        <f t="shared" si="27"/>
        <v>7.1337542100000011</v>
      </c>
      <c r="J184" s="1136">
        <v>1.5498528709703898</v>
      </c>
      <c r="K184" s="1135">
        <f t="shared" si="28"/>
        <v>5.5839013390296115</v>
      </c>
      <c r="M184" s="106">
        <f t="shared" si="30"/>
        <v>0.32443607749993469</v>
      </c>
      <c r="N184" s="1133">
        <v>50.412683836291016</v>
      </c>
      <c r="O184" s="109">
        <f t="shared" si="26"/>
        <v>0</v>
      </c>
      <c r="P184" s="1137">
        <f t="shared" si="29"/>
        <v>0</v>
      </c>
      <c r="Q184" s="1131"/>
    </row>
    <row r="185" spans="2:17">
      <c r="B185" s="1132" t="s">
        <v>995</v>
      </c>
      <c r="C185" s="1133">
        <v>1.8812055102040816E-3</v>
      </c>
      <c r="D185" s="1134">
        <v>0</v>
      </c>
      <c r="E185" s="1134">
        <v>0</v>
      </c>
      <c r="F185" s="1133">
        <v>9.3318000000000003E-4</v>
      </c>
      <c r="G185" s="1133">
        <v>9.0600000000000001E-4</v>
      </c>
      <c r="H185" s="1135">
        <f t="shared" si="27"/>
        <v>9.4802551020408158E-4</v>
      </c>
      <c r="J185" s="1136">
        <v>7.4654400000000008E-5</v>
      </c>
      <c r="K185" s="1135">
        <f t="shared" si="28"/>
        <v>8.733711102040816E-4</v>
      </c>
      <c r="M185" s="106">
        <f t="shared" si="30"/>
        <v>0.86658196049279668</v>
      </c>
      <c r="N185" s="1133">
        <v>1.5182662028671251E-3</v>
      </c>
      <c r="O185" s="109">
        <f t="shared" si="26"/>
        <v>0</v>
      </c>
      <c r="P185" s="1137">
        <f t="shared" si="29"/>
        <v>0</v>
      </c>
      <c r="Q185" s="1131"/>
    </row>
    <row r="186" spans="2:17">
      <c r="B186" s="1132" t="s">
        <v>996</v>
      </c>
      <c r="C186" s="1133">
        <v>1.4999999999999999E-2</v>
      </c>
      <c r="D186" s="1134">
        <v>0</v>
      </c>
      <c r="E186" s="1134">
        <v>0</v>
      </c>
      <c r="F186" s="1133">
        <v>1.3820789999999999E-2</v>
      </c>
      <c r="G186" s="1133">
        <v>7.5929999999999999E-3</v>
      </c>
      <c r="H186" s="1135">
        <f t="shared" si="27"/>
        <v>1.17921E-3</v>
      </c>
      <c r="J186" s="1136">
        <v>1.1056632000000001E-3</v>
      </c>
      <c r="K186" s="1135">
        <f t="shared" si="28"/>
        <v>7.3546799999999911E-5</v>
      </c>
      <c r="M186" s="106">
        <f t="shared" si="30"/>
        <v>4.9272790404086024E-3</v>
      </c>
      <c r="N186" s="1133">
        <v>3.3401856463076751E-2</v>
      </c>
      <c r="O186" s="109">
        <f t="shared" si="26"/>
        <v>0</v>
      </c>
      <c r="P186" s="1137">
        <f t="shared" si="29"/>
        <v>0</v>
      </c>
      <c r="Q186" s="1131"/>
    </row>
    <row r="187" spans="2:17">
      <c r="B187" s="1132" t="s">
        <v>997</v>
      </c>
      <c r="C187" s="1133">
        <v>3.8768432242424237E-3</v>
      </c>
      <c r="D187" s="1134">
        <v>0</v>
      </c>
      <c r="E187" s="1134">
        <v>0</v>
      </c>
      <c r="F187" s="1133">
        <v>9.2370400000000002E-3</v>
      </c>
      <c r="G187" s="1133">
        <v>8.9680000000000003E-3</v>
      </c>
      <c r="H187" s="1135">
        <f t="shared" si="27"/>
        <v>-5.3601967757575765E-3</v>
      </c>
      <c r="J187" s="1136">
        <v>7.3896319999999999E-4</v>
      </c>
      <c r="K187" s="1135">
        <f t="shared" si="28"/>
        <v>-6.0991599757575761E-3</v>
      </c>
      <c r="M187" s="106">
        <f t="shared" si="30"/>
        <v>-0.61138312142457774</v>
      </c>
      <c r="N187" s="1133">
        <v>2.2671131160317243E-2</v>
      </c>
      <c r="O187" s="109">
        <f t="shared" si="26"/>
        <v>4.2371965342109233E-6</v>
      </c>
      <c r="P187" s="1137">
        <f t="shared" si="29"/>
        <v>1.5838188161563241E-4</v>
      </c>
      <c r="Q187" s="1131"/>
    </row>
    <row r="188" spans="2:17">
      <c r="B188" s="1132" t="s">
        <v>998</v>
      </c>
      <c r="C188" s="1133">
        <v>14.751005904680852</v>
      </c>
      <c r="D188" s="1134">
        <v>0</v>
      </c>
      <c r="E188" s="1134">
        <v>0</v>
      </c>
      <c r="F188" s="1133">
        <v>16.414608390000001</v>
      </c>
      <c r="G188" s="1133">
        <v>15.936513</v>
      </c>
      <c r="H188" s="1135">
        <f>+C188+D188-E188-F188</f>
        <v>-1.6636024853191493</v>
      </c>
      <c r="J188" s="1136">
        <v>1.4820302400930345</v>
      </c>
      <c r="K188" s="1135">
        <f>+H188-J188</f>
        <v>-3.1456327254121836</v>
      </c>
      <c r="M188" s="106">
        <f>+IF(ISERROR(K188/(F188+J188)),0,K188/(F188+J188))</f>
        <v>-0.1757666783371728</v>
      </c>
      <c r="N188" s="1133">
        <v>37.840311136462503</v>
      </c>
      <c r="O188" s="109">
        <f t="shared" si="26"/>
        <v>7.0722909266005187E-3</v>
      </c>
      <c r="P188" s="1137">
        <f>(M188^2*O188)*100</f>
        <v>2.1849082697580648E-2</v>
      </c>
      <c r="Q188" s="1131"/>
    </row>
    <row r="189" spans="2:17">
      <c r="B189" s="1132" t="s">
        <v>999</v>
      </c>
      <c r="C189" s="1133">
        <v>83.510710408571427</v>
      </c>
      <c r="D189" s="1134">
        <v>0</v>
      </c>
      <c r="E189" s="1134">
        <v>0</v>
      </c>
      <c r="F189" s="1133">
        <v>81.120889349999999</v>
      </c>
      <c r="G189" s="1133">
        <v>78.758144999999999</v>
      </c>
      <c r="H189" s="1135">
        <f t="shared" ref="H189:H212" si="31">+C189+D189-E189-F189</f>
        <v>2.3898210585714281</v>
      </c>
      <c r="J189" s="1136">
        <v>7.3241839380818137</v>
      </c>
      <c r="K189" s="1135">
        <f t="shared" ref="K189:K212" si="32">+H189-J189</f>
        <v>-4.9343628795103855</v>
      </c>
      <c r="M189" s="106">
        <f>+IF(ISERROR(K189/(F189+J189)),0,K189/(F189+J189))</f>
        <v>-5.5790138399662591E-2</v>
      </c>
      <c r="N189" s="1133">
        <v>206.30542773566557</v>
      </c>
      <c r="O189" s="109">
        <f t="shared" si="26"/>
        <v>3.8558139742076808E-2</v>
      </c>
      <c r="P189" s="1137">
        <f t="shared" ref="P189:P212" si="33">(M189^2*O189)*100</f>
        <v>1.2001373463837374E-2</v>
      </c>
      <c r="Q189" s="1131"/>
    </row>
    <row r="190" spans="2:17">
      <c r="B190" s="1132" t="s">
        <v>1000</v>
      </c>
      <c r="C190" s="1133">
        <v>4.499411308163265</v>
      </c>
      <c r="D190" s="1134">
        <v>0</v>
      </c>
      <c r="E190" s="1134">
        <v>0</v>
      </c>
      <c r="F190" s="1133">
        <v>4.7069248999999997</v>
      </c>
      <c r="G190" s="1133">
        <v>4.5698299999999996</v>
      </c>
      <c r="H190" s="1135">
        <f t="shared" si="31"/>
        <v>-0.20751359183673479</v>
      </c>
      <c r="J190" s="1136">
        <v>0.42497541664756594</v>
      </c>
      <c r="K190" s="1135">
        <f t="shared" si="32"/>
        <v>-0.63248900848430067</v>
      </c>
      <c r="M190" s="106">
        <f t="shared" ref="M190:M212" si="34">+IF(ISERROR(K190/(F190+J190)),0,K190/(F190+J190))</f>
        <v>-0.12324654990521652</v>
      </c>
      <c r="N190" s="1133">
        <v>8.4294647328487589</v>
      </c>
      <c r="O190" s="109">
        <f t="shared" si="26"/>
        <v>1.575452874349661E-3</v>
      </c>
      <c r="P190" s="1137">
        <f t="shared" si="33"/>
        <v>2.3930675531046281E-3</v>
      </c>
      <c r="Q190" s="1131"/>
    </row>
    <row r="191" spans="2:17">
      <c r="B191" s="1132" t="s">
        <v>1001</v>
      </c>
      <c r="C191" s="1133">
        <v>51.388205591898867</v>
      </c>
      <c r="D191" s="1134">
        <v>0</v>
      </c>
      <c r="E191" s="1134">
        <v>0</v>
      </c>
      <c r="F191" s="1133">
        <v>48.429378419999999</v>
      </c>
      <c r="G191" s="1133">
        <v>47.018813999999999</v>
      </c>
      <c r="H191" s="1135">
        <f t="shared" si="31"/>
        <v>2.9588271718988679</v>
      </c>
      <c r="J191" s="1136">
        <v>4.3725565436623262</v>
      </c>
      <c r="K191" s="1135">
        <f t="shared" si="32"/>
        <v>-1.4137293717634583</v>
      </c>
      <c r="M191" s="106">
        <f t="shared" si="34"/>
        <v>-2.6774196300502439E-2</v>
      </c>
      <c r="N191" s="1133">
        <v>119.58020785065303</v>
      </c>
      <c r="O191" s="109">
        <f t="shared" si="26"/>
        <v>2.2349341048844194E-2</v>
      </c>
      <c r="P191" s="1137">
        <f t="shared" si="33"/>
        <v>1.6021294707334835E-3</v>
      </c>
      <c r="Q191" s="1131"/>
    </row>
    <row r="192" spans="2:17">
      <c r="B192" s="1132" t="s">
        <v>1002</v>
      </c>
      <c r="C192" s="1133">
        <v>51.498873023013516</v>
      </c>
      <c r="D192" s="1134">
        <v>0</v>
      </c>
      <c r="E192" s="1134">
        <v>0</v>
      </c>
      <c r="F192" s="1133">
        <v>60.464996790000001</v>
      </c>
      <c r="G192" s="1133">
        <v>50.706792999999998</v>
      </c>
      <c r="H192" s="1135">
        <f t="shared" si="31"/>
        <v>-8.9661237669864846</v>
      </c>
      <c r="J192" s="1136">
        <v>4.8371997432000002</v>
      </c>
      <c r="K192" s="1135">
        <f t="shared" si="32"/>
        <v>-13.803323510186484</v>
      </c>
      <c r="M192" s="106">
        <f t="shared" si="34"/>
        <v>-0.21137609824761097</v>
      </c>
      <c r="N192" s="1133">
        <v>141.34059984897613</v>
      </c>
      <c r="O192" s="109">
        <f t="shared" si="26"/>
        <v>2.6416321955370584E-2</v>
      </c>
      <c r="P192" s="1137">
        <f t="shared" si="33"/>
        <v>0.11802774322319408</v>
      </c>
      <c r="Q192" s="1131"/>
    </row>
    <row r="193" spans="2:17">
      <c r="B193" s="1132" t="s">
        <v>1003</v>
      </c>
      <c r="C193" s="1133">
        <v>16.782399999999999</v>
      </c>
      <c r="D193" s="1134">
        <v>0</v>
      </c>
      <c r="E193" s="1134">
        <v>0</v>
      </c>
      <c r="F193" s="1133">
        <v>15.43110259</v>
      </c>
      <c r="G193" s="1133">
        <v>14.981653</v>
      </c>
      <c r="H193" s="1135">
        <f t="shared" si="31"/>
        <v>1.351297409999999</v>
      </c>
      <c r="J193" s="1136">
        <v>1.2344882072000001</v>
      </c>
      <c r="K193" s="1135">
        <f t="shared" si="32"/>
        <v>0.11680920279999896</v>
      </c>
      <c r="M193" s="106">
        <f t="shared" si="34"/>
        <v>7.0090046144433218E-3</v>
      </c>
      <c r="N193" s="1133">
        <v>32.089021329767704</v>
      </c>
      <c r="O193" s="109">
        <f t="shared" si="26"/>
        <v>0</v>
      </c>
      <c r="P193" s="1137">
        <f t="shared" si="33"/>
        <v>0</v>
      </c>
      <c r="Q193" s="1131"/>
    </row>
    <row r="194" spans="2:17">
      <c r="B194" s="1132" t="s">
        <v>1004</v>
      </c>
      <c r="C194" s="1133">
        <v>8.2576053138061205</v>
      </c>
      <c r="D194" s="1134">
        <v>0</v>
      </c>
      <c r="E194" s="1134">
        <v>0</v>
      </c>
      <c r="F194" s="1133">
        <v>14.69302622</v>
      </c>
      <c r="G194" s="1133">
        <v>14.265074</v>
      </c>
      <c r="H194" s="1135">
        <f t="shared" si="31"/>
        <v>-6.4354209061938796</v>
      </c>
      <c r="J194" s="1136">
        <v>1.1754420976</v>
      </c>
      <c r="K194" s="1135">
        <f t="shared" si="32"/>
        <v>-7.6108630037938791</v>
      </c>
      <c r="M194" s="106">
        <f t="shared" si="34"/>
        <v>-0.47962177895597752</v>
      </c>
      <c r="N194" s="1133">
        <v>30.960304454754311</v>
      </c>
      <c r="O194" s="109">
        <f t="shared" si="26"/>
        <v>5.7864291731248695E-3</v>
      </c>
      <c r="P194" s="1137">
        <f t="shared" si="33"/>
        <v>0.13310931019316641</v>
      </c>
      <c r="Q194" s="1131"/>
    </row>
    <row r="195" spans="2:17">
      <c r="B195" s="1132" t="s">
        <v>1005</v>
      </c>
      <c r="C195" s="1133">
        <v>9.0913109999999993</v>
      </c>
      <c r="D195" s="1134">
        <v>0</v>
      </c>
      <c r="E195" s="1134">
        <v>0</v>
      </c>
      <c r="F195" s="1133">
        <v>5.3076610700000009</v>
      </c>
      <c r="G195" s="1133">
        <v>5.1530690000000003</v>
      </c>
      <c r="H195" s="1135">
        <f t="shared" si="31"/>
        <v>3.7836499299999984</v>
      </c>
      <c r="J195" s="1136">
        <v>0.4246128856000001</v>
      </c>
      <c r="K195" s="1135">
        <f t="shared" si="32"/>
        <v>3.3590370443999982</v>
      </c>
      <c r="M195" s="106">
        <f t="shared" si="34"/>
        <v>0.58598683008136265</v>
      </c>
      <c r="N195" s="1133">
        <v>12.818806878062656</v>
      </c>
      <c r="O195" s="109">
        <f t="shared" si="26"/>
        <v>0</v>
      </c>
      <c r="P195" s="1137">
        <f t="shared" si="33"/>
        <v>0</v>
      </c>
      <c r="Q195" s="1131"/>
    </row>
    <row r="196" spans="2:17">
      <c r="B196" s="1132" t="s">
        <v>1006</v>
      </c>
      <c r="C196" s="1133">
        <v>4.2162318196999991</v>
      </c>
      <c r="D196" s="1134">
        <v>0</v>
      </c>
      <c r="E196" s="1134">
        <v>0</v>
      </c>
      <c r="F196" s="1133">
        <v>3.7946096100000002</v>
      </c>
      <c r="G196" s="1133">
        <v>3.6840869999999999</v>
      </c>
      <c r="H196" s="1135">
        <f t="shared" si="31"/>
        <v>0.42162220969999886</v>
      </c>
      <c r="J196" s="1136">
        <v>0.3035687688</v>
      </c>
      <c r="K196" s="1135">
        <f t="shared" si="32"/>
        <v>0.11805344089999886</v>
      </c>
      <c r="M196" s="106">
        <f t="shared" si="34"/>
        <v>2.8806320757215658E-2</v>
      </c>
      <c r="N196" s="1133">
        <v>4.853231370812936</v>
      </c>
      <c r="O196" s="109">
        <f t="shared" si="26"/>
        <v>0</v>
      </c>
      <c r="P196" s="1137">
        <f t="shared" si="33"/>
        <v>0</v>
      </c>
      <c r="Q196" s="1131"/>
    </row>
    <row r="197" spans="2:17">
      <c r="B197" s="1132" t="s">
        <v>1007</v>
      </c>
      <c r="C197" s="1133">
        <v>5.4320409999999999</v>
      </c>
      <c r="D197" s="1134">
        <v>0</v>
      </c>
      <c r="E197" s="1134">
        <v>0</v>
      </c>
      <c r="F197" s="1133">
        <v>5.3469926499999998</v>
      </c>
      <c r="G197" s="1133">
        <v>5.191255</v>
      </c>
      <c r="H197" s="1135">
        <f t="shared" si="31"/>
        <v>8.5048350000000106E-2</v>
      </c>
      <c r="J197" s="1136">
        <v>0.42775941200000001</v>
      </c>
      <c r="K197" s="1135">
        <f t="shared" si="32"/>
        <v>-0.3427110619999999</v>
      </c>
      <c r="M197" s="106">
        <f t="shared" si="34"/>
        <v>-5.9346454760398314E-2</v>
      </c>
      <c r="N197" s="1133">
        <v>12.458452009542109</v>
      </c>
      <c r="O197" s="109">
        <f t="shared" si="26"/>
        <v>2.3284638646026098E-3</v>
      </c>
      <c r="P197" s="1137">
        <f t="shared" si="33"/>
        <v>8.2008536723535347E-4</v>
      </c>
      <c r="Q197" s="1131"/>
    </row>
    <row r="198" spans="2:17">
      <c r="B198" s="1132" t="s">
        <v>1008</v>
      </c>
      <c r="C198" s="1133">
        <v>112.41948678064759</v>
      </c>
      <c r="D198" s="1134">
        <v>0</v>
      </c>
      <c r="E198" s="1134">
        <v>0</v>
      </c>
      <c r="F198" s="1133">
        <v>102.04025115</v>
      </c>
      <c r="G198" s="1133">
        <v>99.068205000000006</v>
      </c>
      <c r="H198" s="1135">
        <f t="shared" si="31"/>
        <v>10.379235630647585</v>
      </c>
      <c r="J198" s="1136">
        <v>8.1632200919999995</v>
      </c>
      <c r="K198" s="1135">
        <f t="shared" si="32"/>
        <v>2.2160155386475857</v>
      </c>
      <c r="M198" s="106">
        <f t="shared" si="34"/>
        <v>2.0108400521988572E-2</v>
      </c>
      <c r="N198" s="1133">
        <v>160.95081743237122</v>
      </c>
      <c r="O198" s="109">
        <f t="shared" si="26"/>
        <v>0</v>
      </c>
      <c r="P198" s="1137">
        <f t="shared" si="33"/>
        <v>0</v>
      </c>
      <c r="Q198" s="1131"/>
    </row>
    <row r="199" spans="2:17">
      <c r="B199" s="1132" t="s">
        <v>1009</v>
      </c>
      <c r="C199" s="1133">
        <v>57.595014600307479</v>
      </c>
      <c r="D199" s="1134">
        <v>0</v>
      </c>
      <c r="E199" s="1134">
        <v>0</v>
      </c>
      <c r="F199" s="1133">
        <v>68.64802195</v>
      </c>
      <c r="G199" s="1133">
        <v>66.648565000000005</v>
      </c>
      <c r="H199" s="1135">
        <f t="shared" si="31"/>
        <v>-11.053007349692521</v>
      </c>
      <c r="J199" s="1136">
        <v>5.4918417560000004</v>
      </c>
      <c r="K199" s="1135">
        <f t="shared" si="32"/>
        <v>-16.544849105692521</v>
      </c>
      <c r="M199" s="106">
        <f t="shared" si="34"/>
        <v>-0.22315726356472351</v>
      </c>
      <c r="N199" s="1133">
        <v>175.56084826144158</v>
      </c>
      <c r="O199" s="109">
        <f t="shared" si="26"/>
        <v>3.2812029207372848E-2</v>
      </c>
      <c r="P199" s="1137">
        <f t="shared" si="33"/>
        <v>0.16340116329137508</v>
      </c>
      <c r="Q199" s="1131"/>
    </row>
    <row r="200" spans="2:17">
      <c r="B200" s="1132" t="s">
        <v>1010</v>
      </c>
      <c r="C200" s="1133">
        <v>133.66792174685602</v>
      </c>
      <c r="D200" s="1134">
        <v>0</v>
      </c>
      <c r="E200" s="1134">
        <v>0</v>
      </c>
      <c r="F200" s="1133">
        <v>131.90580360999999</v>
      </c>
      <c r="G200" s="1133">
        <v>128.06388699999999</v>
      </c>
      <c r="H200" s="1135">
        <f t="shared" si="31"/>
        <v>1.7621181368560315</v>
      </c>
      <c r="J200" s="1136">
        <v>10.852722205358493</v>
      </c>
      <c r="K200" s="1135">
        <f t="shared" si="32"/>
        <v>-9.0906040685024614</v>
      </c>
      <c r="M200" s="106">
        <f t="shared" si="34"/>
        <v>-6.3678186760348712E-2</v>
      </c>
      <c r="N200" s="1133">
        <v>383.54787997240538</v>
      </c>
      <c r="O200" s="109">
        <f t="shared" si="26"/>
        <v>7.1684457922755088E-2</v>
      </c>
      <c r="P200" s="1137">
        <f t="shared" si="33"/>
        <v>2.9067413058618163E-2</v>
      </c>
      <c r="Q200" s="1131"/>
    </row>
    <row r="201" spans="2:17">
      <c r="B201" s="1132" t="s">
        <v>1011</v>
      </c>
      <c r="C201" s="1133">
        <v>13.607338500070714</v>
      </c>
      <c r="D201" s="1134">
        <v>0</v>
      </c>
      <c r="E201" s="1134">
        <v>0</v>
      </c>
      <c r="F201" s="1133">
        <v>10.83975193</v>
      </c>
      <c r="G201" s="1133">
        <v>10.524031000000001</v>
      </c>
      <c r="H201" s="1135">
        <f t="shared" si="31"/>
        <v>2.7675865700707138</v>
      </c>
      <c r="J201" s="1136">
        <v>0.89185474218489991</v>
      </c>
      <c r="K201" s="1135">
        <f t="shared" si="32"/>
        <v>1.8757318278858139</v>
      </c>
      <c r="M201" s="106">
        <f t="shared" si="34"/>
        <v>0.15988703681424027</v>
      </c>
      <c r="N201" s="1133">
        <v>17.985919201128109</v>
      </c>
      <c r="O201" s="109">
        <f t="shared" si="26"/>
        <v>0</v>
      </c>
      <c r="P201" s="1137">
        <f t="shared" si="33"/>
        <v>0</v>
      </c>
      <c r="Q201" s="1131"/>
    </row>
    <row r="202" spans="2:17">
      <c r="B202" s="1132"/>
      <c r="C202" s="1133"/>
      <c r="D202" s="1134"/>
      <c r="E202" s="1134"/>
      <c r="F202" s="1133"/>
      <c r="G202" s="1133"/>
      <c r="H202" s="1135">
        <f t="shared" si="31"/>
        <v>0</v>
      </c>
      <c r="J202" s="1136"/>
      <c r="K202" s="1135">
        <f t="shared" si="32"/>
        <v>0</v>
      </c>
      <c r="M202" s="106">
        <f t="shared" si="34"/>
        <v>0</v>
      </c>
      <c r="N202" s="1133"/>
      <c r="O202" s="109">
        <f t="shared" si="26"/>
        <v>0</v>
      </c>
      <c r="P202" s="1137">
        <f t="shared" si="33"/>
        <v>0</v>
      </c>
      <c r="Q202" s="1131"/>
    </row>
    <row r="203" spans="2:17">
      <c r="B203" s="1132"/>
      <c r="C203" s="1133"/>
      <c r="D203" s="1134"/>
      <c r="E203" s="1134"/>
      <c r="F203" s="1133"/>
      <c r="G203" s="1133"/>
      <c r="H203" s="1135">
        <f t="shared" si="31"/>
        <v>0</v>
      </c>
      <c r="J203" s="1136"/>
      <c r="K203" s="1135">
        <f t="shared" si="32"/>
        <v>0</v>
      </c>
      <c r="M203" s="106">
        <f t="shared" si="34"/>
        <v>0</v>
      </c>
      <c r="N203" s="1133"/>
      <c r="O203" s="109">
        <f t="shared" si="26"/>
        <v>0</v>
      </c>
      <c r="P203" s="1137">
        <f t="shared" si="33"/>
        <v>0</v>
      </c>
      <c r="Q203" s="1131"/>
    </row>
    <row r="204" spans="2:17">
      <c r="B204" s="1132"/>
      <c r="C204" s="1134"/>
      <c r="D204" s="1134"/>
      <c r="E204" s="1134"/>
      <c r="F204" s="1134"/>
      <c r="G204" s="1134"/>
      <c r="H204" s="1135">
        <f t="shared" si="31"/>
        <v>0</v>
      </c>
      <c r="J204" s="1144"/>
      <c r="K204" s="1135">
        <f t="shared" si="32"/>
        <v>0</v>
      </c>
      <c r="M204" s="106">
        <f t="shared" si="34"/>
        <v>0</v>
      </c>
      <c r="N204" s="1133"/>
      <c r="O204" s="109">
        <f t="shared" si="26"/>
        <v>0</v>
      </c>
      <c r="P204" s="1137">
        <f t="shared" si="33"/>
        <v>0</v>
      </c>
      <c r="Q204" s="1131"/>
    </row>
    <row r="205" spans="2:17">
      <c r="B205" s="1132"/>
      <c r="C205" s="1134"/>
      <c r="D205" s="1134"/>
      <c r="E205" s="1134"/>
      <c r="F205" s="1134"/>
      <c r="G205" s="1134"/>
      <c r="H205" s="1135">
        <f t="shared" si="31"/>
        <v>0</v>
      </c>
      <c r="J205" s="1144"/>
      <c r="K205" s="1135">
        <f t="shared" si="32"/>
        <v>0</v>
      </c>
      <c r="M205" s="106">
        <f t="shared" si="34"/>
        <v>0</v>
      </c>
      <c r="N205" s="1133"/>
      <c r="O205" s="109">
        <f t="shared" si="26"/>
        <v>0</v>
      </c>
      <c r="P205" s="1137">
        <f t="shared" si="33"/>
        <v>0</v>
      </c>
      <c r="Q205" s="1131"/>
    </row>
    <row r="206" spans="2:17">
      <c r="B206" s="1132"/>
      <c r="C206" s="1134"/>
      <c r="D206" s="1134"/>
      <c r="E206" s="1134"/>
      <c r="F206" s="1134"/>
      <c r="G206" s="1134"/>
      <c r="H206" s="1135">
        <f t="shared" si="31"/>
        <v>0</v>
      </c>
      <c r="J206" s="1144"/>
      <c r="K206" s="1135">
        <f t="shared" si="32"/>
        <v>0</v>
      </c>
      <c r="M206" s="106">
        <f t="shared" si="34"/>
        <v>0</v>
      </c>
      <c r="N206" s="1133"/>
      <c r="O206" s="109">
        <f t="shared" ref="O206:O262" si="35">IF(K206&lt;0,N206/$N$263,0)</f>
        <v>0</v>
      </c>
      <c r="P206" s="1137">
        <f t="shared" si="33"/>
        <v>0</v>
      </c>
      <c r="Q206" s="1131"/>
    </row>
    <row r="207" spans="2:17">
      <c r="B207" s="1132"/>
      <c r="C207" s="1134"/>
      <c r="D207" s="1134"/>
      <c r="E207" s="1134"/>
      <c r="F207" s="1134"/>
      <c r="G207" s="1134"/>
      <c r="H207" s="1135">
        <f t="shared" si="31"/>
        <v>0</v>
      </c>
      <c r="J207" s="1144"/>
      <c r="K207" s="1135">
        <f t="shared" si="32"/>
        <v>0</v>
      </c>
      <c r="M207" s="106">
        <f t="shared" si="34"/>
        <v>0</v>
      </c>
      <c r="N207" s="1133"/>
      <c r="O207" s="109">
        <f t="shared" si="35"/>
        <v>0</v>
      </c>
      <c r="P207" s="1137">
        <f t="shared" si="33"/>
        <v>0</v>
      </c>
      <c r="Q207" s="1131"/>
    </row>
    <row r="208" spans="2:17">
      <c r="B208" s="1132"/>
      <c r="C208" s="1134"/>
      <c r="D208" s="1134"/>
      <c r="E208" s="1134"/>
      <c r="F208" s="1134"/>
      <c r="G208" s="1134"/>
      <c r="H208" s="1135">
        <f t="shared" si="31"/>
        <v>0</v>
      </c>
      <c r="J208" s="1144"/>
      <c r="K208" s="1135">
        <f t="shared" si="32"/>
        <v>0</v>
      </c>
      <c r="M208" s="106">
        <f t="shared" si="34"/>
        <v>0</v>
      </c>
      <c r="N208" s="1133"/>
      <c r="O208" s="109">
        <f t="shared" si="35"/>
        <v>0</v>
      </c>
      <c r="P208" s="1137">
        <f t="shared" si="33"/>
        <v>0</v>
      </c>
      <c r="Q208" s="1131"/>
    </row>
    <row r="209" spans="2:17">
      <c r="B209" s="1132"/>
      <c r="C209" s="1134"/>
      <c r="D209" s="1134"/>
      <c r="E209" s="1134"/>
      <c r="F209" s="1134"/>
      <c r="G209" s="1134"/>
      <c r="H209" s="1135">
        <f t="shared" si="31"/>
        <v>0</v>
      </c>
      <c r="J209" s="1144"/>
      <c r="K209" s="1135">
        <f t="shared" si="32"/>
        <v>0</v>
      </c>
      <c r="M209" s="106">
        <f t="shared" si="34"/>
        <v>0</v>
      </c>
      <c r="N209" s="1133"/>
      <c r="O209" s="109">
        <f t="shared" si="35"/>
        <v>0</v>
      </c>
      <c r="P209" s="1137">
        <f t="shared" si="33"/>
        <v>0</v>
      </c>
      <c r="Q209" s="1131"/>
    </row>
    <row r="210" spans="2:17">
      <c r="B210" s="1132"/>
      <c r="C210" s="1134"/>
      <c r="D210" s="1134"/>
      <c r="E210" s="1134"/>
      <c r="F210" s="1134"/>
      <c r="G210" s="1134"/>
      <c r="H210" s="1135">
        <f t="shared" si="31"/>
        <v>0</v>
      </c>
      <c r="J210" s="1144"/>
      <c r="K210" s="1135">
        <f t="shared" si="32"/>
        <v>0</v>
      </c>
      <c r="M210" s="106">
        <f t="shared" si="34"/>
        <v>0</v>
      </c>
      <c r="N210" s="1133"/>
      <c r="O210" s="109">
        <f t="shared" si="35"/>
        <v>0</v>
      </c>
      <c r="P210" s="1137">
        <f t="shared" si="33"/>
        <v>0</v>
      </c>
      <c r="Q210" s="1131"/>
    </row>
    <row r="211" spans="2:17">
      <c r="B211" s="1132"/>
      <c r="C211" s="1134"/>
      <c r="D211" s="1134"/>
      <c r="E211" s="1134"/>
      <c r="F211" s="1134"/>
      <c r="G211" s="1134"/>
      <c r="H211" s="1135">
        <f t="shared" si="31"/>
        <v>0</v>
      </c>
      <c r="J211" s="1144"/>
      <c r="K211" s="1135">
        <f t="shared" si="32"/>
        <v>0</v>
      </c>
      <c r="M211" s="106">
        <f t="shared" si="34"/>
        <v>0</v>
      </c>
      <c r="N211" s="1133"/>
      <c r="O211" s="109">
        <f t="shared" si="35"/>
        <v>0</v>
      </c>
      <c r="P211" s="1137">
        <f t="shared" si="33"/>
        <v>0</v>
      </c>
      <c r="Q211" s="1131"/>
    </row>
    <row r="212" spans="2:17">
      <c r="B212" s="1132"/>
      <c r="C212" s="1134"/>
      <c r="D212" s="1134"/>
      <c r="E212" s="1134"/>
      <c r="F212" s="1134"/>
      <c r="G212" s="1134"/>
      <c r="H212" s="1135">
        <f t="shared" si="31"/>
        <v>0</v>
      </c>
      <c r="J212" s="1144"/>
      <c r="K212" s="1135">
        <f t="shared" si="32"/>
        <v>0</v>
      </c>
      <c r="M212" s="106">
        <f t="shared" si="34"/>
        <v>0</v>
      </c>
      <c r="N212" s="1133"/>
      <c r="O212" s="109">
        <f t="shared" si="35"/>
        <v>0</v>
      </c>
      <c r="P212" s="1137">
        <f t="shared" si="33"/>
        <v>0</v>
      </c>
      <c r="Q212" s="1131"/>
    </row>
    <row r="213" spans="2:17">
      <c r="B213" s="1132"/>
      <c r="C213" s="1134"/>
      <c r="D213" s="1134"/>
      <c r="E213" s="1134"/>
      <c r="F213" s="1134"/>
      <c r="G213" s="1134"/>
      <c r="H213" s="1135">
        <f>+C213+D213-E213-F213</f>
        <v>0</v>
      </c>
      <c r="J213" s="1144"/>
      <c r="K213" s="1135">
        <f>+H213-J213</f>
        <v>0</v>
      </c>
      <c r="M213" s="106">
        <f>+IF(ISERROR(K213/(F213+J213)),0,K213/(F213+J213))</f>
        <v>0</v>
      </c>
      <c r="N213" s="1133"/>
      <c r="O213" s="109">
        <f t="shared" si="35"/>
        <v>0</v>
      </c>
      <c r="P213" s="1137">
        <f>(M213^2*O213)*100</f>
        <v>0</v>
      </c>
      <c r="Q213" s="1131"/>
    </row>
    <row r="214" spans="2:17">
      <c r="B214" s="1132"/>
      <c r="C214" s="1134"/>
      <c r="D214" s="1134"/>
      <c r="E214" s="1134"/>
      <c r="F214" s="1134"/>
      <c r="G214" s="1134"/>
      <c r="H214" s="1135">
        <f t="shared" ref="H214:H237" si="36">+C214+D214-E214-F214</f>
        <v>0</v>
      </c>
      <c r="J214" s="1144"/>
      <c r="K214" s="1135">
        <f t="shared" ref="K214:K237" si="37">+H214-J214</f>
        <v>0</v>
      </c>
      <c r="M214" s="106">
        <f>+IF(ISERROR(K214/(F214+J214)),0,K214/(F214+J214))</f>
        <v>0</v>
      </c>
      <c r="N214" s="1133"/>
      <c r="O214" s="109">
        <f t="shared" si="35"/>
        <v>0</v>
      </c>
      <c r="P214" s="1137">
        <f t="shared" ref="P214:P237" si="38">(M214^2*O214)*100</f>
        <v>0</v>
      </c>
      <c r="Q214" s="1131"/>
    </row>
    <row r="215" spans="2:17">
      <c r="B215" s="1132"/>
      <c r="C215" s="1134"/>
      <c r="D215" s="1134"/>
      <c r="E215" s="1134"/>
      <c r="F215" s="1134"/>
      <c r="G215" s="1134"/>
      <c r="H215" s="1135">
        <f t="shared" si="36"/>
        <v>0</v>
      </c>
      <c r="J215" s="1144"/>
      <c r="K215" s="1135">
        <f t="shared" si="37"/>
        <v>0</v>
      </c>
      <c r="M215" s="106">
        <f t="shared" ref="M215:M237" si="39">+IF(ISERROR(K215/(F215+J215)),0,K215/(F215+J215))</f>
        <v>0</v>
      </c>
      <c r="N215" s="1133"/>
      <c r="O215" s="109">
        <f t="shared" si="35"/>
        <v>0</v>
      </c>
      <c r="P215" s="1137">
        <f t="shared" si="38"/>
        <v>0</v>
      </c>
      <c r="Q215" s="1131"/>
    </row>
    <row r="216" spans="2:17">
      <c r="B216" s="1132"/>
      <c r="C216" s="1134"/>
      <c r="D216" s="1134"/>
      <c r="E216" s="1134"/>
      <c r="F216" s="1134"/>
      <c r="G216" s="1134"/>
      <c r="H216" s="1135">
        <f t="shared" si="36"/>
        <v>0</v>
      </c>
      <c r="J216" s="1144"/>
      <c r="K216" s="1135">
        <f t="shared" si="37"/>
        <v>0</v>
      </c>
      <c r="M216" s="106">
        <f t="shared" si="39"/>
        <v>0</v>
      </c>
      <c r="N216" s="1133"/>
      <c r="O216" s="109">
        <f t="shared" si="35"/>
        <v>0</v>
      </c>
      <c r="P216" s="1137">
        <f t="shared" si="38"/>
        <v>0</v>
      </c>
      <c r="Q216" s="1131"/>
    </row>
    <row r="217" spans="2:17">
      <c r="B217" s="1132"/>
      <c r="C217" s="1134"/>
      <c r="D217" s="1134"/>
      <c r="E217" s="1134"/>
      <c r="F217" s="1134"/>
      <c r="G217" s="1134"/>
      <c r="H217" s="1135">
        <f t="shared" si="36"/>
        <v>0</v>
      </c>
      <c r="J217" s="1144"/>
      <c r="K217" s="1135">
        <f t="shared" si="37"/>
        <v>0</v>
      </c>
      <c r="M217" s="106">
        <f t="shared" si="39"/>
        <v>0</v>
      </c>
      <c r="N217" s="1133"/>
      <c r="O217" s="109">
        <f t="shared" si="35"/>
        <v>0</v>
      </c>
      <c r="P217" s="1137">
        <f t="shared" si="38"/>
        <v>0</v>
      </c>
      <c r="Q217" s="1131"/>
    </row>
    <row r="218" spans="2:17">
      <c r="B218" s="1132"/>
      <c r="C218" s="1134"/>
      <c r="D218" s="1134"/>
      <c r="E218" s="1134"/>
      <c r="F218" s="1134"/>
      <c r="G218" s="1134"/>
      <c r="H218" s="1135">
        <f t="shared" si="36"/>
        <v>0</v>
      </c>
      <c r="J218" s="1144"/>
      <c r="K218" s="1135">
        <f t="shared" si="37"/>
        <v>0</v>
      </c>
      <c r="M218" s="106">
        <f t="shared" si="39"/>
        <v>0</v>
      </c>
      <c r="N218" s="1133"/>
      <c r="O218" s="109">
        <f t="shared" si="35"/>
        <v>0</v>
      </c>
      <c r="P218" s="1137">
        <f t="shared" si="38"/>
        <v>0</v>
      </c>
      <c r="Q218" s="1131"/>
    </row>
    <row r="219" spans="2:17">
      <c r="B219" s="1132"/>
      <c r="C219" s="1134"/>
      <c r="D219" s="1134"/>
      <c r="E219" s="1134"/>
      <c r="F219" s="1134"/>
      <c r="G219" s="1134"/>
      <c r="H219" s="1135">
        <f t="shared" si="36"/>
        <v>0</v>
      </c>
      <c r="J219" s="1144"/>
      <c r="K219" s="1135">
        <f t="shared" si="37"/>
        <v>0</v>
      </c>
      <c r="M219" s="106">
        <f t="shared" si="39"/>
        <v>0</v>
      </c>
      <c r="N219" s="1133"/>
      <c r="O219" s="109">
        <f t="shared" si="35"/>
        <v>0</v>
      </c>
      <c r="P219" s="1137">
        <f t="shared" si="38"/>
        <v>0</v>
      </c>
      <c r="Q219" s="1131"/>
    </row>
    <row r="220" spans="2:17">
      <c r="B220" s="1132"/>
      <c r="C220" s="1134"/>
      <c r="D220" s="1134"/>
      <c r="E220" s="1134"/>
      <c r="F220" s="1134"/>
      <c r="G220" s="1134"/>
      <c r="H220" s="1135">
        <f t="shared" si="36"/>
        <v>0</v>
      </c>
      <c r="J220" s="1144"/>
      <c r="K220" s="1135">
        <f t="shared" si="37"/>
        <v>0</v>
      </c>
      <c r="M220" s="106">
        <f t="shared" si="39"/>
        <v>0</v>
      </c>
      <c r="N220" s="1133"/>
      <c r="O220" s="109">
        <f t="shared" si="35"/>
        <v>0</v>
      </c>
      <c r="P220" s="1137">
        <f t="shared" si="38"/>
        <v>0</v>
      </c>
      <c r="Q220" s="1131"/>
    </row>
    <row r="221" spans="2:17">
      <c r="B221" s="1132"/>
      <c r="C221" s="1134"/>
      <c r="D221" s="1134"/>
      <c r="E221" s="1134"/>
      <c r="F221" s="1134"/>
      <c r="G221" s="1134"/>
      <c r="H221" s="1135">
        <f t="shared" si="36"/>
        <v>0</v>
      </c>
      <c r="J221" s="1144"/>
      <c r="K221" s="1135">
        <f t="shared" si="37"/>
        <v>0</v>
      </c>
      <c r="M221" s="106">
        <f t="shared" si="39"/>
        <v>0</v>
      </c>
      <c r="N221" s="1133"/>
      <c r="O221" s="109">
        <f t="shared" si="35"/>
        <v>0</v>
      </c>
      <c r="P221" s="1137">
        <f t="shared" si="38"/>
        <v>0</v>
      </c>
      <c r="Q221" s="1131"/>
    </row>
    <row r="222" spans="2:17">
      <c r="B222" s="1132"/>
      <c r="C222" s="1134"/>
      <c r="D222" s="1134"/>
      <c r="E222" s="1134"/>
      <c r="F222" s="1134"/>
      <c r="G222" s="1134"/>
      <c r="H222" s="1135">
        <f t="shared" si="36"/>
        <v>0</v>
      </c>
      <c r="J222" s="1144"/>
      <c r="K222" s="1135">
        <f t="shared" si="37"/>
        <v>0</v>
      </c>
      <c r="M222" s="106">
        <f t="shared" si="39"/>
        <v>0</v>
      </c>
      <c r="N222" s="1133"/>
      <c r="O222" s="109">
        <f t="shared" si="35"/>
        <v>0</v>
      </c>
      <c r="P222" s="1137">
        <f t="shared" si="38"/>
        <v>0</v>
      </c>
      <c r="Q222" s="1131"/>
    </row>
    <row r="223" spans="2:17">
      <c r="B223" s="1132"/>
      <c r="C223" s="1134"/>
      <c r="D223" s="1134"/>
      <c r="E223" s="1134"/>
      <c r="F223" s="1134"/>
      <c r="G223" s="1134"/>
      <c r="H223" s="1135">
        <f t="shared" si="36"/>
        <v>0</v>
      </c>
      <c r="J223" s="1144"/>
      <c r="K223" s="1135">
        <f t="shared" si="37"/>
        <v>0</v>
      </c>
      <c r="M223" s="106">
        <f t="shared" si="39"/>
        <v>0</v>
      </c>
      <c r="N223" s="1133"/>
      <c r="O223" s="109">
        <f t="shared" si="35"/>
        <v>0</v>
      </c>
      <c r="P223" s="1137">
        <f t="shared" si="38"/>
        <v>0</v>
      </c>
      <c r="Q223" s="1131"/>
    </row>
    <row r="224" spans="2:17">
      <c r="B224" s="1132"/>
      <c r="C224" s="1134"/>
      <c r="D224" s="1134"/>
      <c r="E224" s="1134"/>
      <c r="F224" s="1134"/>
      <c r="G224" s="1134"/>
      <c r="H224" s="1135">
        <f t="shared" si="36"/>
        <v>0</v>
      </c>
      <c r="J224" s="1144"/>
      <c r="K224" s="1135">
        <f t="shared" si="37"/>
        <v>0</v>
      </c>
      <c r="M224" s="106">
        <f t="shared" si="39"/>
        <v>0</v>
      </c>
      <c r="N224" s="1133"/>
      <c r="O224" s="109">
        <f t="shared" si="35"/>
        <v>0</v>
      </c>
      <c r="P224" s="1137">
        <f t="shared" si="38"/>
        <v>0</v>
      </c>
      <c r="Q224" s="1131"/>
    </row>
    <row r="225" spans="2:17">
      <c r="B225" s="1132"/>
      <c r="C225" s="1134"/>
      <c r="D225" s="1134"/>
      <c r="E225" s="1134"/>
      <c r="F225" s="1134"/>
      <c r="G225" s="1134"/>
      <c r="H225" s="1135">
        <f t="shared" si="36"/>
        <v>0</v>
      </c>
      <c r="J225" s="1144"/>
      <c r="K225" s="1135">
        <f t="shared" si="37"/>
        <v>0</v>
      </c>
      <c r="M225" s="106">
        <f t="shared" si="39"/>
        <v>0</v>
      </c>
      <c r="N225" s="1133"/>
      <c r="O225" s="109">
        <f t="shared" si="35"/>
        <v>0</v>
      </c>
      <c r="P225" s="1137">
        <f t="shared" si="38"/>
        <v>0</v>
      </c>
      <c r="Q225" s="1131"/>
    </row>
    <row r="226" spans="2:17">
      <c r="B226" s="1132"/>
      <c r="C226" s="1134"/>
      <c r="D226" s="1134"/>
      <c r="E226" s="1134"/>
      <c r="F226" s="1134"/>
      <c r="G226" s="1134"/>
      <c r="H226" s="1135">
        <f t="shared" si="36"/>
        <v>0</v>
      </c>
      <c r="J226" s="1144"/>
      <c r="K226" s="1135">
        <f t="shared" si="37"/>
        <v>0</v>
      </c>
      <c r="M226" s="106">
        <f t="shared" si="39"/>
        <v>0</v>
      </c>
      <c r="N226" s="1133"/>
      <c r="O226" s="109">
        <f t="shared" si="35"/>
        <v>0</v>
      </c>
      <c r="P226" s="1137">
        <f t="shared" si="38"/>
        <v>0</v>
      </c>
      <c r="Q226" s="1131"/>
    </row>
    <row r="227" spans="2:17">
      <c r="B227" s="1132"/>
      <c r="C227" s="1134"/>
      <c r="D227" s="1134"/>
      <c r="E227" s="1134"/>
      <c r="F227" s="1134"/>
      <c r="G227" s="1134"/>
      <c r="H227" s="1135">
        <f t="shared" si="36"/>
        <v>0</v>
      </c>
      <c r="J227" s="1144"/>
      <c r="K227" s="1135">
        <f t="shared" si="37"/>
        <v>0</v>
      </c>
      <c r="M227" s="106">
        <f t="shared" si="39"/>
        <v>0</v>
      </c>
      <c r="N227" s="1133"/>
      <c r="O227" s="109">
        <f t="shared" si="35"/>
        <v>0</v>
      </c>
      <c r="P227" s="1137">
        <f t="shared" si="38"/>
        <v>0</v>
      </c>
      <c r="Q227" s="1131"/>
    </row>
    <row r="228" spans="2:17">
      <c r="B228" s="1132"/>
      <c r="C228" s="1134"/>
      <c r="D228" s="1134"/>
      <c r="E228" s="1134"/>
      <c r="F228" s="1134"/>
      <c r="G228" s="1134"/>
      <c r="H228" s="1135">
        <f t="shared" si="36"/>
        <v>0</v>
      </c>
      <c r="J228" s="1144"/>
      <c r="K228" s="1135">
        <f t="shared" si="37"/>
        <v>0</v>
      </c>
      <c r="M228" s="106">
        <f t="shared" si="39"/>
        <v>0</v>
      </c>
      <c r="N228" s="1133"/>
      <c r="O228" s="109">
        <f t="shared" si="35"/>
        <v>0</v>
      </c>
      <c r="P228" s="1137">
        <f t="shared" si="38"/>
        <v>0</v>
      </c>
      <c r="Q228" s="1131"/>
    </row>
    <row r="229" spans="2:17">
      <c r="B229" s="1132"/>
      <c r="C229" s="1134"/>
      <c r="D229" s="1134"/>
      <c r="E229" s="1134"/>
      <c r="F229" s="1134"/>
      <c r="G229" s="1134"/>
      <c r="H229" s="1135">
        <f t="shared" si="36"/>
        <v>0</v>
      </c>
      <c r="J229" s="1144"/>
      <c r="K229" s="1135">
        <f t="shared" si="37"/>
        <v>0</v>
      </c>
      <c r="M229" s="106">
        <f t="shared" si="39"/>
        <v>0</v>
      </c>
      <c r="N229" s="1133"/>
      <c r="O229" s="109">
        <f t="shared" si="35"/>
        <v>0</v>
      </c>
      <c r="P229" s="1137">
        <f t="shared" si="38"/>
        <v>0</v>
      </c>
      <c r="Q229" s="1131"/>
    </row>
    <row r="230" spans="2:17">
      <c r="B230" s="1132"/>
      <c r="C230" s="1134"/>
      <c r="D230" s="1134"/>
      <c r="E230" s="1134"/>
      <c r="F230" s="1134"/>
      <c r="G230" s="1134"/>
      <c r="H230" s="1135">
        <f t="shared" si="36"/>
        <v>0</v>
      </c>
      <c r="J230" s="1144"/>
      <c r="K230" s="1135">
        <f t="shared" si="37"/>
        <v>0</v>
      </c>
      <c r="M230" s="106">
        <f t="shared" si="39"/>
        <v>0</v>
      </c>
      <c r="N230" s="1133"/>
      <c r="O230" s="109">
        <f t="shared" si="35"/>
        <v>0</v>
      </c>
      <c r="P230" s="1137">
        <f t="shared" si="38"/>
        <v>0</v>
      </c>
      <c r="Q230" s="1131"/>
    </row>
    <row r="231" spans="2:17">
      <c r="B231" s="1132"/>
      <c r="C231" s="1134"/>
      <c r="D231" s="1134"/>
      <c r="E231" s="1134"/>
      <c r="F231" s="1134"/>
      <c r="G231" s="1134"/>
      <c r="H231" s="1135">
        <f t="shared" si="36"/>
        <v>0</v>
      </c>
      <c r="J231" s="1144"/>
      <c r="K231" s="1135">
        <f t="shared" si="37"/>
        <v>0</v>
      </c>
      <c r="M231" s="106">
        <f t="shared" si="39"/>
        <v>0</v>
      </c>
      <c r="N231" s="1133"/>
      <c r="O231" s="109">
        <f t="shared" si="35"/>
        <v>0</v>
      </c>
      <c r="P231" s="1137">
        <f t="shared" si="38"/>
        <v>0</v>
      </c>
      <c r="Q231" s="1131"/>
    </row>
    <row r="232" spans="2:17">
      <c r="B232" s="1132"/>
      <c r="C232" s="1134"/>
      <c r="D232" s="1134"/>
      <c r="E232" s="1134"/>
      <c r="F232" s="1134"/>
      <c r="G232" s="1134"/>
      <c r="H232" s="1135">
        <f t="shared" si="36"/>
        <v>0</v>
      </c>
      <c r="J232" s="1144"/>
      <c r="K232" s="1135">
        <f t="shared" si="37"/>
        <v>0</v>
      </c>
      <c r="M232" s="106">
        <f t="shared" si="39"/>
        <v>0</v>
      </c>
      <c r="N232" s="1133"/>
      <c r="O232" s="109">
        <f t="shared" si="35"/>
        <v>0</v>
      </c>
      <c r="P232" s="1137">
        <f t="shared" si="38"/>
        <v>0</v>
      </c>
      <c r="Q232" s="1131"/>
    </row>
    <row r="233" spans="2:17">
      <c r="B233" s="1132"/>
      <c r="C233" s="1134"/>
      <c r="D233" s="1134"/>
      <c r="E233" s="1134"/>
      <c r="F233" s="1134"/>
      <c r="G233" s="1134"/>
      <c r="H233" s="1135">
        <f t="shared" si="36"/>
        <v>0</v>
      </c>
      <c r="J233" s="1144"/>
      <c r="K233" s="1135">
        <f t="shared" si="37"/>
        <v>0</v>
      </c>
      <c r="M233" s="106">
        <f t="shared" si="39"/>
        <v>0</v>
      </c>
      <c r="N233" s="1133"/>
      <c r="O233" s="109">
        <f t="shared" si="35"/>
        <v>0</v>
      </c>
      <c r="P233" s="1137">
        <f t="shared" si="38"/>
        <v>0</v>
      </c>
      <c r="Q233" s="1131"/>
    </row>
    <row r="234" spans="2:17">
      <c r="B234" s="1132"/>
      <c r="C234" s="1134"/>
      <c r="D234" s="1134"/>
      <c r="E234" s="1134"/>
      <c r="F234" s="1134"/>
      <c r="G234" s="1134"/>
      <c r="H234" s="1135">
        <f t="shared" si="36"/>
        <v>0</v>
      </c>
      <c r="J234" s="1144"/>
      <c r="K234" s="1135">
        <f t="shared" si="37"/>
        <v>0</v>
      </c>
      <c r="M234" s="106">
        <f t="shared" si="39"/>
        <v>0</v>
      </c>
      <c r="N234" s="1133"/>
      <c r="O234" s="109">
        <f t="shared" si="35"/>
        <v>0</v>
      </c>
      <c r="P234" s="1137">
        <f t="shared" si="38"/>
        <v>0</v>
      </c>
      <c r="Q234" s="1131"/>
    </row>
    <row r="235" spans="2:17">
      <c r="B235" s="1132"/>
      <c r="C235" s="1134"/>
      <c r="D235" s="1134"/>
      <c r="E235" s="1134"/>
      <c r="F235" s="1134"/>
      <c r="G235" s="1134"/>
      <c r="H235" s="1135">
        <f t="shared" si="36"/>
        <v>0</v>
      </c>
      <c r="J235" s="1144"/>
      <c r="K235" s="1135">
        <f t="shared" si="37"/>
        <v>0</v>
      </c>
      <c r="M235" s="106">
        <f t="shared" si="39"/>
        <v>0</v>
      </c>
      <c r="N235" s="1133"/>
      <c r="O235" s="109">
        <f t="shared" si="35"/>
        <v>0</v>
      </c>
      <c r="P235" s="1137">
        <f t="shared" si="38"/>
        <v>0</v>
      </c>
      <c r="Q235" s="1131"/>
    </row>
    <row r="236" spans="2:17">
      <c r="B236" s="1132"/>
      <c r="C236" s="1134"/>
      <c r="D236" s="1134"/>
      <c r="E236" s="1134"/>
      <c r="F236" s="1134"/>
      <c r="G236" s="1134"/>
      <c r="H236" s="1135">
        <f t="shared" si="36"/>
        <v>0</v>
      </c>
      <c r="J236" s="1144"/>
      <c r="K236" s="1135">
        <f t="shared" si="37"/>
        <v>0</v>
      </c>
      <c r="M236" s="106">
        <f t="shared" si="39"/>
        <v>0</v>
      </c>
      <c r="N236" s="1133"/>
      <c r="O236" s="109">
        <f t="shared" si="35"/>
        <v>0</v>
      </c>
      <c r="P236" s="1137">
        <f t="shared" si="38"/>
        <v>0</v>
      </c>
      <c r="Q236" s="1131"/>
    </row>
    <row r="237" spans="2:17">
      <c r="B237" s="1132"/>
      <c r="C237" s="1134"/>
      <c r="D237" s="1134"/>
      <c r="E237" s="1134"/>
      <c r="F237" s="1134"/>
      <c r="G237" s="1134"/>
      <c r="H237" s="1135">
        <f t="shared" si="36"/>
        <v>0</v>
      </c>
      <c r="J237" s="1144"/>
      <c r="K237" s="1135">
        <f t="shared" si="37"/>
        <v>0</v>
      </c>
      <c r="M237" s="106">
        <f t="shared" si="39"/>
        <v>0</v>
      </c>
      <c r="N237" s="1133"/>
      <c r="O237" s="109">
        <f t="shared" si="35"/>
        <v>0</v>
      </c>
      <c r="P237" s="1137">
        <f t="shared" si="38"/>
        <v>0</v>
      </c>
      <c r="Q237" s="1131"/>
    </row>
    <row r="238" spans="2:17">
      <c r="B238" s="1132"/>
      <c r="C238" s="1134"/>
      <c r="D238" s="1134"/>
      <c r="E238" s="1134"/>
      <c r="F238" s="1134"/>
      <c r="G238" s="1134"/>
      <c r="H238" s="1135">
        <f>+C238+D238-E238-F238</f>
        <v>0</v>
      </c>
      <c r="J238" s="1144"/>
      <c r="K238" s="1135">
        <f>+H238-J238</f>
        <v>0</v>
      </c>
      <c r="M238" s="106">
        <f>+IF(ISERROR(K238/(F238+J238)),0,K238/(F238+J238))</f>
        <v>0</v>
      </c>
      <c r="N238" s="1133"/>
      <c r="O238" s="109">
        <f t="shared" si="35"/>
        <v>0</v>
      </c>
      <c r="P238" s="1137">
        <f>(M238^2*O238)*100</f>
        <v>0</v>
      </c>
      <c r="Q238" s="1131"/>
    </row>
    <row r="239" spans="2:17">
      <c r="B239" s="1132"/>
      <c r="C239" s="1134"/>
      <c r="D239" s="1134"/>
      <c r="E239" s="1134"/>
      <c r="F239" s="1134"/>
      <c r="G239" s="1134"/>
      <c r="H239" s="1135">
        <f t="shared" ref="H239:H262" si="40">+C239+D239-E239-F239</f>
        <v>0</v>
      </c>
      <c r="J239" s="1144"/>
      <c r="K239" s="1135">
        <f t="shared" ref="K239:K262" si="41">+H239-J239</f>
        <v>0</v>
      </c>
      <c r="M239" s="106">
        <f>+IF(ISERROR(K239/(F239+J239)),0,K239/(F239+J239))</f>
        <v>0</v>
      </c>
      <c r="N239" s="1133"/>
      <c r="O239" s="109">
        <f t="shared" si="35"/>
        <v>0</v>
      </c>
      <c r="P239" s="1137">
        <f t="shared" ref="P239:P261" si="42">(M239^2*O239)*100</f>
        <v>0</v>
      </c>
      <c r="Q239" s="1131"/>
    </row>
    <row r="240" spans="2:17">
      <c r="B240" s="1132"/>
      <c r="C240" s="1134"/>
      <c r="D240" s="1134"/>
      <c r="E240" s="1134"/>
      <c r="F240" s="1134"/>
      <c r="G240" s="1134"/>
      <c r="H240" s="1135">
        <f t="shared" si="40"/>
        <v>0</v>
      </c>
      <c r="J240" s="1144"/>
      <c r="K240" s="1135">
        <f t="shared" si="41"/>
        <v>0</v>
      </c>
      <c r="M240" s="106">
        <f t="shared" ref="M240:M262" si="43">+IF(ISERROR(K240/(F240+J240)),0,K240/(F240+J240))</f>
        <v>0</v>
      </c>
      <c r="N240" s="1133"/>
      <c r="O240" s="109">
        <f t="shared" si="35"/>
        <v>0</v>
      </c>
      <c r="P240" s="1137">
        <f t="shared" si="42"/>
        <v>0</v>
      </c>
      <c r="Q240" s="1131"/>
    </row>
    <row r="241" spans="2:17">
      <c r="B241" s="1132"/>
      <c r="C241" s="1134"/>
      <c r="D241" s="1134"/>
      <c r="E241" s="1134"/>
      <c r="F241" s="1134"/>
      <c r="G241" s="1134"/>
      <c r="H241" s="1135">
        <f t="shared" si="40"/>
        <v>0</v>
      </c>
      <c r="J241" s="1144"/>
      <c r="K241" s="1135">
        <f t="shared" si="41"/>
        <v>0</v>
      </c>
      <c r="M241" s="106">
        <f t="shared" si="43"/>
        <v>0</v>
      </c>
      <c r="N241" s="1133"/>
      <c r="O241" s="109">
        <f t="shared" si="35"/>
        <v>0</v>
      </c>
      <c r="P241" s="1137">
        <f t="shared" si="42"/>
        <v>0</v>
      </c>
      <c r="Q241" s="1131"/>
    </row>
    <row r="242" spans="2:17">
      <c r="B242" s="1132"/>
      <c r="C242" s="1134"/>
      <c r="D242" s="1134"/>
      <c r="E242" s="1134"/>
      <c r="F242" s="1134"/>
      <c r="G242" s="1134"/>
      <c r="H242" s="1135">
        <f t="shared" si="40"/>
        <v>0</v>
      </c>
      <c r="J242" s="1144"/>
      <c r="K242" s="1135">
        <f t="shared" si="41"/>
        <v>0</v>
      </c>
      <c r="M242" s="106">
        <f t="shared" si="43"/>
        <v>0</v>
      </c>
      <c r="N242" s="1133"/>
      <c r="O242" s="109">
        <f t="shared" si="35"/>
        <v>0</v>
      </c>
      <c r="P242" s="1137">
        <f t="shared" si="42"/>
        <v>0</v>
      </c>
      <c r="Q242" s="1131"/>
    </row>
    <row r="243" spans="2:17">
      <c r="B243" s="1132"/>
      <c r="C243" s="1134"/>
      <c r="D243" s="1134"/>
      <c r="E243" s="1134"/>
      <c r="F243" s="1134"/>
      <c r="G243" s="1134"/>
      <c r="H243" s="1135">
        <f t="shared" si="40"/>
        <v>0</v>
      </c>
      <c r="J243" s="1144"/>
      <c r="K243" s="1135">
        <f t="shared" si="41"/>
        <v>0</v>
      </c>
      <c r="M243" s="106">
        <f t="shared" si="43"/>
        <v>0</v>
      </c>
      <c r="N243" s="1133"/>
      <c r="O243" s="109">
        <f t="shared" si="35"/>
        <v>0</v>
      </c>
      <c r="P243" s="1137">
        <f t="shared" si="42"/>
        <v>0</v>
      </c>
      <c r="Q243" s="1131"/>
    </row>
    <row r="244" spans="2:17">
      <c r="B244" s="1132"/>
      <c r="C244" s="1134"/>
      <c r="D244" s="1134"/>
      <c r="E244" s="1134"/>
      <c r="F244" s="1134"/>
      <c r="G244" s="1134"/>
      <c r="H244" s="1135">
        <f t="shared" si="40"/>
        <v>0</v>
      </c>
      <c r="J244" s="1144"/>
      <c r="K244" s="1135">
        <f t="shared" si="41"/>
        <v>0</v>
      </c>
      <c r="M244" s="106">
        <f t="shared" si="43"/>
        <v>0</v>
      </c>
      <c r="N244" s="1133"/>
      <c r="O244" s="109">
        <f t="shared" si="35"/>
        <v>0</v>
      </c>
      <c r="P244" s="1137">
        <f t="shared" si="42"/>
        <v>0</v>
      </c>
      <c r="Q244" s="1131"/>
    </row>
    <row r="245" spans="2:17">
      <c r="B245" s="1132"/>
      <c r="C245" s="1134"/>
      <c r="D245" s="1134"/>
      <c r="E245" s="1134"/>
      <c r="F245" s="1134"/>
      <c r="G245" s="1134"/>
      <c r="H245" s="1135">
        <f t="shared" si="40"/>
        <v>0</v>
      </c>
      <c r="J245" s="1144"/>
      <c r="K245" s="1135">
        <f t="shared" si="41"/>
        <v>0</v>
      </c>
      <c r="M245" s="106">
        <f t="shared" si="43"/>
        <v>0</v>
      </c>
      <c r="N245" s="1133"/>
      <c r="O245" s="109">
        <f t="shared" si="35"/>
        <v>0</v>
      </c>
      <c r="P245" s="1137">
        <f t="shared" si="42"/>
        <v>0</v>
      </c>
      <c r="Q245" s="1131"/>
    </row>
    <row r="246" spans="2:17">
      <c r="B246" s="1132"/>
      <c r="C246" s="1134"/>
      <c r="D246" s="1134"/>
      <c r="E246" s="1134"/>
      <c r="F246" s="1134"/>
      <c r="G246" s="1134"/>
      <c r="H246" s="1135">
        <f t="shared" si="40"/>
        <v>0</v>
      </c>
      <c r="J246" s="1144"/>
      <c r="K246" s="1135">
        <f t="shared" si="41"/>
        <v>0</v>
      </c>
      <c r="M246" s="106">
        <f t="shared" si="43"/>
        <v>0</v>
      </c>
      <c r="N246" s="1133"/>
      <c r="O246" s="109">
        <f t="shared" si="35"/>
        <v>0</v>
      </c>
      <c r="P246" s="1137">
        <f t="shared" si="42"/>
        <v>0</v>
      </c>
      <c r="Q246" s="1131"/>
    </row>
    <row r="247" spans="2:17">
      <c r="B247" s="1132"/>
      <c r="C247" s="1134"/>
      <c r="D247" s="1134"/>
      <c r="E247" s="1134"/>
      <c r="F247" s="1134"/>
      <c r="G247" s="1134"/>
      <c r="H247" s="1135">
        <f t="shared" si="40"/>
        <v>0</v>
      </c>
      <c r="J247" s="1144"/>
      <c r="K247" s="1135">
        <f t="shared" si="41"/>
        <v>0</v>
      </c>
      <c r="M247" s="106">
        <f t="shared" si="43"/>
        <v>0</v>
      </c>
      <c r="N247" s="1133"/>
      <c r="O247" s="109">
        <f t="shared" si="35"/>
        <v>0</v>
      </c>
      <c r="P247" s="1137">
        <f t="shared" si="42"/>
        <v>0</v>
      </c>
      <c r="Q247" s="1131"/>
    </row>
    <row r="248" spans="2:17">
      <c r="B248" s="1132"/>
      <c r="C248" s="1134"/>
      <c r="D248" s="1134"/>
      <c r="E248" s="1134"/>
      <c r="F248" s="1134"/>
      <c r="G248" s="1134"/>
      <c r="H248" s="1135">
        <f t="shared" si="40"/>
        <v>0</v>
      </c>
      <c r="J248" s="1144"/>
      <c r="K248" s="1135">
        <f t="shared" si="41"/>
        <v>0</v>
      </c>
      <c r="M248" s="106">
        <f t="shared" si="43"/>
        <v>0</v>
      </c>
      <c r="N248" s="1133"/>
      <c r="O248" s="109">
        <f t="shared" si="35"/>
        <v>0</v>
      </c>
      <c r="P248" s="1137">
        <f t="shared" si="42"/>
        <v>0</v>
      </c>
      <c r="Q248" s="1131"/>
    </row>
    <row r="249" spans="2:17">
      <c r="B249" s="1132"/>
      <c r="C249" s="1134"/>
      <c r="D249" s="1134"/>
      <c r="E249" s="1134"/>
      <c r="F249" s="1134"/>
      <c r="G249" s="1134"/>
      <c r="H249" s="1135">
        <f t="shared" si="40"/>
        <v>0</v>
      </c>
      <c r="J249" s="1144"/>
      <c r="K249" s="1135">
        <f t="shared" si="41"/>
        <v>0</v>
      </c>
      <c r="M249" s="106">
        <f t="shared" si="43"/>
        <v>0</v>
      </c>
      <c r="N249" s="1133"/>
      <c r="O249" s="109">
        <f t="shared" si="35"/>
        <v>0</v>
      </c>
      <c r="P249" s="1137">
        <f t="shared" si="42"/>
        <v>0</v>
      </c>
      <c r="Q249" s="1131"/>
    </row>
    <row r="250" spans="2:17">
      <c r="B250" s="1132"/>
      <c r="C250" s="1134"/>
      <c r="D250" s="1134"/>
      <c r="E250" s="1134"/>
      <c r="F250" s="1134"/>
      <c r="G250" s="1134"/>
      <c r="H250" s="1135">
        <f t="shared" si="40"/>
        <v>0</v>
      </c>
      <c r="J250" s="1144"/>
      <c r="K250" s="1135">
        <f t="shared" si="41"/>
        <v>0</v>
      </c>
      <c r="M250" s="106">
        <f t="shared" si="43"/>
        <v>0</v>
      </c>
      <c r="N250" s="1133"/>
      <c r="O250" s="109">
        <f t="shared" si="35"/>
        <v>0</v>
      </c>
      <c r="P250" s="1137">
        <f t="shared" si="42"/>
        <v>0</v>
      </c>
      <c r="Q250" s="1131"/>
    </row>
    <row r="251" spans="2:17">
      <c r="B251" s="1132"/>
      <c r="C251" s="1134"/>
      <c r="D251" s="1134"/>
      <c r="E251" s="1134"/>
      <c r="F251" s="1134"/>
      <c r="G251" s="1134"/>
      <c r="H251" s="1135">
        <f t="shared" si="40"/>
        <v>0</v>
      </c>
      <c r="J251" s="1144"/>
      <c r="K251" s="1135">
        <f t="shared" si="41"/>
        <v>0</v>
      </c>
      <c r="M251" s="106">
        <f t="shared" si="43"/>
        <v>0</v>
      </c>
      <c r="N251" s="1133"/>
      <c r="O251" s="109">
        <f t="shared" si="35"/>
        <v>0</v>
      </c>
      <c r="P251" s="1137">
        <f t="shared" si="42"/>
        <v>0</v>
      </c>
      <c r="Q251" s="1131"/>
    </row>
    <row r="252" spans="2:17">
      <c r="B252" s="1132"/>
      <c r="C252" s="1134"/>
      <c r="D252" s="1134"/>
      <c r="E252" s="1134"/>
      <c r="F252" s="1134"/>
      <c r="G252" s="1134"/>
      <c r="H252" s="1135">
        <f t="shared" si="40"/>
        <v>0</v>
      </c>
      <c r="J252" s="1144"/>
      <c r="K252" s="1135">
        <f t="shared" si="41"/>
        <v>0</v>
      </c>
      <c r="M252" s="106">
        <f t="shared" si="43"/>
        <v>0</v>
      </c>
      <c r="N252" s="1133"/>
      <c r="O252" s="109">
        <f t="shared" si="35"/>
        <v>0</v>
      </c>
      <c r="P252" s="1137">
        <f t="shared" si="42"/>
        <v>0</v>
      </c>
      <c r="Q252" s="1131"/>
    </row>
    <row r="253" spans="2:17">
      <c r="B253" s="1132"/>
      <c r="C253" s="1134"/>
      <c r="D253" s="1134"/>
      <c r="E253" s="1134"/>
      <c r="F253" s="1134"/>
      <c r="G253" s="1134"/>
      <c r="H253" s="1135">
        <f t="shared" si="40"/>
        <v>0</v>
      </c>
      <c r="J253" s="1144"/>
      <c r="K253" s="1135">
        <f t="shared" si="41"/>
        <v>0</v>
      </c>
      <c r="M253" s="106">
        <f t="shared" si="43"/>
        <v>0</v>
      </c>
      <c r="N253" s="1133"/>
      <c r="O253" s="109">
        <f t="shared" si="35"/>
        <v>0</v>
      </c>
      <c r="P253" s="1137">
        <f t="shared" si="42"/>
        <v>0</v>
      </c>
      <c r="Q253" s="1131"/>
    </row>
    <row r="254" spans="2:17">
      <c r="B254" s="1132"/>
      <c r="C254" s="1134"/>
      <c r="D254" s="1134"/>
      <c r="E254" s="1134"/>
      <c r="F254" s="1134"/>
      <c r="G254" s="1134"/>
      <c r="H254" s="1135">
        <f t="shared" si="40"/>
        <v>0</v>
      </c>
      <c r="J254" s="1144"/>
      <c r="K254" s="1135">
        <f t="shared" si="41"/>
        <v>0</v>
      </c>
      <c r="M254" s="106">
        <f t="shared" si="43"/>
        <v>0</v>
      </c>
      <c r="N254" s="1133"/>
      <c r="O254" s="109">
        <f t="shared" si="35"/>
        <v>0</v>
      </c>
      <c r="P254" s="1137">
        <f t="shared" si="42"/>
        <v>0</v>
      </c>
      <c r="Q254" s="1131"/>
    </row>
    <row r="255" spans="2:17">
      <c r="B255" s="1132"/>
      <c r="C255" s="1134"/>
      <c r="D255" s="1134"/>
      <c r="E255" s="1134"/>
      <c r="F255" s="1134"/>
      <c r="G255" s="1134"/>
      <c r="H255" s="1135">
        <f t="shared" si="40"/>
        <v>0</v>
      </c>
      <c r="J255" s="1144"/>
      <c r="K255" s="1135">
        <f t="shared" si="41"/>
        <v>0</v>
      </c>
      <c r="M255" s="106">
        <f t="shared" si="43"/>
        <v>0</v>
      </c>
      <c r="N255" s="1133"/>
      <c r="O255" s="109">
        <f t="shared" si="35"/>
        <v>0</v>
      </c>
      <c r="P255" s="1137">
        <f t="shared" si="42"/>
        <v>0</v>
      </c>
      <c r="Q255" s="1131"/>
    </row>
    <row r="256" spans="2:17">
      <c r="B256" s="1132"/>
      <c r="C256" s="1134"/>
      <c r="D256" s="1134"/>
      <c r="E256" s="1134"/>
      <c r="F256" s="1134"/>
      <c r="G256" s="1134"/>
      <c r="H256" s="1135">
        <f t="shared" si="40"/>
        <v>0</v>
      </c>
      <c r="J256" s="1144"/>
      <c r="K256" s="1135">
        <f t="shared" si="41"/>
        <v>0</v>
      </c>
      <c r="M256" s="106">
        <f t="shared" si="43"/>
        <v>0</v>
      </c>
      <c r="N256" s="1133"/>
      <c r="O256" s="109">
        <f t="shared" si="35"/>
        <v>0</v>
      </c>
      <c r="P256" s="1137">
        <f t="shared" si="42"/>
        <v>0</v>
      </c>
      <c r="Q256" s="1131"/>
    </row>
    <row r="257" spans="1:18">
      <c r="B257" s="1132"/>
      <c r="C257" s="1134"/>
      <c r="D257" s="1134"/>
      <c r="E257" s="1134"/>
      <c r="F257" s="1134"/>
      <c r="G257" s="1134"/>
      <c r="H257" s="1135">
        <f t="shared" si="40"/>
        <v>0</v>
      </c>
      <c r="J257" s="1144"/>
      <c r="K257" s="1135">
        <f t="shared" si="41"/>
        <v>0</v>
      </c>
      <c r="M257" s="106">
        <f t="shared" si="43"/>
        <v>0</v>
      </c>
      <c r="N257" s="1133"/>
      <c r="O257" s="109">
        <f t="shared" si="35"/>
        <v>0</v>
      </c>
      <c r="P257" s="1137">
        <f t="shared" si="42"/>
        <v>0</v>
      </c>
      <c r="Q257" s="1131"/>
    </row>
    <row r="258" spans="1:18">
      <c r="B258" s="1132"/>
      <c r="C258" s="1134"/>
      <c r="D258" s="1134"/>
      <c r="E258" s="1134"/>
      <c r="F258" s="1134"/>
      <c r="G258" s="1134"/>
      <c r="H258" s="1135">
        <f t="shared" si="40"/>
        <v>0</v>
      </c>
      <c r="J258" s="1144"/>
      <c r="K258" s="1135">
        <f t="shared" si="41"/>
        <v>0</v>
      </c>
      <c r="M258" s="106">
        <f t="shared" si="43"/>
        <v>0</v>
      </c>
      <c r="N258" s="1133"/>
      <c r="O258" s="109">
        <f t="shared" si="35"/>
        <v>0</v>
      </c>
      <c r="P258" s="1137">
        <f t="shared" si="42"/>
        <v>0</v>
      </c>
      <c r="Q258" s="1131"/>
    </row>
    <row r="259" spans="1:18">
      <c r="B259" s="1132"/>
      <c r="C259" s="1134"/>
      <c r="D259" s="1134"/>
      <c r="E259" s="1134"/>
      <c r="F259" s="1134"/>
      <c r="G259" s="1134"/>
      <c r="H259" s="1135">
        <f t="shared" si="40"/>
        <v>0</v>
      </c>
      <c r="J259" s="1144"/>
      <c r="K259" s="1135">
        <f t="shared" si="41"/>
        <v>0</v>
      </c>
      <c r="M259" s="106">
        <f t="shared" si="43"/>
        <v>0</v>
      </c>
      <c r="N259" s="1133"/>
      <c r="O259" s="109">
        <f t="shared" si="35"/>
        <v>0</v>
      </c>
      <c r="P259" s="1137">
        <f t="shared" si="42"/>
        <v>0</v>
      </c>
      <c r="Q259" s="1131"/>
    </row>
    <row r="260" spans="1:18">
      <c r="B260" s="1132"/>
      <c r="C260" s="1134"/>
      <c r="D260" s="1134"/>
      <c r="E260" s="1134"/>
      <c r="F260" s="1134"/>
      <c r="G260" s="1134"/>
      <c r="H260" s="1135">
        <f t="shared" si="40"/>
        <v>0</v>
      </c>
      <c r="J260" s="1144"/>
      <c r="K260" s="1135">
        <f t="shared" si="41"/>
        <v>0</v>
      </c>
      <c r="M260" s="106">
        <f t="shared" si="43"/>
        <v>0</v>
      </c>
      <c r="N260" s="1133"/>
      <c r="O260" s="109">
        <f t="shared" si="35"/>
        <v>0</v>
      </c>
      <c r="P260" s="1137">
        <f t="shared" si="42"/>
        <v>0</v>
      </c>
      <c r="Q260" s="1131"/>
    </row>
    <row r="261" spans="1:18">
      <c r="B261" s="1132"/>
      <c r="C261" s="1134"/>
      <c r="D261" s="1134"/>
      <c r="E261" s="1134"/>
      <c r="F261" s="1134"/>
      <c r="G261" s="1134"/>
      <c r="H261" s="1135">
        <f t="shared" si="40"/>
        <v>0</v>
      </c>
      <c r="J261" s="1144"/>
      <c r="K261" s="1135">
        <f t="shared" si="41"/>
        <v>0</v>
      </c>
      <c r="M261" s="106">
        <f t="shared" si="43"/>
        <v>0</v>
      </c>
      <c r="N261" s="1133"/>
      <c r="O261" s="109">
        <f t="shared" si="35"/>
        <v>0</v>
      </c>
      <c r="P261" s="1137">
        <f t="shared" si="42"/>
        <v>0</v>
      </c>
      <c r="Q261" s="1131"/>
    </row>
    <row r="262" spans="1:18" ht="12.95" thickBot="1">
      <c r="B262" s="1145"/>
      <c r="C262" s="1146"/>
      <c r="D262" s="1146"/>
      <c r="E262" s="1146"/>
      <c r="F262" s="1146"/>
      <c r="G262" s="1146"/>
      <c r="H262" s="1147">
        <f t="shared" si="40"/>
        <v>0</v>
      </c>
      <c r="J262" s="1148"/>
      <c r="K262" s="1147">
        <f t="shared" si="41"/>
        <v>0</v>
      </c>
      <c r="M262" s="107">
        <f t="shared" si="43"/>
        <v>0</v>
      </c>
      <c r="N262" s="1149"/>
      <c r="O262" s="110">
        <f t="shared" si="35"/>
        <v>0</v>
      </c>
      <c r="P262" s="1150">
        <f>(M262^2*O262)*100</f>
        <v>0</v>
      </c>
      <c r="Q262" s="1131"/>
    </row>
    <row r="263" spans="1:18" ht="13.5" thickBot="1">
      <c r="B263" s="1151" t="s">
        <v>1012</v>
      </c>
      <c r="C263" s="1152">
        <f>SUM(C13:C262)</f>
        <v>2170.8908172867132</v>
      </c>
      <c r="D263" s="1152">
        <f>SUM(D13:D262)</f>
        <v>0</v>
      </c>
      <c r="E263" s="1152">
        <f>SUM(E13:E262)</f>
        <v>0</v>
      </c>
      <c r="F263" s="1152">
        <f>SUM(F13:F262)</f>
        <v>1925.6484040624996</v>
      </c>
      <c r="G263" s="1153">
        <f>SUM(G13:G262)</f>
        <v>1837.7338140000006</v>
      </c>
      <c r="H263" s="1131"/>
      <c r="I263" s="1154"/>
      <c r="J263" s="1154"/>
      <c r="K263" s="1131"/>
      <c r="L263" s="1154"/>
      <c r="M263" s="97"/>
      <c r="N263" s="1155">
        <f>SUM(N13:N262)</f>
        <v>5350.5026206057728</v>
      </c>
      <c r="O263" s="98"/>
      <c r="P263" s="1155">
        <f>SUM(P13:P262)</f>
        <v>1.3506064013246595</v>
      </c>
      <c r="Q263" s="1156">
        <f>(1-P263)*100</f>
        <v>-35.060640132465949</v>
      </c>
      <c r="R263" s="1157">
        <f>1-SUM(O13:O262)</f>
        <v>0.38950609341455411</v>
      </c>
    </row>
    <row r="267" spans="1:18" ht="12.95" thickBot="1"/>
    <row r="268" spans="1:18" customFormat="1">
      <c r="A268" s="13" t="s">
        <v>145</v>
      </c>
      <c r="B268" s="3"/>
      <c r="C268" s="197" t="s">
        <v>40</v>
      </c>
      <c r="D268" s="3"/>
      <c r="E268" s="3"/>
      <c r="F268" s="14"/>
    </row>
    <row r="269" spans="1:18" customFormat="1">
      <c r="A269" s="8"/>
      <c r="B269" s="1269"/>
      <c r="C269" s="1269"/>
      <c r="D269" s="1269"/>
      <c r="E269" s="1269"/>
      <c r="F269" s="15"/>
    </row>
    <row r="270" spans="1:18" customFormat="1">
      <c r="A270" s="6" t="s">
        <v>41</v>
      </c>
      <c r="B270" s="1269"/>
      <c r="C270" s="207" t="s">
        <v>40</v>
      </c>
      <c r="D270" s="1269"/>
      <c r="E270" s="1269"/>
      <c r="F270" s="15"/>
    </row>
    <row r="271" spans="1:18" customFormat="1">
      <c r="A271" s="8"/>
      <c r="B271" s="1269"/>
      <c r="C271" s="1269"/>
      <c r="D271" s="1269"/>
      <c r="E271" s="1269"/>
      <c r="F271" s="15"/>
    </row>
    <row r="272" spans="1:18" customFormat="1" ht="12.95" thickBot="1">
      <c r="A272" s="9" t="s">
        <v>42</v>
      </c>
      <c r="B272" s="10"/>
      <c r="C272" s="10" t="s">
        <v>146</v>
      </c>
      <c r="D272" s="10"/>
      <c r="E272" s="10"/>
      <c r="F272" s="16"/>
    </row>
    <row r="273" spans="2:3" customFormat="1"/>
    <row r="275" spans="2:3">
      <c r="B275" s="17"/>
      <c r="C275" s="43"/>
    </row>
  </sheetData>
  <mergeCells count="17">
    <mergeCell ref="P10:P12"/>
    <mergeCell ref="Q10:Q12"/>
    <mergeCell ref="R10:R12"/>
    <mergeCell ref="H10:H12"/>
    <mergeCell ref="J10:J12"/>
    <mergeCell ref="K10:K12"/>
    <mergeCell ref="M10:M12"/>
    <mergeCell ref="N10:N12"/>
    <mergeCell ref="O10:O12"/>
    <mergeCell ref="A6:G6"/>
    <mergeCell ref="A7:G7"/>
    <mergeCell ref="B10:B12"/>
    <mergeCell ref="C10:C12"/>
    <mergeCell ref="D10:D12"/>
    <mergeCell ref="E10:E12"/>
    <mergeCell ref="F10:F12"/>
    <mergeCell ref="G10:G12"/>
  </mergeCells>
  <pageMargins left="0.74803149606299213" right="0.74803149606299213" top="0.98425196850393704" bottom="0.98425196850393704" header="0.51181102362204722" footer="0.51181102362204722"/>
  <pageSetup paperSize="8" scale="30" orientation="portrait" r:id="rId1"/>
  <headerFooter alignWithMargins="0">
    <oddFooter>&amp;R&amp;"CG Omega,Regular" Date: Feb 2010
Revision 13.0&amp;L&amp;"Calibri"&amp;11&amp;K000000&amp;"CG Omega,Regular"Table 8 of 10_x000D_&amp;1#&amp;"Arial"&amp;11&amp;K000000SW Private Commercial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295E5-28D2-4A33-BEC4-A4D103B74930}">
  <sheetPr>
    <pageSetUpPr fitToPage="1"/>
  </sheetPr>
  <dimension ref="A1:AN68"/>
  <sheetViews>
    <sheetView zoomScaleNormal="100" workbookViewId="0">
      <selection sqref="A1:XFD1048576"/>
    </sheetView>
  </sheetViews>
  <sheetFormatPr defaultRowHeight="12.6"/>
  <cols>
    <col min="1" max="1" width="9" customWidth="1"/>
    <col min="2" max="2" width="56.5703125" customWidth="1"/>
    <col min="3" max="4" width="14.42578125" customWidth="1"/>
    <col min="5" max="5" width="5.5703125" customWidth="1"/>
    <col min="6" max="6" width="22.5703125" customWidth="1"/>
    <col min="7" max="7" width="4" bestFit="1" customWidth="1"/>
    <col min="8" max="8" width="22.5703125" customWidth="1"/>
    <col min="9" max="9" width="4" bestFit="1" customWidth="1"/>
    <col min="10" max="10" width="22.5703125" customWidth="1"/>
    <col min="11" max="11" width="4" bestFit="1" customWidth="1"/>
    <col min="12" max="12" width="22.5703125" customWidth="1"/>
    <col min="13" max="13" width="4" bestFit="1" customWidth="1"/>
    <col min="14" max="14" width="26.42578125" bestFit="1" customWidth="1"/>
    <col min="15" max="15" width="4" bestFit="1" customWidth="1"/>
    <col min="16" max="16" width="22.5703125" customWidth="1"/>
    <col min="17" max="17" width="4" bestFit="1" customWidth="1"/>
    <col min="18" max="18" width="22.5703125" customWidth="1"/>
    <col min="19" max="19" width="4" bestFit="1" customWidth="1"/>
    <col min="20" max="20" width="22.5703125" customWidth="1"/>
    <col min="21" max="21" width="4" bestFit="1" customWidth="1"/>
    <col min="22" max="22" width="22.5703125" customWidth="1"/>
    <col min="23" max="23" width="4" bestFit="1" customWidth="1"/>
    <col min="24" max="24" width="22.5703125" customWidth="1"/>
    <col min="25" max="25" width="4" bestFit="1" customWidth="1"/>
    <col min="26" max="26" width="22.5703125" customWidth="1"/>
    <col min="27" max="27" width="4" bestFit="1" customWidth="1"/>
    <col min="28" max="28" width="22.5703125" customWidth="1"/>
    <col min="29" max="29" width="4" bestFit="1" customWidth="1"/>
    <col min="30" max="30" width="28.42578125" bestFit="1" customWidth="1"/>
    <col min="31" max="31" width="5.42578125" customWidth="1"/>
    <col min="32" max="32" width="63.42578125" bestFit="1" customWidth="1"/>
  </cols>
  <sheetData>
    <row r="1" spans="1:40" ht="20.100000000000001">
      <c r="A1" s="49" t="s">
        <v>1020</v>
      </c>
      <c r="B1" s="49"/>
      <c r="C1" s="49"/>
      <c r="D1" s="50"/>
      <c r="E1" s="50"/>
    </row>
    <row r="2" spans="1:40" ht="20.100000000000001">
      <c r="A2" s="18"/>
      <c r="B2" s="1"/>
      <c r="C2" s="1"/>
      <c r="D2" s="1"/>
      <c r="E2" s="1"/>
      <c r="H2" s="176"/>
    </row>
    <row r="3" spans="1:40" ht="20.100000000000001">
      <c r="A3" s="238" t="str">
        <f>"ANNUAL RETURN INFORMATION REQUIREMENTS "&amp;_reportyear</f>
        <v>ANNUAL RETURN INFORMATION REQUIREMENTS 2023-24</v>
      </c>
      <c r="B3" s="19"/>
      <c r="C3" s="19"/>
      <c r="D3" s="19"/>
      <c r="E3" s="20"/>
      <c r="F3" s="169"/>
      <c r="G3" s="169"/>
      <c r="H3" s="821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</row>
    <row r="4" spans="1:40" ht="18">
      <c r="A4" s="342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</row>
    <row r="5" spans="1:40" ht="18">
      <c r="A5" s="503" t="str">
        <f>"Table B10: Scottish Water compliance with Water Quality Regulations (report year "&amp; _reportyear &amp;")"</f>
        <v>Table B10: Scottish Water compliance with Water Quality Regulations (report year 2023-24)</v>
      </c>
      <c r="B5" s="342"/>
      <c r="C5" s="342"/>
      <c r="D5" s="342"/>
      <c r="E5" s="342"/>
      <c r="F5" s="342"/>
      <c r="G5" s="342"/>
      <c r="H5" s="342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</row>
    <row r="6" spans="1:40" ht="13.5" thickBot="1">
      <c r="A6" s="174"/>
      <c r="B6" s="174"/>
      <c r="C6" s="174"/>
      <c r="D6" s="174"/>
      <c r="E6" s="174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</row>
    <row r="7" spans="1:40" s="166" customFormat="1" ht="27" customHeight="1" thickBot="1">
      <c r="A7" s="511" t="s">
        <v>1021</v>
      </c>
      <c r="B7" s="512" t="s">
        <v>4</v>
      </c>
      <c r="C7" s="513" t="s">
        <v>5</v>
      </c>
      <c r="D7" s="514" t="s">
        <v>1022</v>
      </c>
      <c r="E7" s="182"/>
      <c r="AF7"/>
      <c r="AG7"/>
      <c r="AH7"/>
      <c r="AI7"/>
      <c r="AJ7"/>
      <c r="AK7"/>
      <c r="AL7"/>
      <c r="AM7"/>
      <c r="AN7"/>
    </row>
    <row r="8" spans="1:40" s="166" customFormat="1" ht="12.95" thickBot="1">
      <c r="A8" s="182"/>
      <c r="C8" s="182"/>
      <c r="D8" s="182"/>
      <c r="E8" s="182"/>
      <c r="F8" s="1372">
        <v>1</v>
      </c>
      <c r="G8" s="1372"/>
      <c r="H8" s="1372">
        <v>2</v>
      </c>
      <c r="I8" s="1372"/>
      <c r="J8" s="1372">
        <v>3</v>
      </c>
      <c r="K8" s="1372"/>
      <c r="L8" s="1372">
        <v>4</v>
      </c>
      <c r="M8" s="1372"/>
      <c r="N8" s="1372">
        <v>5</v>
      </c>
      <c r="O8" s="1372"/>
      <c r="P8" s="1372">
        <v>6</v>
      </c>
      <c r="Q8" s="1372"/>
      <c r="R8" s="1372">
        <v>7</v>
      </c>
      <c r="S8" s="1372"/>
      <c r="T8" s="1372">
        <v>8</v>
      </c>
      <c r="U8" s="1372"/>
      <c r="V8" s="1371">
        <v>9</v>
      </c>
      <c r="W8" s="1371"/>
      <c r="X8" s="1371">
        <v>10</v>
      </c>
      <c r="Y8" s="1371"/>
      <c r="Z8" s="1371">
        <v>11</v>
      </c>
      <c r="AA8" s="1371"/>
      <c r="AB8" s="1371">
        <v>12</v>
      </c>
      <c r="AC8" s="1371"/>
      <c r="AF8"/>
      <c r="AG8"/>
      <c r="AH8"/>
      <c r="AI8"/>
      <c r="AJ8"/>
      <c r="AK8"/>
      <c r="AL8"/>
      <c r="AM8"/>
      <c r="AN8"/>
    </row>
    <row r="9" spans="1:40" ht="24.75" customHeight="1" thickBot="1">
      <c r="A9" s="174"/>
      <c r="B9" s="1376" t="s">
        <v>1023</v>
      </c>
      <c r="C9" s="1377"/>
      <c r="D9" s="1378"/>
      <c r="E9" s="182"/>
      <c r="F9" s="1385" t="s">
        <v>1024</v>
      </c>
      <c r="G9" s="1386"/>
      <c r="H9" s="1386"/>
      <c r="I9" s="1386"/>
      <c r="J9" s="1386"/>
      <c r="K9" s="1386"/>
      <c r="L9" s="1386"/>
      <c r="M9" s="1387"/>
      <c r="N9" s="1388" t="s">
        <v>1025</v>
      </c>
      <c r="O9" s="1388"/>
      <c r="P9" s="1388"/>
      <c r="Q9" s="1388"/>
      <c r="R9" s="1388"/>
      <c r="S9" s="1388"/>
      <c r="T9" s="1388"/>
      <c r="U9" s="1388"/>
      <c r="V9" s="1373" t="s">
        <v>1026</v>
      </c>
      <c r="W9" s="1374"/>
      <c r="X9" s="1374"/>
      <c r="Y9" s="1374"/>
      <c r="Z9" s="1374"/>
      <c r="AA9" s="1374"/>
      <c r="AB9" s="1374"/>
      <c r="AC9" s="1375"/>
      <c r="AD9" s="166"/>
      <c r="AE9" s="166"/>
    </row>
    <row r="10" spans="1:40" ht="17.100000000000001" customHeight="1" thickBot="1">
      <c r="A10" s="174"/>
      <c r="B10" s="468" t="s">
        <v>1027</v>
      </c>
      <c r="C10" s="463"/>
      <c r="D10" s="469"/>
      <c r="E10" s="182"/>
      <c r="F10" s="465" t="s">
        <v>1028</v>
      </c>
      <c r="G10" s="466" t="s">
        <v>11</v>
      </c>
      <c r="H10" s="466" t="s">
        <v>1029</v>
      </c>
      <c r="I10" s="466" t="s">
        <v>11</v>
      </c>
      <c r="J10" s="466" t="s">
        <v>1030</v>
      </c>
      <c r="K10" s="466" t="s">
        <v>11</v>
      </c>
      <c r="L10" s="466" t="s">
        <v>1031</v>
      </c>
      <c r="M10" s="467" t="s">
        <v>11</v>
      </c>
      <c r="N10" s="381" t="s">
        <v>1028</v>
      </c>
      <c r="O10" s="381" t="s">
        <v>11</v>
      </c>
      <c r="P10" s="381" t="s">
        <v>1029</v>
      </c>
      <c r="Q10" s="381" t="s">
        <v>11</v>
      </c>
      <c r="R10" s="381" t="s">
        <v>1030</v>
      </c>
      <c r="S10" s="381" t="s">
        <v>11</v>
      </c>
      <c r="T10" s="381" t="s">
        <v>1031</v>
      </c>
      <c r="U10" s="673" t="s">
        <v>11</v>
      </c>
      <c r="V10" s="667" t="s">
        <v>1028</v>
      </c>
      <c r="W10" s="382" t="s">
        <v>11</v>
      </c>
      <c r="X10" s="382" t="s">
        <v>1029</v>
      </c>
      <c r="Y10" s="382" t="s">
        <v>11</v>
      </c>
      <c r="Z10" s="382" t="s">
        <v>1032</v>
      </c>
      <c r="AA10" s="382" t="s">
        <v>11</v>
      </c>
      <c r="AB10" s="382" t="s">
        <v>1031</v>
      </c>
      <c r="AC10" s="668" t="s">
        <v>11</v>
      </c>
      <c r="AD10" s="166"/>
      <c r="AE10" s="166"/>
    </row>
    <row r="11" spans="1:40">
      <c r="A11" s="504" t="s">
        <v>1033</v>
      </c>
      <c r="B11" s="495" t="s">
        <v>1034</v>
      </c>
      <c r="C11" s="478" t="s">
        <v>1035</v>
      </c>
      <c r="D11" s="481" t="s">
        <v>1036</v>
      </c>
      <c r="E11" s="182"/>
      <c r="F11" s="371"/>
      <c r="G11" s="372" t="s">
        <v>1037</v>
      </c>
      <c r="H11" s="372" t="s">
        <v>1037</v>
      </c>
      <c r="I11" s="372" t="s">
        <v>1037</v>
      </c>
      <c r="J11" s="372" t="s">
        <v>1037</v>
      </c>
      <c r="K11" s="372" t="s">
        <v>1037</v>
      </c>
      <c r="L11" s="372" t="s">
        <v>1037</v>
      </c>
      <c r="M11" s="373" t="s">
        <v>1037</v>
      </c>
      <c r="N11" s="343" t="s">
        <v>1037</v>
      </c>
      <c r="O11" s="343" t="s">
        <v>1037</v>
      </c>
      <c r="P11" s="343" t="s">
        <v>1037</v>
      </c>
      <c r="Q11" s="343" t="s">
        <v>1037</v>
      </c>
      <c r="R11" s="343" t="s">
        <v>1037</v>
      </c>
      <c r="S11" s="343" t="s">
        <v>1037</v>
      </c>
      <c r="T11" s="343" t="s">
        <v>1037</v>
      </c>
      <c r="U11" s="674" t="s">
        <v>1037</v>
      </c>
      <c r="V11" s="914">
        <v>4831</v>
      </c>
      <c r="W11" s="344" t="s">
        <v>34</v>
      </c>
      <c r="X11" s="911">
        <v>3</v>
      </c>
      <c r="Y11" s="344" t="s">
        <v>34</v>
      </c>
      <c r="Z11" s="911">
        <v>3</v>
      </c>
      <c r="AA11" s="344" t="s">
        <v>34</v>
      </c>
      <c r="AB11" s="919">
        <f>1-(X11/V11)</f>
        <v>0.99937901055682055</v>
      </c>
      <c r="AC11" s="669" t="s">
        <v>34</v>
      </c>
      <c r="AD11" s="166"/>
      <c r="AE11" s="166"/>
    </row>
    <row r="12" spans="1:40" ht="12.95">
      <c r="A12" s="505" t="s">
        <v>1038</v>
      </c>
      <c r="B12" s="496" t="s">
        <v>1039</v>
      </c>
      <c r="C12" s="470" t="s">
        <v>1035</v>
      </c>
      <c r="D12" s="482" t="s">
        <v>1036</v>
      </c>
      <c r="E12" s="182"/>
      <c r="F12" s="374"/>
      <c r="G12" s="369" t="s">
        <v>1037</v>
      </c>
      <c r="H12" s="369" t="s">
        <v>1037</v>
      </c>
      <c r="I12" s="369" t="s">
        <v>1037</v>
      </c>
      <c r="J12" s="369" t="s">
        <v>1037</v>
      </c>
      <c r="K12" s="369" t="s">
        <v>1037</v>
      </c>
      <c r="L12" s="369" t="s">
        <v>1037</v>
      </c>
      <c r="M12" s="375" t="s">
        <v>1037</v>
      </c>
      <c r="N12" s="343"/>
      <c r="O12" s="343"/>
      <c r="P12" s="912"/>
      <c r="Q12" s="343"/>
      <c r="R12" s="912"/>
      <c r="S12" s="343" t="s">
        <v>1037</v>
      </c>
      <c r="T12" s="912" t="s">
        <v>1037</v>
      </c>
      <c r="U12" s="674" t="s">
        <v>1037</v>
      </c>
      <c r="V12" s="914">
        <v>4906</v>
      </c>
      <c r="W12" s="344" t="s">
        <v>34</v>
      </c>
      <c r="X12" s="911">
        <v>1</v>
      </c>
      <c r="Y12" s="344" t="s">
        <v>34</v>
      </c>
      <c r="Z12" s="911">
        <v>1</v>
      </c>
      <c r="AA12" s="344" t="s">
        <v>34</v>
      </c>
      <c r="AB12" s="919">
        <f t="shared" ref="AB12:AB23" si="0">1-(X12/V12)</f>
        <v>0.99979616795760295</v>
      </c>
      <c r="AC12" s="669" t="s">
        <v>34</v>
      </c>
      <c r="AD12" s="166"/>
      <c r="AE12" s="166"/>
    </row>
    <row r="13" spans="1:40">
      <c r="A13" s="505" t="s">
        <v>1040</v>
      </c>
      <c r="B13" s="497" t="s">
        <v>1041</v>
      </c>
      <c r="C13" s="470" t="s">
        <v>1035</v>
      </c>
      <c r="D13" s="482" t="s">
        <v>1036</v>
      </c>
      <c r="E13" s="182"/>
      <c r="F13" s="903">
        <v>25967</v>
      </c>
      <c r="G13" s="370" t="s">
        <v>34</v>
      </c>
      <c r="H13" s="907">
        <v>26</v>
      </c>
      <c r="I13" s="370" t="s">
        <v>34</v>
      </c>
      <c r="J13" s="907">
        <v>22</v>
      </c>
      <c r="K13" s="370" t="s">
        <v>34</v>
      </c>
      <c r="L13" s="956">
        <f>1-(H13/F13)</f>
        <v>0.99899872915623678</v>
      </c>
      <c r="M13" s="376" t="s">
        <v>34</v>
      </c>
      <c r="N13" s="911">
        <v>48153</v>
      </c>
      <c r="O13" s="344" t="s">
        <v>34</v>
      </c>
      <c r="P13" s="911">
        <v>70</v>
      </c>
      <c r="Q13" s="344" t="s">
        <v>34</v>
      </c>
      <c r="R13" s="911">
        <v>57</v>
      </c>
      <c r="S13" s="344" t="s">
        <v>34</v>
      </c>
      <c r="T13" s="956">
        <f>1-(P13/N13)</f>
        <v>0.99854630033435088</v>
      </c>
      <c r="U13" s="675" t="s">
        <v>34</v>
      </c>
      <c r="V13" s="914">
        <v>14983</v>
      </c>
      <c r="W13" s="344" t="s">
        <v>34</v>
      </c>
      <c r="X13" s="911">
        <v>38</v>
      </c>
      <c r="Y13" s="344" t="s">
        <v>34</v>
      </c>
      <c r="Z13" s="911">
        <v>33</v>
      </c>
      <c r="AA13" s="344" t="s">
        <v>34</v>
      </c>
      <c r="AB13" s="919">
        <f t="shared" si="0"/>
        <v>0.99746379229793769</v>
      </c>
      <c r="AC13" s="669" t="s">
        <v>34</v>
      </c>
      <c r="AD13" s="166"/>
      <c r="AE13" s="166"/>
    </row>
    <row r="14" spans="1:40" ht="12.95">
      <c r="A14" s="505" t="s">
        <v>1042</v>
      </c>
      <c r="B14" s="496" t="s">
        <v>1043</v>
      </c>
      <c r="C14" s="470" t="s">
        <v>1035</v>
      </c>
      <c r="D14" s="482" t="s">
        <v>1036</v>
      </c>
      <c r="E14" s="182"/>
      <c r="F14" s="903">
        <v>25969</v>
      </c>
      <c r="G14" s="370" t="s">
        <v>34</v>
      </c>
      <c r="H14" s="907">
        <v>1</v>
      </c>
      <c r="I14" s="370" t="s">
        <v>34</v>
      </c>
      <c r="J14" s="907">
        <v>1</v>
      </c>
      <c r="K14" s="370" t="s">
        <v>34</v>
      </c>
      <c r="L14" s="956">
        <f>1-(H14/F14)</f>
        <v>0.99996149254880817</v>
      </c>
      <c r="M14" s="376" t="s">
        <v>34</v>
      </c>
      <c r="N14" s="911">
        <v>48157</v>
      </c>
      <c r="O14" s="344" t="s">
        <v>34</v>
      </c>
      <c r="P14" s="911">
        <v>2</v>
      </c>
      <c r="Q14" s="344" t="s">
        <v>34</v>
      </c>
      <c r="R14" s="911">
        <v>2</v>
      </c>
      <c r="S14" s="344" t="s">
        <v>34</v>
      </c>
      <c r="T14" s="956">
        <f>1-(P14/N14)</f>
        <v>0.9999584691737442</v>
      </c>
      <c r="U14" s="675" t="s">
        <v>34</v>
      </c>
      <c r="V14" s="914">
        <v>14983</v>
      </c>
      <c r="W14" s="344" t="s">
        <v>34</v>
      </c>
      <c r="X14" s="911">
        <v>4</v>
      </c>
      <c r="Y14" s="344" t="s">
        <v>34</v>
      </c>
      <c r="Z14" s="911">
        <v>4</v>
      </c>
      <c r="AA14" s="344" t="s">
        <v>34</v>
      </c>
      <c r="AB14" s="919">
        <f t="shared" si="0"/>
        <v>0.99973303076820397</v>
      </c>
      <c r="AC14" s="669" t="s">
        <v>34</v>
      </c>
      <c r="AD14" s="166"/>
      <c r="AE14" s="166"/>
    </row>
    <row r="15" spans="1:40" ht="12.95">
      <c r="A15" s="505" t="s">
        <v>1044</v>
      </c>
      <c r="B15" s="496" t="s">
        <v>1045</v>
      </c>
      <c r="C15" s="470" t="s">
        <v>1035</v>
      </c>
      <c r="D15" s="482" t="s">
        <v>1036</v>
      </c>
      <c r="E15" s="182"/>
      <c r="F15" s="904"/>
      <c r="G15" s="369"/>
      <c r="H15" s="908"/>
      <c r="I15" s="369"/>
      <c r="J15" s="908"/>
      <c r="K15" s="369" t="s">
        <v>1037</v>
      </c>
      <c r="L15" s="913" t="s">
        <v>1037</v>
      </c>
      <c r="M15" s="375" t="s">
        <v>1037</v>
      </c>
      <c r="N15" s="912" t="s">
        <v>1037</v>
      </c>
      <c r="O15" s="343" t="s">
        <v>1037</v>
      </c>
      <c r="P15" s="912" t="s">
        <v>1037</v>
      </c>
      <c r="Q15" s="343" t="s">
        <v>1037</v>
      </c>
      <c r="R15" s="912" t="s">
        <v>1037</v>
      </c>
      <c r="S15" s="343" t="s">
        <v>1037</v>
      </c>
      <c r="T15" s="913" t="s">
        <v>1037</v>
      </c>
      <c r="U15" s="674" t="s">
        <v>1037</v>
      </c>
      <c r="V15" s="914">
        <v>4906</v>
      </c>
      <c r="W15" s="344" t="s">
        <v>34</v>
      </c>
      <c r="X15" s="911">
        <v>1</v>
      </c>
      <c r="Y15" s="344" t="s">
        <v>34</v>
      </c>
      <c r="Z15" s="911">
        <v>1</v>
      </c>
      <c r="AA15" s="344" t="s">
        <v>34</v>
      </c>
      <c r="AB15" s="919">
        <f t="shared" si="0"/>
        <v>0.99979616795760295</v>
      </c>
      <c r="AC15" s="669" t="s">
        <v>34</v>
      </c>
      <c r="AD15" s="166"/>
      <c r="AE15" s="166"/>
    </row>
    <row r="16" spans="1:40">
      <c r="A16" s="505" t="s">
        <v>1046</v>
      </c>
      <c r="B16" s="497" t="s">
        <v>1047</v>
      </c>
      <c r="C16" s="470" t="s">
        <v>1035</v>
      </c>
      <c r="D16" s="482" t="s">
        <v>1036</v>
      </c>
      <c r="E16" s="182"/>
      <c r="F16" s="904"/>
      <c r="G16" s="369"/>
      <c r="H16" s="908"/>
      <c r="I16" s="369"/>
      <c r="J16" s="908"/>
      <c r="K16" s="369" t="s">
        <v>1037</v>
      </c>
      <c r="L16" s="913" t="s">
        <v>1037</v>
      </c>
      <c r="M16" s="375" t="s">
        <v>1037</v>
      </c>
      <c r="N16" s="343" t="s">
        <v>1037</v>
      </c>
      <c r="O16" s="343" t="s">
        <v>1037</v>
      </c>
      <c r="P16" s="912" t="s">
        <v>1037</v>
      </c>
      <c r="Q16" s="343" t="s">
        <v>1037</v>
      </c>
      <c r="R16" s="912" t="s">
        <v>1037</v>
      </c>
      <c r="S16" s="343" t="s">
        <v>1037</v>
      </c>
      <c r="T16" s="913" t="s">
        <v>1037</v>
      </c>
      <c r="U16" s="674" t="s">
        <v>1037</v>
      </c>
      <c r="V16" s="914">
        <v>4906</v>
      </c>
      <c r="W16" s="344" t="s">
        <v>34</v>
      </c>
      <c r="X16" s="911">
        <v>1</v>
      </c>
      <c r="Y16" s="344" t="s">
        <v>34</v>
      </c>
      <c r="Z16" s="911">
        <v>1</v>
      </c>
      <c r="AA16" s="344" t="s">
        <v>34</v>
      </c>
      <c r="AB16" s="919">
        <f t="shared" si="0"/>
        <v>0.99979616795760295</v>
      </c>
      <c r="AC16" s="669" t="s">
        <v>34</v>
      </c>
      <c r="AD16" s="166"/>
      <c r="AE16" s="166"/>
    </row>
    <row r="17" spans="1:40">
      <c r="A17" s="505" t="s">
        <v>1048</v>
      </c>
      <c r="B17" s="497" t="s">
        <v>1049</v>
      </c>
      <c r="C17" s="470" t="s">
        <v>1035</v>
      </c>
      <c r="D17" s="482" t="s">
        <v>1036</v>
      </c>
      <c r="E17" s="182"/>
      <c r="F17" s="904"/>
      <c r="G17" s="369"/>
      <c r="H17" s="908"/>
      <c r="I17" s="369"/>
      <c r="J17" s="908"/>
      <c r="K17" s="369" t="s">
        <v>1037</v>
      </c>
      <c r="L17" s="913" t="s">
        <v>1037</v>
      </c>
      <c r="M17" s="375" t="s">
        <v>1037</v>
      </c>
      <c r="N17" s="343" t="s">
        <v>1037</v>
      </c>
      <c r="O17" s="343" t="s">
        <v>1037</v>
      </c>
      <c r="P17" s="343" t="s">
        <v>1037</v>
      </c>
      <c r="Q17" s="343" t="s">
        <v>1037</v>
      </c>
      <c r="R17" s="343" t="s">
        <v>1037</v>
      </c>
      <c r="S17" s="343" t="s">
        <v>1037</v>
      </c>
      <c r="T17" s="913" t="s">
        <v>1037</v>
      </c>
      <c r="U17" s="674" t="s">
        <v>1037</v>
      </c>
      <c r="V17" s="914">
        <v>4831</v>
      </c>
      <c r="W17" s="344" t="s">
        <v>34</v>
      </c>
      <c r="X17" s="911">
        <v>22</v>
      </c>
      <c r="Y17" s="344" t="s">
        <v>34</v>
      </c>
      <c r="Z17" s="911">
        <v>18</v>
      </c>
      <c r="AA17" s="344" t="s">
        <v>34</v>
      </c>
      <c r="AB17" s="919">
        <f t="shared" si="0"/>
        <v>0.99544607741668389</v>
      </c>
      <c r="AC17" s="669" t="s">
        <v>34</v>
      </c>
      <c r="AD17" s="166"/>
      <c r="AE17" s="166"/>
    </row>
    <row r="18" spans="1:40">
      <c r="A18" s="505" t="s">
        <v>1050</v>
      </c>
      <c r="B18" s="497" t="s">
        <v>1051</v>
      </c>
      <c r="C18" s="470" t="s">
        <v>1035</v>
      </c>
      <c r="D18" s="482" t="s">
        <v>1036</v>
      </c>
      <c r="E18" s="182"/>
      <c r="F18" s="958"/>
      <c r="G18" s="369"/>
      <c r="H18" s="908"/>
      <c r="I18" s="369"/>
      <c r="J18" s="908"/>
      <c r="K18" s="369" t="s">
        <v>1037</v>
      </c>
      <c r="L18" s="913" t="s">
        <v>1037</v>
      </c>
      <c r="M18" s="375" t="s">
        <v>1037</v>
      </c>
      <c r="N18" s="343" t="s">
        <v>1037</v>
      </c>
      <c r="O18" s="343" t="s">
        <v>1037</v>
      </c>
      <c r="P18" s="343" t="s">
        <v>1037</v>
      </c>
      <c r="Q18" s="343" t="s">
        <v>1037</v>
      </c>
      <c r="R18" s="343" t="s">
        <v>1037</v>
      </c>
      <c r="S18" s="343" t="s">
        <v>1037</v>
      </c>
      <c r="T18" s="913" t="s">
        <v>1037</v>
      </c>
      <c r="U18" s="674" t="s">
        <v>1037</v>
      </c>
      <c r="V18" s="914">
        <v>585</v>
      </c>
      <c r="W18" s="344" t="s">
        <v>34</v>
      </c>
      <c r="X18" s="911">
        <v>2</v>
      </c>
      <c r="Y18" s="344" t="s">
        <v>34</v>
      </c>
      <c r="Z18" s="911">
        <v>2</v>
      </c>
      <c r="AA18" s="344" t="s">
        <v>34</v>
      </c>
      <c r="AB18" s="919">
        <f t="shared" si="0"/>
        <v>0.99658119658119659</v>
      </c>
      <c r="AC18" s="669" t="s">
        <v>34</v>
      </c>
      <c r="AD18" s="166"/>
      <c r="AE18" s="166"/>
    </row>
    <row r="19" spans="1:40">
      <c r="A19" s="505" t="s">
        <v>1052</v>
      </c>
      <c r="B19" s="497" t="s">
        <v>1053</v>
      </c>
      <c r="C19" s="470" t="s">
        <v>1035</v>
      </c>
      <c r="D19" s="482" t="s">
        <v>1036</v>
      </c>
      <c r="E19" s="182"/>
      <c r="F19" s="904"/>
      <c r="G19" s="369"/>
      <c r="H19" s="908"/>
      <c r="I19" s="369"/>
      <c r="J19" s="908"/>
      <c r="K19" s="369" t="s">
        <v>1037</v>
      </c>
      <c r="L19" s="913" t="s">
        <v>1037</v>
      </c>
      <c r="M19" s="375" t="s">
        <v>1037</v>
      </c>
      <c r="N19" s="343" t="s">
        <v>1037</v>
      </c>
      <c r="O19" s="343" t="s">
        <v>1037</v>
      </c>
      <c r="P19" s="343" t="s">
        <v>1037</v>
      </c>
      <c r="Q19" s="343" t="s">
        <v>1037</v>
      </c>
      <c r="R19" s="343" t="s">
        <v>1037</v>
      </c>
      <c r="S19" s="343" t="s">
        <v>1037</v>
      </c>
      <c r="T19" s="913" t="s">
        <v>1037</v>
      </c>
      <c r="U19" s="674" t="s">
        <v>1037</v>
      </c>
      <c r="V19" s="914">
        <v>4831</v>
      </c>
      <c r="W19" s="344" t="s">
        <v>34</v>
      </c>
      <c r="X19" s="911">
        <v>10</v>
      </c>
      <c r="Y19" s="344" t="s">
        <v>34</v>
      </c>
      <c r="Z19" s="911">
        <v>7</v>
      </c>
      <c r="AA19" s="344" t="s">
        <v>34</v>
      </c>
      <c r="AB19" s="919">
        <f t="shared" si="0"/>
        <v>0.99793003518940182</v>
      </c>
      <c r="AC19" s="669" t="s">
        <v>34</v>
      </c>
      <c r="AD19" s="166"/>
      <c r="AE19" s="166"/>
    </row>
    <row r="20" spans="1:40">
      <c r="A20" s="505" t="s">
        <v>1054</v>
      </c>
      <c r="B20" s="497" t="s">
        <v>1055</v>
      </c>
      <c r="C20" s="470" t="s">
        <v>1035</v>
      </c>
      <c r="D20" s="482" t="s">
        <v>1036</v>
      </c>
      <c r="E20" s="182"/>
      <c r="F20" s="904"/>
      <c r="G20" s="369"/>
      <c r="H20" s="908"/>
      <c r="I20" s="369"/>
      <c r="J20" s="908"/>
      <c r="K20" s="369" t="s">
        <v>1037</v>
      </c>
      <c r="L20" s="913" t="s">
        <v>1037</v>
      </c>
      <c r="M20" s="375" t="s">
        <v>1037</v>
      </c>
      <c r="N20" s="343" t="s">
        <v>1037</v>
      </c>
      <c r="O20" s="343" t="s">
        <v>1037</v>
      </c>
      <c r="P20" s="343" t="s">
        <v>1037</v>
      </c>
      <c r="Q20" s="343" t="s">
        <v>1037</v>
      </c>
      <c r="R20" s="343" t="s">
        <v>1037</v>
      </c>
      <c r="S20" s="343" t="s">
        <v>1037</v>
      </c>
      <c r="T20" s="913" t="s">
        <v>1037</v>
      </c>
      <c r="U20" s="674" t="s">
        <v>1037</v>
      </c>
      <c r="V20" s="914">
        <v>585</v>
      </c>
      <c r="W20" s="344" t="s">
        <v>34</v>
      </c>
      <c r="X20" s="911">
        <v>0</v>
      </c>
      <c r="Y20" s="344" t="s">
        <v>34</v>
      </c>
      <c r="Z20" s="911">
        <v>0</v>
      </c>
      <c r="AA20" s="344" t="s">
        <v>34</v>
      </c>
      <c r="AB20" s="919">
        <f t="shared" si="0"/>
        <v>1</v>
      </c>
      <c r="AC20" s="669" t="s">
        <v>34</v>
      </c>
      <c r="AD20" s="166"/>
      <c r="AE20" s="166"/>
    </row>
    <row r="21" spans="1:40">
      <c r="A21" s="505" t="s">
        <v>1056</v>
      </c>
      <c r="B21" s="497" t="s">
        <v>1057</v>
      </c>
      <c r="C21" s="470" t="s">
        <v>1035</v>
      </c>
      <c r="D21" s="482" t="s">
        <v>1036</v>
      </c>
      <c r="E21" s="182"/>
      <c r="F21" s="904"/>
      <c r="G21" s="369"/>
      <c r="H21" s="908"/>
      <c r="I21" s="369"/>
      <c r="J21" s="908"/>
      <c r="K21" s="369" t="s">
        <v>1037</v>
      </c>
      <c r="L21" s="913" t="s">
        <v>1037</v>
      </c>
      <c r="M21" s="375" t="s">
        <v>1037</v>
      </c>
      <c r="N21" s="343" t="s">
        <v>1037</v>
      </c>
      <c r="O21" s="343" t="s">
        <v>1037</v>
      </c>
      <c r="P21" s="343" t="s">
        <v>1037</v>
      </c>
      <c r="Q21" s="343" t="s">
        <v>1037</v>
      </c>
      <c r="R21" s="343" t="s">
        <v>1037</v>
      </c>
      <c r="S21" s="343" t="s">
        <v>1037</v>
      </c>
      <c r="T21" s="913" t="s">
        <v>1037</v>
      </c>
      <c r="U21" s="674" t="s">
        <v>1037</v>
      </c>
      <c r="V21" s="914">
        <v>1955</v>
      </c>
      <c r="W21" s="344" t="s">
        <v>34</v>
      </c>
      <c r="X21" s="911">
        <v>0</v>
      </c>
      <c r="Y21" s="344" t="s">
        <v>34</v>
      </c>
      <c r="Z21" s="911">
        <v>0</v>
      </c>
      <c r="AA21" s="344" t="s">
        <v>34</v>
      </c>
      <c r="AB21" s="919">
        <f t="shared" si="0"/>
        <v>1</v>
      </c>
      <c r="AC21" s="669" t="s">
        <v>34</v>
      </c>
      <c r="AD21" s="166"/>
      <c r="AE21" s="166"/>
    </row>
    <row r="22" spans="1:40">
      <c r="A22" s="505" t="s">
        <v>1058</v>
      </c>
      <c r="B22" s="497" t="s">
        <v>1059</v>
      </c>
      <c r="C22" s="470" t="s">
        <v>1035</v>
      </c>
      <c r="D22" s="482" t="s">
        <v>1036</v>
      </c>
      <c r="E22" s="182"/>
      <c r="F22" s="904"/>
      <c r="G22" s="369"/>
      <c r="H22" s="908"/>
      <c r="I22" s="369"/>
      <c r="J22" s="908"/>
      <c r="K22" s="369" t="s">
        <v>1037</v>
      </c>
      <c r="L22" s="913" t="s">
        <v>1037</v>
      </c>
      <c r="M22" s="375" t="s">
        <v>1037</v>
      </c>
      <c r="N22" s="343" t="s">
        <v>1037</v>
      </c>
      <c r="O22" s="343" t="s">
        <v>1037</v>
      </c>
      <c r="P22" s="343" t="s">
        <v>1037</v>
      </c>
      <c r="Q22" s="343" t="s">
        <v>1037</v>
      </c>
      <c r="R22" s="343" t="s">
        <v>1037</v>
      </c>
      <c r="S22" s="343" t="s">
        <v>1037</v>
      </c>
      <c r="T22" s="913" t="s">
        <v>1037</v>
      </c>
      <c r="U22" s="674" t="s">
        <v>1037</v>
      </c>
      <c r="V22" s="914">
        <v>586</v>
      </c>
      <c r="W22" s="344" t="s">
        <v>34</v>
      </c>
      <c r="X22" s="911">
        <v>0</v>
      </c>
      <c r="Y22" s="344" t="s">
        <v>34</v>
      </c>
      <c r="Z22" s="911">
        <v>0</v>
      </c>
      <c r="AA22" s="344" t="s">
        <v>34</v>
      </c>
      <c r="AB22" s="919">
        <f t="shared" si="0"/>
        <v>1</v>
      </c>
      <c r="AC22" s="669" t="s">
        <v>34</v>
      </c>
      <c r="AD22" s="166"/>
      <c r="AE22" s="166"/>
    </row>
    <row r="23" spans="1:40">
      <c r="A23" s="505" t="s">
        <v>1060</v>
      </c>
      <c r="B23" s="498" t="s">
        <v>1061</v>
      </c>
      <c r="C23" s="479" t="s">
        <v>1035</v>
      </c>
      <c r="D23" s="483" t="s">
        <v>1036</v>
      </c>
      <c r="E23" s="182"/>
      <c r="F23" s="905">
        <v>10317</v>
      </c>
      <c r="G23" s="379" t="s">
        <v>34</v>
      </c>
      <c r="H23" s="909">
        <v>3</v>
      </c>
      <c r="I23" s="379" t="s">
        <v>34</v>
      </c>
      <c r="J23" s="909">
        <v>2</v>
      </c>
      <c r="K23" s="379" t="s">
        <v>34</v>
      </c>
      <c r="L23" s="957">
        <f>1-(H23/F23)</f>
        <v>0.99970921779587085</v>
      </c>
      <c r="M23" s="380" t="s">
        <v>34</v>
      </c>
      <c r="N23" s="346" t="s">
        <v>1037</v>
      </c>
      <c r="O23" s="346" t="s">
        <v>1037</v>
      </c>
      <c r="P23" s="346" t="s">
        <v>1037</v>
      </c>
      <c r="Q23" s="346" t="s">
        <v>1037</v>
      </c>
      <c r="R23" s="346" t="s">
        <v>1037</v>
      </c>
      <c r="S23" s="346" t="s">
        <v>1037</v>
      </c>
      <c r="T23" s="957" t="s">
        <v>1037</v>
      </c>
      <c r="U23" s="676" t="s">
        <v>1037</v>
      </c>
      <c r="V23" s="915">
        <v>50566</v>
      </c>
      <c r="W23" s="345" t="s">
        <v>34</v>
      </c>
      <c r="X23" s="917">
        <v>52</v>
      </c>
      <c r="Y23" s="345" t="s">
        <v>34</v>
      </c>
      <c r="Z23" s="917">
        <v>40</v>
      </c>
      <c r="AA23" s="345" t="s">
        <v>34</v>
      </c>
      <c r="AB23" s="919">
        <f t="shared" si="0"/>
        <v>0.99897164102361269</v>
      </c>
      <c r="AC23" s="670" t="s">
        <v>34</v>
      </c>
      <c r="AD23" s="166"/>
      <c r="AE23" s="166"/>
    </row>
    <row r="24" spans="1:40">
      <c r="A24" s="506" t="s">
        <v>1062</v>
      </c>
      <c r="B24" s="499" t="s">
        <v>1063</v>
      </c>
      <c r="C24" s="480" t="s">
        <v>1035</v>
      </c>
      <c r="D24" s="484" t="s">
        <v>1036</v>
      </c>
      <c r="E24" s="182"/>
      <c r="F24" s="906">
        <f>SUM(F13:F14,F23)</f>
        <v>62253</v>
      </c>
      <c r="G24" s="377" t="s">
        <v>34</v>
      </c>
      <c r="H24" s="906">
        <f>SUM(H13:H14,H23)</f>
        <v>30</v>
      </c>
      <c r="I24" s="377" t="s">
        <v>34</v>
      </c>
      <c r="J24" s="910">
        <v>23</v>
      </c>
      <c r="K24" s="377" t="s">
        <v>34</v>
      </c>
      <c r="L24" s="920">
        <f>1-(H24/F24)</f>
        <v>0.99951809551346926</v>
      </c>
      <c r="M24" s="378" t="s">
        <v>34</v>
      </c>
      <c r="N24" s="906">
        <f>SUM(N13:N14)</f>
        <v>96310</v>
      </c>
      <c r="O24" s="347" t="s">
        <v>34</v>
      </c>
      <c r="P24" s="906">
        <f>SUM(P13:P14)</f>
        <v>72</v>
      </c>
      <c r="Q24" s="347" t="s">
        <v>34</v>
      </c>
      <c r="R24" s="377">
        <v>57</v>
      </c>
      <c r="S24" s="347" t="s">
        <v>34</v>
      </c>
      <c r="T24" s="920">
        <f>1-(P24/N24)</f>
        <v>0.9992524140795348</v>
      </c>
      <c r="U24" s="677" t="s">
        <v>34</v>
      </c>
      <c r="V24" s="916">
        <f>SUM(V11:V23)</f>
        <v>113454</v>
      </c>
      <c r="W24" s="671" t="s">
        <v>34</v>
      </c>
      <c r="X24" s="918">
        <f>SUM(X11:X23)</f>
        <v>134</v>
      </c>
      <c r="Y24" s="671" t="s">
        <v>34</v>
      </c>
      <c r="Z24" s="910">
        <v>81</v>
      </c>
      <c r="AA24" s="671" t="s">
        <v>34</v>
      </c>
      <c r="AB24" s="920">
        <f>1-(X24/V24)</f>
        <v>0.99881890457806688</v>
      </c>
      <c r="AC24" s="672" t="s">
        <v>34</v>
      </c>
      <c r="AD24" s="166"/>
      <c r="AE24" s="166"/>
    </row>
    <row r="25" spans="1:40">
      <c r="A25" s="166"/>
      <c r="B25" s="77"/>
      <c r="C25" s="77"/>
      <c r="D25" s="77"/>
      <c r="E25" s="182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</row>
    <row r="26" spans="1:40" s="166" customFormat="1" ht="12.95" thickBot="1">
      <c r="B26" s="182"/>
      <c r="C26" s="182"/>
      <c r="D26" s="182"/>
      <c r="E26" s="182"/>
      <c r="F26" s="1389">
        <v>1</v>
      </c>
      <c r="G26" s="1383"/>
      <c r="H26" s="1382">
        <v>2</v>
      </c>
      <c r="I26" s="1383"/>
      <c r="J26" s="1382">
        <v>3</v>
      </c>
      <c r="K26" s="1383"/>
      <c r="L26" s="1382">
        <v>4</v>
      </c>
      <c r="M26" s="1383"/>
      <c r="N26" s="1382">
        <v>5</v>
      </c>
      <c r="O26" s="1384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F26"/>
      <c r="AG26"/>
      <c r="AH26"/>
      <c r="AI26"/>
      <c r="AJ26"/>
      <c r="AK26"/>
      <c r="AL26"/>
      <c r="AM26"/>
      <c r="AN26"/>
    </row>
    <row r="27" spans="1:40" ht="16.5" customHeight="1" thickBot="1">
      <c r="A27" s="507"/>
      <c r="B27" s="1376" t="s">
        <v>1064</v>
      </c>
      <c r="C27" s="1377"/>
      <c r="D27" s="1378"/>
      <c r="E27" s="182"/>
      <c r="F27" s="491" t="s">
        <v>1065</v>
      </c>
      <c r="G27" s="492" t="s">
        <v>11</v>
      </c>
      <c r="H27" s="492" t="s">
        <v>1066</v>
      </c>
      <c r="I27" s="492" t="s">
        <v>11</v>
      </c>
      <c r="J27" s="492" t="s">
        <v>1067</v>
      </c>
      <c r="K27" s="492" t="s">
        <v>11</v>
      </c>
      <c r="L27" s="666" t="s">
        <v>1068</v>
      </c>
      <c r="M27" s="492" t="s">
        <v>11</v>
      </c>
      <c r="N27" s="666" t="s">
        <v>1069</v>
      </c>
      <c r="O27" s="462" t="s">
        <v>11</v>
      </c>
      <c r="P27" s="77"/>
      <c r="Q27" s="77"/>
      <c r="R27" s="348"/>
      <c r="S27" s="77"/>
      <c r="T27" s="348"/>
      <c r="U27" s="77"/>
      <c r="V27" s="348"/>
      <c r="W27" s="77"/>
      <c r="X27" s="348"/>
      <c r="Y27" s="77"/>
      <c r="Z27" s="348"/>
      <c r="AA27" s="77"/>
      <c r="AB27" s="348"/>
      <c r="AC27" s="77"/>
    </row>
    <row r="28" spans="1:40" ht="15" thickBot="1">
      <c r="A28" s="508" t="s">
        <v>1070</v>
      </c>
      <c r="B28" s="499" t="s">
        <v>1064</v>
      </c>
      <c r="C28" s="480" t="s">
        <v>21</v>
      </c>
      <c r="D28" s="484" t="s">
        <v>16</v>
      </c>
      <c r="E28" s="182"/>
      <c r="F28" s="921">
        <v>5745</v>
      </c>
      <c r="G28" s="351" t="s">
        <v>34</v>
      </c>
      <c r="H28" s="922">
        <v>11</v>
      </c>
      <c r="I28" s="351" t="s">
        <v>34</v>
      </c>
      <c r="J28" s="922">
        <v>8</v>
      </c>
      <c r="K28" s="351" t="s">
        <v>34</v>
      </c>
      <c r="L28" s="922">
        <v>8</v>
      </c>
      <c r="M28" s="472" t="s">
        <v>34</v>
      </c>
      <c r="N28" s="923">
        <v>7</v>
      </c>
      <c r="O28" s="352" t="s">
        <v>34</v>
      </c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</row>
    <row r="29" spans="1:40" ht="12.95" thickBot="1"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</row>
    <row r="30" spans="1:40" ht="13.5" customHeight="1">
      <c r="B30" s="1379" t="s">
        <v>1071</v>
      </c>
      <c r="C30" s="1380"/>
      <c r="D30" s="1381"/>
      <c r="F30" s="952" t="s">
        <v>1072</v>
      </c>
      <c r="G30" s="953" t="s">
        <v>11</v>
      </c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</row>
    <row r="31" spans="1:40" ht="14.85" customHeight="1">
      <c r="A31" s="944" t="s">
        <v>1073</v>
      </c>
      <c r="B31" s="945" t="s">
        <v>1074</v>
      </c>
      <c r="C31" s="946" t="s">
        <v>26</v>
      </c>
      <c r="D31" s="947" t="s">
        <v>27</v>
      </c>
      <c r="E31" s="182"/>
      <c r="F31" s="954">
        <f>100-(((H24+P24+X24+L28)/(F24+N24+V24+F28))*100)</f>
        <v>99.912155010404589</v>
      </c>
      <c r="G31" s="955" t="s">
        <v>34</v>
      </c>
      <c r="H31" s="77"/>
      <c r="I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</row>
    <row r="32" spans="1:40" ht="14.85" customHeight="1">
      <c r="A32" s="948" t="s">
        <v>1075</v>
      </c>
      <c r="B32" s="949" t="s">
        <v>1076</v>
      </c>
      <c r="C32" s="950" t="s">
        <v>26</v>
      </c>
      <c r="D32" s="951" t="s">
        <v>27</v>
      </c>
      <c r="E32" s="182"/>
      <c r="F32" s="954">
        <v>99.923400000000001</v>
      </c>
      <c r="G32" s="955" t="s">
        <v>34</v>
      </c>
      <c r="H32" s="77"/>
      <c r="I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</row>
    <row r="33" spans="1:29" ht="12.95" thickBot="1">
      <c r="A33" s="166"/>
      <c r="B33" s="77"/>
      <c r="C33" s="77"/>
      <c r="D33" s="77"/>
      <c r="E33" s="182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</row>
    <row r="34" spans="1:29" ht="16.5" customHeight="1" thickBot="1">
      <c r="B34" s="1379" t="s">
        <v>1077</v>
      </c>
      <c r="C34" s="1380"/>
      <c r="D34" s="1381"/>
      <c r="E34" s="182"/>
      <c r="F34" s="652" t="s">
        <v>1078</v>
      </c>
      <c r="G34" s="653" t="s">
        <v>11</v>
      </c>
      <c r="H34" s="653" t="s">
        <v>1079</v>
      </c>
      <c r="I34" s="654" t="s">
        <v>11</v>
      </c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</row>
    <row r="35" spans="1:29" ht="14.45">
      <c r="A35" s="651" t="s">
        <v>1080</v>
      </c>
      <c r="B35" s="860" t="s">
        <v>1081</v>
      </c>
      <c r="C35" s="861" t="s">
        <v>21</v>
      </c>
      <c r="D35" s="862" t="s">
        <v>16</v>
      </c>
      <c r="E35" s="182"/>
      <c r="F35" s="924">
        <v>2</v>
      </c>
      <c r="G35" s="656" t="s">
        <v>34</v>
      </c>
      <c r="H35" s="656">
        <v>0</v>
      </c>
      <c r="I35" s="657" t="s">
        <v>34</v>
      </c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</row>
    <row r="36" spans="1:29" ht="14.45">
      <c r="A36" s="661" t="s">
        <v>1082</v>
      </c>
      <c r="B36" s="863" t="s">
        <v>1083</v>
      </c>
      <c r="C36" s="859" t="s">
        <v>21</v>
      </c>
      <c r="D36" s="864" t="s">
        <v>16</v>
      </c>
      <c r="E36" s="182"/>
      <c r="F36" s="925">
        <v>5</v>
      </c>
      <c r="G36" s="655" t="s">
        <v>34</v>
      </c>
      <c r="H36" s="655">
        <v>0</v>
      </c>
      <c r="I36" s="658" t="s">
        <v>34</v>
      </c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</row>
    <row r="37" spans="1:29" ht="14.45">
      <c r="A37" s="661" t="s">
        <v>1084</v>
      </c>
      <c r="B37" s="869" t="s">
        <v>1085</v>
      </c>
      <c r="C37" s="859" t="s">
        <v>21</v>
      </c>
      <c r="D37" s="864" t="s">
        <v>16</v>
      </c>
      <c r="E37" s="182"/>
      <c r="F37" s="925">
        <v>0</v>
      </c>
      <c r="G37" s="655" t="s">
        <v>34</v>
      </c>
      <c r="H37" s="655">
        <v>0</v>
      </c>
      <c r="I37" s="658" t="s">
        <v>34</v>
      </c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</row>
    <row r="38" spans="1:29" ht="15" thickBot="1">
      <c r="A38" s="662" t="s">
        <v>1086</v>
      </c>
      <c r="B38" s="865" t="s">
        <v>1087</v>
      </c>
      <c r="C38" s="866" t="s">
        <v>21</v>
      </c>
      <c r="D38" s="867" t="s">
        <v>16</v>
      </c>
      <c r="E38" s="182"/>
      <c r="F38" s="926">
        <v>9</v>
      </c>
      <c r="G38" s="659" t="s">
        <v>34</v>
      </c>
      <c r="H38" s="659">
        <v>0</v>
      </c>
      <c r="I38" s="660" t="s">
        <v>34</v>
      </c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</row>
    <row r="39" spans="1:29" ht="12.95" thickBot="1">
      <c r="A39" s="166"/>
      <c r="B39" s="77"/>
      <c r="C39" s="77"/>
      <c r="D39" s="77"/>
      <c r="E39" s="182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</row>
    <row r="40" spans="1:29" ht="15.75" customHeight="1" thickBot="1">
      <c r="A40" s="166"/>
      <c r="B40" s="1376" t="s">
        <v>1088</v>
      </c>
      <c r="C40" s="1377"/>
      <c r="D40" s="1378"/>
      <c r="E40" s="182"/>
      <c r="F40" s="509" t="s">
        <v>1089</v>
      </c>
      <c r="G40" s="510" t="s">
        <v>11</v>
      </c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</row>
    <row r="41" spans="1:29" ht="15" thickBot="1">
      <c r="A41" s="508" t="s">
        <v>1090</v>
      </c>
      <c r="B41" s="499" t="s">
        <v>1091</v>
      </c>
      <c r="C41" s="480" t="s">
        <v>21</v>
      </c>
      <c r="D41" s="484" t="s">
        <v>16</v>
      </c>
      <c r="E41" s="182"/>
      <c r="F41" s="921">
        <v>29</v>
      </c>
      <c r="G41" s="353" t="s">
        <v>17</v>
      </c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</row>
    <row r="42" spans="1:29">
      <c r="A42" s="166"/>
      <c r="B42" s="77"/>
      <c r="C42" s="77"/>
      <c r="D42" s="77"/>
      <c r="E42" s="182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</row>
    <row r="43" spans="1:29" s="166" customFormat="1" ht="12.95" thickBot="1">
      <c r="B43" s="182"/>
      <c r="C43" s="182"/>
      <c r="D43" s="182"/>
      <c r="E43" s="182"/>
      <c r="F43" s="1389">
        <v>1</v>
      </c>
      <c r="G43" s="1383"/>
      <c r="H43" s="1382">
        <v>2</v>
      </c>
      <c r="I43" s="1383"/>
      <c r="J43" s="1382">
        <v>3</v>
      </c>
      <c r="K43" s="1383"/>
      <c r="L43" s="1382">
        <v>4</v>
      </c>
      <c r="M43" s="1383"/>
      <c r="N43" s="1390">
        <v>5</v>
      </c>
      <c r="O43" s="1391"/>
      <c r="P43" s="1390">
        <v>6</v>
      </c>
      <c r="Q43" s="1391"/>
      <c r="R43" s="1390">
        <v>7</v>
      </c>
      <c r="S43" s="1391"/>
      <c r="T43" s="1390">
        <v>8</v>
      </c>
      <c r="U43" s="1391"/>
      <c r="V43" s="1390">
        <v>9</v>
      </c>
      <c r="W43" s="1391"/>
      <c r="X43" s="1390">
        <v>10</v>
      </c>
      <c r="Y43" s="1391"/>
      <c r="Z43" s="1390">
        <v>11</v>
      </c>
      <c r="AA43" s="1391"/>
      <c r="AB43" s="1390">
        <v>12</v>
      </c>
      <c r="AC43" s="1391"/>
    </row>
    <row r="44" spans="1:29" ht="29.25" customHeight="1">
      <c r="A44" s="166"/>
      <c r="B44" s="475" t="s">
        <v>1092</v>
      </c>
      <c r="C44" s="476"/>
      <c r="D44" s="477"/>
      <c r="E44" s="182"/>
      <c r="F44" s="652" t="s">
        <v>1093</v>
      </c>
      <c r="G44" s="653" t="s">
        <v>11</v>
      </c>
      <c r="H44" s="653" t="s">
        <v>1094</v>
      </c>
      <c r="I44" s="653" t="s">
        <v>11</v>
      </c>
      <c r="J44" s="653" t="s">
        <v>1095</v>
      </c>
      <c r="K44" s="653" t="s">
        <v>11</v>
      </c>
      <c r="L44" s="653" t="s">
        <v>1096</v>
      </c>
      <c r="M44" s="653" t="s">
        <v>11</v>
      </c>
      <c r="N44" s="466" t="s">
        <v>1097</v>
      </c>
      <c r="O44" s="466" t="s">
        <v>11</v>
      </c>
      <c r="P44" s="466" t="s">
        <v>1098</v>
      </c>
      <c r="Q44" s="466" t="s">
        <v>11</v>
      </c>
      <c r="R44" s="466" t="s">
        <v>1099</v>
      </c>
      <c r="S44" s="466" t="s">
        <v>11</v>
      </c>
      <c r="T44" s="466" t="s">
        <v>1100</v>
      </c>
      <c r="U44" s="466" t="s">
        <v>11</v>
      </c>
      <c r="V44" s="466" t="s">
        <v>1101</v>
      </c>
      <c r="W44" s="466" t="s">
        <v>11</v>
      </c>
      <c r="X44" s="466" t="s">
        <v>1102</v>
      </c>
      <c r="Y44" s="466" t="s">
        <v>11</v>
      </c>
      <c r="Z44" s="466" t="s">
        <v>1103</v>
      </c>
      <c r="AA44" s="466" t="s">
        <v>11</v>
      </c>
      <c r="AB44" s="466" t="s">
        <v>1104</v>
      </c>
      <c r="AC44" s="467" t="s">
        <v>11</v>
      </c>
    </row>
    <row r="45" spans="1:29" ht="26.1">
      <c r="A45" s="868" t="s">
        <v>1105</v>
      </c>
      <c r="B45" s="501" t="s">
        <v>1106</v>
      </c>
      <c r="C45" s="487" t="s">
        <v>21</v>
      </c>
      <c r="D45" s="488" t="s">
        <v>16</v>
      </c>
      <c r="E45" s="182"/>
      <c r="F45" s="929">
        <v>693</v>
      </c>
      <c r="G45" s="930" t="s">
        <v>34</v>
      </c>
      <c r="H45" s="931">
        <v>0</v>
      </c>
      <c r="I45" s="930" t="s">
        <v>34</v>
      </c>
      <c r="J45" s="931">
        <v>11437</v>
      </c>
      <c r="K45" s="930" t="s">
        <v>34</v>
      </c>
      <c r="L45" s="931">
        <v>352</v>
      </c>
      <c r="M45" s="930" t="s">
        <v>34</v>
      </c>
      <c r="N45" s="931">
        <v>426</v>
      </c>
      <c r="O45" s="930" t="s">
        <v>34</v>
      </c>
      <c r="P45" s="931">
        <v>1532</v>
      </c>
      <c r="Q45" s="930" t="s">
        <v>34</v>
      </c>
      <c r="R45" s="931">
        <v>946</v>
      </c>
      <c r="S45" s="930" t="s">
        <v>34</v>
      </c>
      <c r="T45" s="931">
        <v>39</v>
      </c>
      <c r="U45" s="930" t="s">
        <v>34</v>
      </c>
      <c r="V45" s="931">
        <v>487</v>
      </c>
      <c r="W45" s="930" t="s">
        <v>34</v>
      </c>
      <c r="X45" s="931">
        <v>32</v>
      </c>
      <c r="Y45" s="930" t="s">
        <v>34</v>
      </c>
      <c r="Z45" s="931">
        <v>0</v>
      </c>
      <c r="AA45" s="930" t="s">
        <v>34</v>
      </c>
      <c r="AB45" s="931">
        <v>608</v>
      </c>
      <c r="AC45" s="932" t="s">
        <v>34</v>
      </c>
    </row>
    <row r="46" spans="1:29" ht="14.45">
      <c r="A46" s="505" t="s">
        <v>1107</v>
      </c>
      <c r="B46" s="502" t="s">
        <v>1108</v>
      </c>
      <c r="C46" s="489" t="s">
        <v>21</v>
      </c>
      <c r="D46" s="490" t="s">
        <v>16</v>
      </c>
      <c r="E46" s="182"/>
      <c r="F46" s="933">
        <v>420</v>
      </c>
      <c r="G46" s="928" t="s">
        <v>34</v>
      </c>
      <c r="H46" s="927">
        <v>0</v>
      </c>
      <c r="I46" s="928" t="s">
        <v>34</v>
      </c>
      <c r="J46" s="927">
        <v>7569</v>
      </c>
      <c r="K46" s="928" t="s">
        <v>34</v>
      </c>
      <c r="L46" s="927">
        <v>319</v>
      </c>
      <c r="M46" s="928" t="s">
        <v>34</v>
      </c>
      <c r="N46" s="927">
        <v>225</v>
      </c>
      <c r="O46" s="928" t="s">
        <v>34</v>
      </c>
      <c r="P46" s="927">
        <v>974</v>
      </c>
      <c r="Q46" s="928" t="s">
        <v>34</v>
      </c>
      <c r="R46" s="927">
        <v>495</v>
      </c>
      <c r="S46" s="928" t="s">
        <v>34</v>
      </c>
      <c r="T46" s="927">
        <v>30</v>
      </c>
      <c r="U46" s="928" t="s">
        <v>34</v>
      </c>
      <c r="V46" s="927">
        <v>452</v>
      </c>
      <c r="W46" s="928" t="s">
        <v>34</v>
      </c>
      <c r="X46" s="927">
        <v>28</v>
      </c>
      <c r="Y46" s="928" t="s">
        <v>34</v>
      </c>
      <c r="Z46" s="927">
        <v>0</v>
      </c>
      <c r="AA46" s="928" t="s">
        <v>34</v>
      </c>
      <c r="AB46" s="927">
        <v>288</v>
      </c>
      <c r="AC46" s="934" t="s">
        <v>34</v>
      </c>
    </row>
    <row r="47" spans="1:29" ht="14.45">
      <c r="A47" s="505" t="s">
        <v>1109</v>
      </c>
      <c r="B47" s="502" t="s">
        <v>1110</v>
      </c>
      <c r="C47" s="489" t="s">
        <v>21</v>
      </c>
      <c r="D47" s="490" t="s">
        <v>16</v>
      </c>
      <c r="E47" s="182"/>
      <c r="F47" s="933">
        <v>19</v>
      </c>
      <c r="G47" s="928" t="s">
        <v>34</v>
      </c>
      <c r="H47" s="927">
        <v>0</v>
      </c>
      <c r="I47" s="928" t="s">
        <v>34</v>
      </c>
      <c r="J47" s="927">
        <v>78</v>
      </c>
      <c r="K47" s="928" t="s">
        <v>34</v>
      </c>
      <c r="L47" s="927">
        <v>7</v>
      </c>
      <c r="M47" s="928" t="s">
        <v>34</v>
      </c>
      <c r="N47" s="927">
        <v>6</v>
      </c>
      <c r="O47" s="928" t="s">
        <v>34</v>
      </c>
      <c r="P47" s="927">
        <v>12</v>
      </c>
      <c r="Q47" s="928" t="s">
        <v>34</v>
      </c>
      <c r="R47" s="927">
        <v>13</v>
      </c>
      <c r="S47" s="928" t="s">
        <v>34</v>
      </c>
      <c r="T47" s="927">
        <v>1</v>
      </c>
      <c r="U47" s="928" t="s">
        <v>34</v>
      </c>
      <c r="V47" s="927">
        <v>4</v>
      </c>
      <c r="W47" s="928" t="s">
        <v>34</v>
      </c>
      <c r="X47" s="927">
        <v>1</v>
      </c>
      <c r="Y47" s="928" t="s">
        <v>34</v>
      </c>
      <c r="Z47" s="927">
        <v>0</v>
      </c>
      <c r="AA47" s="928" t="s">
        <v>34</v>
      </c>
      <c r="AB47" s="927">
        <v>7</v>
      </c>
      <c r="AC47" s="934" t="s">
        <v>34</v>
      </c>
    </row>
    <row r="48" spans="1:29" ht="14.45">
      <c r="A48" s="506" t="s">
        <v>1111</v>
      </c>
      <c r="B48" s="500" t="s">
        <v>1112</v>
      </c>
      <c r="C48" s="485" t="s">
        <v>21</v>
      </c>
      <c r="D48" s="486" t="s">
        <v>16</v>
      </c>
      <c r="E48" s="182"/>
      <c r="F48" s="935">
        <v>254</v>
      </c>
      <c r="G48" s="936" t="s">
        <v>34</v>
      </c>
      <c r="H48" s="937">
        <v>0</v>
      </c>
      <c r="I48" s="936" t="s">
        <v>34</v>
      </c>
      <c r="J48" s="937">
        <v>3790</v>
      </c>
      <c r="K48" s="936" t="s">
        <v>34</v>
      </c>
      <c r="L48" s="937">
        <v>26</v>
      </c>
      <c r="M48" s="936" t="s">
        <v>34</v>
      </c>
      <c r="N48" s="937">
        <v>195</v>
      </c>
      <c r="O48" s="936" t="s">
        <v>34</v>
      </c>
      <c r="P48" s="937">
        <v>546</v>
      </c>
      <c r="Q48" s="936" t="s">
        <v>34</v>
      </c>
      <c r="R48" s="937">
        <v>438</v>
      </c>
      <c r="S48" s="936" t="s">
        <v>34</v>
      </c>
      <c r="T48" s="937">
        <v>8</v>
      </c>
      <c r="U48" s="936" t="s">
        <v>34</v>
      </c>
      <c r="V48" s="937">
        <v>31</v>
      </c>
      <c r="W48" s="936" t="s">
        <v>34</v>
      </c>
      <c r="X48" s="937">
        <v>3</v>
      </c>
      <c r="Y48" s="936" t="s">
        <v>34</v>
      </c>
      <c r="Z48" s="937">
        <v>0</v>
      </c>
      <c r="AA48" s="936" t="s">
        <v>34</v>
      </c>
      <c r="AB48" s="937">
        <v>313</v>
      </c>
      <c r="AC48" s="938" t="s">
        <v>34</v>
      </c>
    </row>
    <row r="49" spans="1:29">
      <c r="B49" s="77"/>
      <c r="C49" s="77"/>
      <c r="D49" s="77"/>
      <c r="E49" s="182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</row>
    <row r="50" spans="1:29" ht="12.95">
      <c r="B50" s="473" t="s">
        <v>1113</v>
      </c>
      <c r="C50" s="474"/>
      <c r="D50" s="471"/>
      <c r="E50" s="182"/>
      <c r="F50" s="494" t="s">
        <v>1114</v>
      </c>
      <c r="G50" s="493" t="s">
        <v>11</v>
      </c>
      <c r="H50" s="382" t="s">
        <v>1115</v>
      </c>
      <c r="I50" s="383" t="s">
        <v>11</v>
      </c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</row>
    <row r="51" spans="1:29" ht="15" thickBot="1">
      <c r="A51" s="508" t="s">
        <v>1116</v>
      </c>
      <c r="B51" s="499" t="s">
        <v>1117</v>
      </c>
      <c r="C51" s="480" t="s">
        <v>21</v>
      </c>
      <c r="D51" s="484" t="s">
        <v>16</v>
      </c>
      <c r="E51" s="182"/>
      <c r="F51" s="350">
        <v>2</v>
      </c>
      <c r="G51" s="351" t="s">
        <v>1118</v>
      </c>
      <c r="H51" s="351">
        <v>0</v>
      </c>
      <c r="I51" s="353" t="s">
        <v>1118</v>
      </c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</row>
    <row r="52" spans="1:29">
      <c r="A52" s="77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</row>
    <row r="53" spans="1:29">
      <c r="A53" s="77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</row>
    <row r="54" spans="1:29" ht="12.95" thickBot="1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</row>
    <row r="55" spans="1:29" ht="12.95">
      <c r="B55" s="362" t="s">
        <v>1119</v>
      </c>
      <c r="C55" s="363"/>
      <c r="D55" s="363"/>
      <c r="E55" s="364" t="s">
        <v>1037</v>
      </c>
      <c r="F55" s="364" t="s">
        <v>1037</v>
      </c>
      <c r="G55" s="365" t="s">
        <v>1037</v>
      </c>
      <c r="H55" s="77"/>
      <c r="I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</row>
    <row r="56" spans="1:29">
      <c r="B56" s="366" t="s">
        <v>1037</v>
      </c>
      <c r="C56" s="77"/>
      <c r="D56" s="1392"/>
      <c r="E56" s="1392"/>
      <c r="F56" s="1392"/>
      <c r="G56" s="1393"/>
      <c r="H56" s="77"/>
      <c r="I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</row>
    <row r="57" spans="1:29">
      <c r="B57" s="366" t="s">
        <v>1037</v>
      </c>
      <c r="C57" s="77"/>
      <c r="D57" s="1392"/>
      <c r="E57" s="1392"/>
      <c r="F57" s="1392"/>
      <c r="G57" s="1393"/>
      <c r="H57" s="77"/>
      <c r="I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</row>
    <row r="58" spans="1:29">
      <c r="B58" s="366" t="s">
        <v>1037</v>
      </c>
      <c r="C58" s="77"/>
      <c r="D58" s="1392"/>
      <c r="E58" s="1392"/>
      <c r="F58" s="1392"/>
      <c r="G58" s="1393"/>
      <c r="H58" s="77"/>
      <c r="I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</row>
    <row r="59" spans="1:29">
      <c r="B59" s="366" t="s">
        <v>1037</v>
      </c>
      <c r="C59" s="77"/>
      <c r="D59" s="1392"/>
      <c r="E59" s="1392"/>
      <c r="F59" s="1392"/>
      <c r="G59" s="1393"/>
      <c r="H59" s="77"/>
      <c r="I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</row>
    <row r="60" spans="1:29" ht="12.95" thickBot="1">
      <c r="B60" s="367" t="s">
        <v>1037</v>
      </c>
      <c r="C60" s="368" t="s">
        <v>1037</v>
      </c>
      <c r="D60" s="1431" t="s">
        <v>1037</v>
      </c>
      <c r="E60" s="1431"/>
      <c r="F60" s="1431"/>
      <c r="G60" s="1432"/>
      <c r="H60" s="77"/>
      <c r="I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</row>
    <row r="61" spans="1:29" ht="12.95" thickBot="1">
      <c r="B61" s="77"/>
      <c r="C61" s="77"/>
      <c r="D61" s="77"/>
      <c r="E61" s="77"/>
      <c r="F61" s="77"/>
      <c r="G61" s="77"/>
      <c r="H61" s="77"/>
      <c r="I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</row>
    <row r="62" spans="1:29">
      <c r="B62" s="357" t="s">
        <v>1037</v>
      </c>
      <c r="C62" s="354" t="s">
        <v>1037</v>
      </c>
      <c r="D62" s="354" t="s">
        <v>1037</v>
      </c>
      <c r="E62" s="354" t="s">
        <v>1037</v>
      </c>
      <c r="F62" s="354" t="s">
        <v>1037</v>
      </c>
      <c r="G62" s="354" t="s">
        <v>1037</v>
      </c>
      <c r="H62" s="354" t="s">
        <v>1037</v>
      </c>
      <c r="I62" s="355" t="s">
        <v>1037</v>
      </c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</row>
    <row r="63" spans="1:29" ht="14.1">
      <c r="B63" s="358" t="s">
        <v>1120</v>
      </c>
      <c r="D63" s="359"/>
      <c r="E63" s="359"/>
      <c r="F63" s="359"/>
      <c r="G63" s="207" t="s">
        <v>40</v>
      </c>
      <c r="H63" s="359"/>
      <c r="I63" s="360" t="s">
        <v>1037</v>
      </c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</row>
    <row r="64" spans="1:29" ht="14.1">
      <c r="B64" s="358" t="s">
        <v>1037</v>
      </c>
      <c r="C64" s="359"/>
      <c r="D64" s="359"/>
      <c r="E64" s="359"/>
      <c r="F64" s="359"/>
      <c r="G64" s="359"/>
      <c r="H64" s="359"/>
      <c r="I64" s="360" t="s">
        <v>1037</v>
      </c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</row>
    <row r="65" spans="2:29" ht="14.1">
      <c r="B65" s="358" t="s">
        <v>1121</v>
      </c>
      <c r="C65" s="359"/>
      <c r="D65" s="359"/>
      <c r="E65" s="359"/>
      <c r="F65" s="359"/>
      <c r="G65" s="207" t="s">
        <v>40</v>
      </c>
      <c r="H65" s="359"/>
      <c r="I65" s="360" t="s">
        <v>1037</v>
      </c>
      <c r="R65" s="77"/>
      <c r="S65" s="77"/>
      <c r="T65" s="77"/>
      <c r="U65" s="77"/>
      <c r="V65" s="77"/>
      <c r="W65" s="77"/>
      <c r="X65" s="77"/>
      <c r="Y65" s="77"/>
      <c r="Z65" s="77"/>
      <c r="AA65" s="77"/>
      <c r="AB65" s="77"/>
      <c r="AC65" s="77"/>
    </row>
    <row r="66" spans="2:29" ht="14.1">
      <c r="B66" s="358" t="s">
        <v>1037</v>
      </c>
      <c r="C66" s="359"/>
      <c r="D66" s="359"/>
      <c r="E66" s="359"/>
      <c r="F66" s="359"/>
      <c r="G66" s="359"/>
      <c r="H66" s="359"/>
      <c r="I66" s="360" t="s">
        <v>1037</v>
      </c>
      <c r="R66" s="77"/>
      <c r="S66" s="77"/>
      <c r="T66" s="77"/>
      <c r="U66" s="77"/>
      <c r="V66" s="77"/>
      <c r="W66" s="77"/>
      <c r="X66" s="77"/>
      <c r="Y66" s="77"/>
      <c r="Z66" s="77"/>
      <c r="AA66" s="77"/>
      <c r="AB66" s="77"/>
      <c r="AC66" s="77"/>
    </row>
    <row r="67" spans="2:29" ht="14.1">
      <c r="B67" s="358" t="s">
        <v>42</v>
      </c>
      <c r="C67" s="359"/>
      <c r="D67" s="359"/>
      <c r="E67" s="359"/>
      <c r="F67" s="359"/>
      <c r="G67" s="359" t="s">
        <v>146</v>
      </c>
      <c r="H67" s="359"/>
      <c r="I67" s="360" t="s">
        <v>1037</v>
      </c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77"/>
    </row>
    <row r="68" spans="2:29" ht="12.95" thickBot="1">
      <c r="B68" s="349" t="s">
        <v>1037</v>
      </c>
      <c r="C68" s="356" t="s">
        <v>1037</v>
      </c>
      <c r="D68" s="356" t="s">
        <v>1037</v>
      </c>
      <c r="E68" s="356" t="s">
        <v>1037</v>
      </c>
      <c r="F68" s="356" t="s">
        <v>1037</v>
      </c>
      <c r="G68" s="356" t="s">
        <v>1037</v>
      </c>
      <c r="H68" s="356" t="s">
        <v>1037</v>
      </c>
      <c r="I68" s="361" t="s">
        <v>1037</v>
      </c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</row>
  </sheetData>
  <mergeCells count="42">
    <mergeCell ref="D58:G58"/>
    <mergeCell ref="D59:G59"/>
    <mergeCell ref="D60:G60"/>
    <mergeCell ref="V43:W43"/>
    <mergeCell ref="X43:Y43"/>
    <mergeCell ref="D57:G57"/>
    <mergeCell ref="J43:K43"/>
    <mergeCell ref="L43:M43"/>
    <mergeCell ref="N43:O43"/>
    <mergeCell ref="P43:Q43"/>
    <mergeCell ref="H43:I43"/>
    <mergeCell ref="B40:D40"/>
    <mergeCell ref="F43:G43"/>
    <mergeCell ref="Z43:AA43"/>
    <mergeCell ref="AB43:AC43"/>
    <mergeCell ref="D56:G56"/>
    <mergeCell ref="R43:S43"/>
    <mergeCell ref="T43:U43"/>
    <mergeCell ref="V9:AC9"/>
    <mergeCell ref="B27:D27"/>
    <mergeCell ref="B30:D30"/>
    <mergeCell ref="B34:D34"/>
    <mergeCell ref="L26:M26"/>
    <mergeCell ref="N26:O26"/>
    <mergeCell ref="B9:D9"/>
    <mergeCell ref="F9:M9"/>
    <mergeCell ref="N9:U9"/>
    <mergeCell ref="F26:G26"/>
    <mergeCell ref="H26:I26"/>
    <mergeCell ref="J26:K26"/>
    <mergeCell ref="AB8:AC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</mergeCells>
  <pageMargins left="0.7" right="0.7" top="0.75" bottom="0.75" header="0.3" footer="0.3"/>
  <pageSetup paperSize="9" scale="21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29964-1DE4-4048-9A3D-D8B3C8D3CAEF}">
  <sheetPr>
    <pageSetUpPr fitToPage="1"/>
  </sheetPr>
  <dimension ref="B1:P44"/>
  <sheetViews>
    <sheetView zoomScaleNormal="100" workbookViewId="0">
      <selection sqref="A1:XFD1048576"/>
    </sheetView>
  </sheetViews>
  <sheetFormatPr defaultColWidth="9.42578125" defaultRowHeight="12.6"/>
  <cols>
    <col min="1" max="1" width="3.5703125" style="192" customWidth="1"/>
    <col min="2" max="2" width="8.42578125" style="192" customWidth="1"/>
    <col min="3" max="3" width="61.42578125" style="192" customWidth="1"/>
    <col min="4" max="6" width="9.5703125" style="192" customWidth="1"/>
    <col min="7" max="7" width="12.5703125" style="192" customWidth="1"/>
    <col min="8" max="8" width="6" style="192" customWidth="1"/>
    <col min="9" max="9" width="4.5703125" style="192" customWidth="1"/>
    <col min="10" max="10" width="12.42578125" style="192" customWidth="1"/>
    <col min="11" max="11" width="60.42578125" style="192" customWidth="1"/>
    <col min="12" max="14" width="9.5703125" style="192" customWidth="1"/>
    <col min="15" max="15" width="12.5703125" style="192" customWidth="1"/>
    <col min="16" max="16" width="5.5703125" style="192" customWidth="1"/>
    <col min="17" max="16384" width="9.42578125" style="192"/>
  </cols>
  <sheetData>
    <row r="1" spans="2:16" ht="12.95">
      <c r="B1" s="516"/>
      <c r="C1" s="516"/>
      <c r="D1" s="516"/>
    </row>
    <row r="2" spans="2:16" ht="18">
      <c r="B2" s="517" t="s">
        <v>1122</v>
      </c>
      <c r="C2" s="516"/>
      <c r="D2" s="516"/>
      <c r="E2" s="384"/>
      <c r="F2" s="518"/>
      <c r="G2" s="519"/>
      <c r="I2" s="520" t="s">
        <v>1123</v>
      </c>
      <c r="J2" s="517"/>
      <c r="K2" s="520"/>
    </row>
    <row r="3" spans="2:16" ht="9.75" customHeight="1">
      <c r="B3" s="517"/>
      <c r="C3" s="516"/>
      <c r="D3" s="516"/>
      <c r="F3" s="518"/>
      <c r="G3" s="519"/>
      <c r="I3" s="520"/>
      <c r="J3" s="520"/>
      <c r="K3" s="520"/>
    </row>
    <row r="4" spans="2:16" ht="9.75" customHeight="1">
      <c r="B4" s="517"/>
      <c r="C4" s="516"/>
      <c r="D4" s="516"/>
      <c r="F4" s="518"/>
      <c r="G4" s="519"/>
      <c r="I4" s="520"/>
      <c r="J4" s="520"/>
      <c r="K4" s="520"/>
    </row>
    <row r="5" spans="2:16" ht="18">
      <c r="B5" s="521" t="s">
        <v>1124</v>
      </c>
      <c r="C5" s="516"/>
      <c r="D5" s="1158"/>
      <c r="G5" s="519"/>
      <c r="I5" s="520" t="s">
        <v>1123</v>
      </c>
      <c r="J5" s="521"/>
      <c r="K5" s="516"/>
      <c r="L5" s="1158"/>
      <c r="O5" s="519"/>
    </row>
    <row r="6" spans="2:16" ht="15.95" thickBot="1">
      <c r="B6"/>
      <c r="C6" s="516"/>
      <c r="D6" s="1158"/>
      <c r="G6" s="519"/>
      <c r="I6" s="520"/>
      <c r="J6"/>
      <c r="K6" s="516"/>
      <c r="L6" s="1158"/>
      <c r="O6" s="519"/>
    </row>
    <row r="7" spans="2:16" ht="15.95" thickBot="1">
      <c r="B7" s="1398" t="s">
        <v>1125</v>
      </c>
      <c r="C7" s="1399"/>
      <c r="D7" s="1399"/>
      <c r="E7" s="1399"/>
      <c r="F7" s="1399"/>
      <c r="G7" s="1399"/>
      <c r="H7" s="1400"/>
      <c r="I7" s="520"/>
      <c r="J7" s="1398" t="str">
        <f>"Financial year " &amp; _reportyear</f>
        <v>Financial year 2023-24</v>
      </c>
      <c r="K7" s="1399"/>
      <c r="L7" s="1399"/>
      <c r="M7" s="1399"/>
      <c r="N7" s="1399"/>
      <c r="O7" s="1399"/>
      <c r="P7" s="1400"/>
    </row>
    <row r="8" spans="2:16" ht="15.6">
      <c r="B8" s="1159"/>
      <c r="C8" s="1158"/>
      <c r="D8" s="1158"/>
      <c r="J8" s="1159"/>
      <c r="K8" s="516"/>
      <c r="L8" s="1158"/>
    </row>
    <row r="9" spans="2:16" s="986" customFormat="1" ht="26.1">
      <c r="C9" s="1160"/>
      <c r="D9" s="1161" t="s">
        <v>1126</v>
      </c>
      <c r="E9" s="1162" t="s">
        <v>1127</v>
      </c>
      <c r="F9" s="1163" t="s">
        <v>1128</v>
      </c>
      <c r="G9" s="1164" t="s">
        <v>1012</v>
      </c>
      <c r="K9" s="1160"/>
      <c r="L9" s="1161" t="s">
        <v>1126</v>
      </c>
      <c r="M9" s="1162" t="s">
        <v>1127</v>
      </c>
      <c r="N9" s="1163" t="s">
        <v>1128</v>
      </c>
      <c r="O9" s="1164" t="s">
        <v>1012</v>
      </c>
    </row>
    <row r="10" spans="2:16" s="986" customFormat="1" ht="38.1" thickBot="1">
      <c r="B10" s="1165"/>
      <c r="C10" s="1166" t="s">
        <v>1129</v>
      </c>
      <c r="D10" s="1167" t="s">
        <v>1130</v>
      </c>
      <c r="E10" s="1167" t="s">
        <v>1130</v>
      </c>
      <c r="F10" s="1167" t="s">
        <v>1130</v>
      </c>
      <c r="G10" s="1168" t="s">
        <v>1131</v>
      </c>
      <c r="H10" s="1169" t="s">
        <v>11</v>
      </c>
      <c r="I10" s="1170"/>
      <c r="J10" s="1165"/>
      <c r="K10" s="1166" t="s">
        <v>1129</v>
      </c>
      <c r="L10" s="1167" t="s">
        <v>1130</v>
      </c>
      <c r="M10" s="1167" t="s">
        <v>1130</v>
      </c>
      <c r="N10" s="1167" t="s">
        <v>1130</v>
      </c>
      <c r="O10" s="1168" t="s">
        <v>1131</v>
      </c>
      <c r="P10" s="1169" t="s">
        <v>11</v>
      </c>
    </row>
    <row r="11" spans="2:16">
      <c r="B11" s="1171" t="s">
        <v>1132</v>
      </c>
      <c r="C11" s="1172" t="s">
        <v>1133</v>
      </c>
      <c r="D11" s="1173">
        <v>1</v>
      </c>
      <c r="E11" s="1173">
        <v>0</v>
      </c>
      <c r="F11" s="1173">
        <v>19</v>
      </c>
      <c r="G11" s="1174">
        <f>SUM(D11:F11)</f>
        <v>20</v>
      </c>
      <c r="H11" s="1305" t="s">
        <v>34</v>
      </c>
      <c r="I11" s="1175"/>
      <c r="J11" s="1171" t="s">
        <v>1132</v>
      </c>
      <c r="K11" s="1176" t="s">
        <v>1133</v>
      </c>
      <c r="L11" s="1173">
        <v>1</v>
      </c>
      <c r="M11" s="1173">
        <v>0</v>
      </c>
      <c r="N11" s="1173">
        <v>25</v>
      </c>
      <c r="O11" s="1174">
        <f t="shared" ref="O11:O16" si="0">SUM(L11:N11)</f>
        <v>26</v>
      </c>
      <c r="P11" s="1305" t="s">
        <v>34</v>
      </c>
    </row>
    <row r="12" spans="2:16">
      <c r="B12" s="522" t="s">
        <v>1134</v>
      </c>
      <c r="C12" s="1177" t="s">
        <v>1135</v>
      </c>
      <c r="D12" s="1178">
        <v>0</v>
      </c>
      <c r="E12" s="1178">
        <v>0</v>
      </c>
      <c r="F12" s="1178">
        <v>0</v>
      </c>
      <c r="G12" s="1179">
        <f>SUM(D12:F12)</f>
        <v>0</v>
      </c>
      <c r="H12" s="1306" t="s">
        <v>34</v>
      </c>
      <c r="I12" s="1175"/>
      <c r="J12" s="522" t="s">
        <v>1134</v>
      </c>
      <c r="K12" s="1177" t="s">
        <v>1135</v>
      </c>
      <c r="L12" s="1178">
        <v>0</v>
      </c>
      <c r="M12" s="1178">
        <v>0</v>
      </c>
      <c r="N12" s="1178">
        <v>0</v>
      </c>
      <c r="O12" s="1179">
        <f t="shared" si="0"/>
        <v>0</v>
      </c>
      <c r="P12" s="1306" t="s">
        <v>34</v>
      </c>
    </row>
    <row r="13" spans="2:16">
      <c r="B13" s="522" t="s">
        <v>1136</v>
      </c>
      <c r="C13" s="1177" t="s">
        <v>1137</v>
      </c>
      <c r="D13" s="1178">
        <v>1</v>
      </c>
      <c r="E13" s="1178">
        <v>0</v>
      </c>
      <c r="F13" s="1178">
        <v>5</v>
      </c>
      <c r="G13" s="1179">
        <f>SUM(D13:F13)</f>
        <v>6</v>
      </c>
      <c r="H13" s="1306" t="s">
        <v>34</v>
      </c>
      <c r="I13" s="1175"/>
      <c r="J13" s="522" t="s">
        <v>1136</v>
      </c>
      <c r="K13" s="1177" t="s">
        <v>1137</v>
      </c>
      <c r="L13" s="1178">
        <v>1</v>
      </c>
      <c r="M13" s="1178">
        <v>0</v>
      </c>
      <c r="N13" s="1178">
        <v>8</v>
      </c>
      <c r="O13" s="1179">
        <f t="shared" si="0"/>
        <v>9</v>
      </c>
      <c r="P13" s="1306" t="s">
        <v>34</v>
      </c>
    </row>
    <row r="14" spans="2:16">
      <c r="B14" s="522" t="s">
        <v>1138</v>
      </c>
      <c r="C14" s="1177" t="s">
        <v>1139</v>
      </c>
      <c r="D14" s="1178">
        <v>2</v>
      </c>
      <c r="E14" s="1178">
        <v>6</v>
      </c>
      <c r="F14" s="1178">
        <v>105</v>
      </c>
      <c r="G14" s="1179">
        <f t="shared" ref="G14" si="1">SUM(D14:F14)</f>
        <v>113</v>
      </c>
      <c r="H14" s="1306" t="s">
        <v>34</v>
      </c>
      <c r="I14" s="1175"/>
      <c r="J14" s="522" t="s">
        <v>1138</v>
      </c>
      <c r="K14" s="1177" t="s">
        <v>1139</v>
      </c>
      <c r="L14" s="1178">
        <v>2</v>
      </c>
      <c r="M14" s="1178">
        <v>7</v>
      </c>
      <c r="N14" s="1178">
        <v>98</v>
      </c>
      <c r="O14" s="1179">
        <f t="shared" si="0"/>
        <v>107</v>
      </c>
      <c r="P14" s="1306" t="s">
        <v>34</v>
      </c>
    </row>
    <row r="15" spans="2:16">
      <c r="B15" s="1180" t="s">
        <v>1140</v>
      </c>
      <c r="C15" s="1177" t="s">
        <v>1141</v>
      </c>
      <c r="D15" s="1178">
        <v>0</v>
      </c>
      <c r="E15" s="1178">
        <v>0</v>
      </c>
      <c r="F15" s="1178">
        <v>20</v>
      </c>
      <c r="G15" s="1179">
        <f>SUM(D15:F15)</f>
        <v>20</v>
      </c>
      <c r="H15" s="1306" t="s">
        <v>34</v>
      </c>
      <c r="I15" s="1175"/>
      <c r="J15" s="1180" t="s">
        <v>1140</v>
      </c>
      <c r="K15" s="1177" t="s">
        <v>1141</v>
      </c>
      <c r="L15" s="1178">
        <v>0</v>
      </c>
      <c r="M15" s="1178">
        <v>0</v>
      </c>
      <c r="N15" s="1178">
        <v>22</v>
      </c>
      <c r="O15" s="1179">
        <f t="shared" si="0"/>
        <v>22</v>
      </c>
      <c r="P15" s="1306" t="s">
        <v>34</v>
      </c>
    </row>
    <row r="16" spans="2:16">
      <c r="B16" s="522" t="s">
        <v>1142</v>
      </c>
      <c r="C16" s="1177" t="s">
        <v>1143</v>
      </c>
      <c r="D16" s="1178">
        <v>0</v>
      </c>
      <c r="E16" s="1178">
        <v>0</v>
      </c>
      <c r="F16" s="1178">
        <v>13</v>
      </c>
      <c r="G16" s="1179">
        <f>SUM(D16:F16)</f>
        <v>13</v>
      </c>
      <c r="H16" s="1306" t="s">
        <v>34</v>
      </c>
      <c r="I16" s="1175"/>
      <c r="J16" s="522" t="s">
        <v>1142</v>
      </c>
      <c r="K16" s="1177" t="s">
        <v>1143</v>
      </c>
      <c r="L16" s="1178">
        <v>0</v>
      </c>
      <c r="M16" s="1178">
        <v>0</v>
      </c>
      <c r="N16" s="1178">
        <v>19</v>
      </c>
      <c r="O16" s="1179">
        <f t="shared" si="0"/>
        <v>19</v>
      </c>
      <c r="P16" s="1306" t="s">
        <v>34</v>
      </c>
    </row>
    <row r="17" spans="2:16">
      <c r="B17" s="1181" t="s">
        <v>1144</v>
      </c>
      <c r="C17" s="1182" t="s">
        <v>1112</v>
      </c>
      <c r="D17" s="1183">
        <v>0</v>
      </c>
      <c r="E17" s="1183">
        <v>0</v>
      </c>
      <c r="F17" s="1183">
        <v>0</v>
      </c>
      <c r="G17" s="1184">
        <f>SUM(D17:F17)</f>
        <v>0</v>
      </c>
      <c r="H17" s="1306" t="s">
        <v>34</v>
      </c>
      <c r="I17" s="1175"/>
      <c r="J17" s="1181" t="s">
        <v>1144</v>
      </c>
      <c r="K17" s="1182" t="s">
        <v>1112</v>
      </c>
      <c r="L17" s="1183">
        <v>0</v>
      </c>
      <c r="M17" s="1183">
        <v>0</v>
      </c>
      <c r="N17" s="1183">
        <v>0</v>
      </c>
      <c r="O17" s="1184">
        <f t="shared" ref="O17" si="2">SUM(L17:N17)</f>
        <v>0</v>
      </c>
      <c r="P17" s="1306" t="s">
        <v>34</v>
      </c>
    </row>
    <row r="18" spans="2:16" ht="12.95">
      <c r="B18" s="523" t="s">
        <v>1145</v>
      </c>
      <c r="C18" s="1185" t="s">
        <v>1146</v>
      </c>
      <c r="D18" s="1186">
        <v>0</v>
      </c>
      <c r="E18" s="1186">
        <v>1</v>
      </c>
      <c r="F18" s="1186">
        <v>11</v>
      </c>
      <c r="G18" s="1187">
        <f>SUM(D18:F18)</f>
        <v>12</v>
      </c>
      <c r="H18" s="1307" t="s">
        <v>34</v>
      </c>
      <c r="I18" s="1175"/>
      <c r="J18" s="523" t="s">
        <v>1145</v>
      </c>
      <c r="K18" s="1188" t="s">
        <v>1146</v>
      </c>
      <c r="L18" s="1186">
        <v>0</v>
      </c>
      <c r="M18" s="1186">
        <v>0</v>
      </c>
      <c r="N18" s="1186">
        <v>10</v>
      </c>
      <c r="O18" s="1187">
        <f>SUM(L18:N18)</f>
        <v>10</v>
      </c>
      <c r="P18" s="1307" t="s">
        <v>34</v>
      </c>
    </row>
    <row r="19" spans="2:16">
      <c r="B19" s="1175"/>
      <c r="H19" s="1175"/>
      <c r="I19" s="1175"/>
      <c r="J19" s="1175"/>
      <c r="P19" s="1175"/>
    </row>
    <row r="20" spans="2:16" s="986" customFormat="1" ht="26.45" thickBot="1">
      <c r="B20" s="1170"/>
      <c r="C20" s="1160"/>
      <c r="D20" s="1161" t="s">
        <v>1126</v>
      </c>
      <c r="E20" s="1162" t="s">
        <v>1127</v>
      </c>
      <c r="F20" s="1163" t="s">
        <v>1128</v>
      </c>
      <c r="G20" s="1164" t="s">
        <v>1012</v>
      </c>
      <c r="H20" s="1170"/>
      <c r="I20" s="1170"/>
      <c r="J20" s="1170"/>
      <c r="K20" s="1160"/>
      <c r="L20" s="1161" t="s">
        <v>1126</v>
      </c>
      <c r="M20" s="1162" t="s">
        <v>1127</v>
      </c>
      <c r="N20" s="1163" t="s">
        <v>1128</v>
      </c>
      <c r="O20" s="1164" t="s">
        <v>1012</v>
      </c>
      <c r="P20" s="1170"/>
    </row>
    <row r="21" spans="2:16" s="986" customFormat="1" ht="38.1" thickBot="1">
      <c r="B21" s="1165"/>
      <c r="C21" s="1166" t="s">
        <v>1147</v>
      </c>
      <c r="D21" s="1189" t="s">
        <v>1130</v>
      </c>
      <c r="E21" s="1189" t="s">
        <v>1130</v>
      </c>
      <c r="F21" s="1189" t="s">
        <v>1130</v>
      </c>
      <c r="G21" s="1190" t="s">
        <v>1131</v>
      </c>
      <c r="H21" s="1169" t="s">
        <v>11</v>
      </c>
      <c r="I21" s="1170"/>
      <c r="J21" s="1165"/>
      <c r="K21" s="1166" t="s">
        <v>1147</v>
      </c>
      <c r="L21" s="1189" t="s">
        <v>1130</v>
      </c>
      <c r="M21" s="1189" t="s">
        <v>1130</v>
      </c>
      <c r="N21" s="1189" t="s">
        <v>1130</v>
      </c>
      <c r="O21" s="1190" t="s">
        <v>1131</v>
      </c>
      <c r="P21" s="1169" t="s">
        <v>11</v>
      </c>
    </row>
    <row r="22" spans="2:16">
      <c r="B22" s="1191" t="s">
        <v>1148</v>
      </c>
      <c r="C22" s="1172" t="s">
        <v>1024</v>
      </c>
      <c r="D22" s="1173">
        <v>0</v>
      </c>
      <c r="E22" s="1173">
        <v>0</v>
      </c>
      <c r="F22" s="1173">
        <v>5</v>
      </c>
      <c r="G22" s="1192">
        <f>SUM(D22:F22)</f>
        <v>5</v>
      </c>
      <c r="H22" s="1308" t="s">
        <v>34</v>
      </c>
      <c r="I22" s="1175"/>
      <c r="J22" s="1191" t="s">
        <v>1148</v>
      </c>
      <c r="K22" s="1176" t="s">
        <v>1024</v>
      </c>
      <c r="L22" s="1173">
        <v>0</v>
      </c>
      <c r="M22" s="1173">
        <v>0</v>
      </c>
      <c r="N22" s="1173">
        <v>4</v>
      </c>
      <c r="O22" s="1192">
        <f>SUM(L22:N22)</f>
        <v>4</v>
      </c>
      <c r="P22" s="1308" t="s">
        <v>34</v>
      </c>
    </row>
    <row r="23" spans="2:16">
      <c r="B23" s="1193" t="s">
        <v>1149</v>
      </c>
      <c r="C23" s="1177" t="s">
        <v>1150</v>
      </c>
      <c r="D23" s="1178">
        <v>0</v>
      </c>
      <c r="E23" s="1178">
        <v>0</v>
      </c>
      <c r="F23" s="1178">
        <v>11</v>
      </c>
      <c r="G23" s="1194">
        <f>SUM(D23:F23)</f>
        <v>11</v>
      </c>
      <c r="H23" s="1306" t="s">
        <v>34</v>
      </c>
      <c r="I23" s="1175"/>
      <c r="J23" s="1193" t="s">
        <v>1149</v>
      </c>
      <c r="K23" s="1177" t="s">
        <v>1150</v>
      </c>
      <c r="L23" s="1178">
        <v>0</v>
      </c>
      <c r="M23" s="1178">
        <v>0</v>
      </c>
      <c r="N23" s="1178">
        <v>9</v>
      </c>
      <c r="O23" s="1194">
        <f>SUM(L23:N23)</f>
        <v>9</v>
      </c>
      <c r="P23" s="1306" t="s">
        <v>34</v>
      </c>
    </row>
    <row r="24" spans="2:16">
      <c r="B24" s="1195" t="s">
        <v>1151</v>
      </c>
      <c r="C24" s="1182" t="s">
        <v>1152</v>
      </c>
      <c r="D24" s="1183">
        <v>0</v>
      </c>
      <c r="E24" s="1183">
        <v>0</v>
      </c>
      <c r="F24" s="1183">
        <v>0</v>
      </c>
      <c r="G24" s="1196">
        <f>SUM(D24:F24)</f>
        <v>0</v>
      </c>
      <c r="H24" s="1306" t="s">
        <v>34</v>
      </c>
      <c r="I24" s="1175"/>
      <c r="J24" s="1195" t="s">
        <v>1151</v>
      </c>
      <c r="K24" s="1182" t="s">
        <v>1152</v>
      </c>
      <c r="L24" s="1183">
        <v>0</v>
      </c>
      <c r="M24" s="1183">
        <v>0</v>
      </c>
      <c r="N24" s="1183">
        <v>0</v>
      </c>
      <c r="O24" s="1196">
        <f>SUM(L24:N24)</f>
        <v>0</v>
      </c>
      <c r="P24" s="1306" t="s">
        <v>34</v>
      </c>
    </row>
    <row r="25" spans="2:16" ht="12.95">
      <c r="B25" s="1197" t="s">
        <v>1153</v>
      </c>
      <c r="C25" s="1185" t="s">
        <v>1146</v>
      </c>
      <c r="D25" s="1186">
        <v>0</v>
      </c>
      <c r="E25" s="1186">
        <v>0</v>
      </c>
      <c r="F25" s="1186">
        <v>0</v>
      </c>
      <c r="G25" s="1198">
        <f>SUM(D25:F25)</f>
        <v>0</v>
      </c>
      <c r="H25" s="1307" t="s">
        <v>34</v>
      </c>
      <c r="I25" s="1175"/>
      <c r="J25" s="1197" t="s">
        <v>1153</v>
      </c>
      <c r="K25" s="1185" t="s">
        <v>1146</v>
      </c>
      <c r="L25" s="1186">
        <v>0</v>
      </c>
      <c r="M25" s="1186">
        <v>0</v>
      </c>
      <c r="N25" s="1186">
        <v>0</v>
      </c>
      <c r="O25" s="1198">
        <f>SUM(L25:N25)</f>
        <v>0</v>
      </c>
      <c r="P25" s="1307" t="s">
        <v>34</v>
      </c>
    </row>
    <row r="26" spans="2:16" ht="12.95">
      <c r="B26" s="1175"/>
      <c r="C26" s="1199"/>
      <c r="D26" s="616"/>
      <c r="E26" s="616"/>
      <c r="F26" s="616"/>
      <c r="G26" s="616"/>
      <c r="H26" s="616"/>
      <c r="I26" s="1175"/>
      <c r="J26" s="1175"/>
      <c r="K26" s="1199"/>
      <c r="L26" s="616"/>
      <c r="M26" s="616"/>
      <c r="N26" s="616"/>
      <c r="O26" s="616"/>
      <c r="P26" s="616"/>
    </row>
    <row r="27" spans="2:16" ht="12.95" thickBot="1">
      <c r="C27" s="519"/>
      <c r="D27" s="519"/>
      <c r="E27" s="519"/>
      <c r="G27" s="1200" t="s">
        <v>11</v>
      </c>
      <c r="H27" s="1175"/>
      <c r="I27" s="1175"/>
      <c r="K27" s="519"/>
      <c r="L27" s="519"/>
      <c r="M27" s="519"/>
      <c r="O27" s="1200" t="s">
        <v>11</v>
      </c>
      <c r="P27" s="1175"/>
    </row>
    <row r="28" spans="2:16" ht="25.5" thickBot="1">
      <c r="B28" s="1201" t="s">
        <v>1154</v>
      </c>
      <c r="C28" s="1202" t="s">
        <v>1155</v>
      </c>
      <c r="D28" s="1299">
        <f>SUM(D11+D12+D13+D14+D15+D16+D17+D22+D23+D24)</f>
        <v>4</v>
      </c>
      <c r="E28" s="1299">
        <f>SUM(E11+E12+E13+E14+E15+E16+E17+E22+E23+E24)</f>
        <v>6</v>
      </c>
      <c r="F28" s="1300">
        <f>SUM(F11+F12+F13+F14+F15+F16+F17+F22+F23+F24)</f>
        <v>178</v>
      </c>
      <c r="G28" s="1301" t="s">
        <v>34</v>
      </c>
      <c r="H28" s="1175"/>
      <c r="I28" s="1175"/>
      <c r="J28" s="1201" t="s">
        <v>1154</v>
      </c>
      <c r="K28" s="1203" t="s">
        <v>1155</v>
      </c>
      <c r="L28" s="1299">
        <f>SUM(L11+L12+L13+L14+L15+L16+L17+L22+L23+L24)</f>
        <v>4</v>
      </c>
      <c r="M28" s="1299">
        <f>SUM(M11+M12+M13+M14+M15+M16+M17+M22+M23+M24)</f>
        <v>7</v>
      </c>
      <c r="N28" s="1300">
        <f>SUM(N11+N12+N13+N14+N15+N16+N17+N22+N23+N24)</f>
        <v>185</v>
      </c>
      <c r="O28" s="1301" t="s">
        <v>34</v>
      </c>
      <c r="P28" s="1175"/>
    </row>
    <row r="29" spans="2:16" ht="24.75" customHeight="1" thickBot="1">
      <c r="B29" s="1204" t="s">
        <v>1156</v>
      </c>
      <c r="C29" s="1205" t="s">
        <v>1157</v>
      </c>
      <c r="D29" s="1302">
        <f>SUM(D18+D25)</f>
        <v>0</v>
      </c>
      <c r="E29" s="1302">
        <f>SUM(E18+E25)</f>
        <v>1</v>
      </c>
      <c r="F29" s="1303">
        <f>SUM(F18+F25)</f>
        <v>11</v>
      </c>
      <c r="G29" s="1304" t="s">
        <v>34</v>
      </c>
      <c r="H29" s="1175"/>
      <c r="I29" s="1175"/>
      <c r="J29" s="1204" t="s">
        <v>1156</v>
      </c>
      <c r="K29" s="1205" t="s">
        <v>1157</v>
      </c>
      <c r="L29" s="1302">
        <f>SUM(L18+L25)</f>
        <v>0</v>
      </c>
      <c r="M29" s="1302">
        <f>SUM(M18+M25)</f>
        <v>0</v>
      </c>
      <c r="N29" s="1303">
        <f>SUM(N18+N25)</f>
        <v>10</v>
      </c>
      <c r="O29" s="1304" t="s">
        <v>34</v>
      </c>
      <c r="P29" s="1175"/>
    </row>
    <row r="30" spans="2:16" ht="12.95" thickBot="1">
      <c r="G30" s="519"/>
      <c r="H30" s="1175"/>
      <c r="I30" s="1175"/>
      <c r="O30" s="519"/>
      <c r="P30" s="1175"/>
    </row>
    <row r="31" spans="2:16" ht="12.95" thickBot="1">
      <c r="E31" s="1200" t="s">
        <v>11</v>
      </c>
      <c r="G31" s="519"/>
      <c r="H31" s="1175"/>
      <c r="I31" s="1175"/>
      <c r="M31" s="1200" t="s">
        <v>11</v>
      </c>
      <c r="O31" s="519"/>
      <c r="P31" s="1175"/>
    </row>
    <row r="32" spans="2:16" ht="12.95" thickBot="1">
      <c r="B32" s="1206" t="s">
        <v>1158</v>
      </c>
      <c r="C32" s="1207" t="s">
        <v>1159</v>
      </c>
      <c r="D32" s="1309">
        <f>SUM(D28:F28)</f>
        <v>188</v>
      </c>
      <c r="E32" s="1310" t="s">
        <v>34</v>
      </c>
      <c r="F32" s="1175"/>
      <c r="G32" s="1175"/>
      <c r="H32" s="1175"/>
      <c r="I32" s="1175"/>
      <c r="J32" s="1206" t="s">
        <v>1158</v>
      </c>
      <c r="K32" s="1208" t="s">
        <v>1159</v>
      </c>
      <c r="L32" s="1309">
        <f>SUM(L28:N28)</f>
        <v>196</v>
      </c>
      <c r="M32" s="1310" t="s">
        <v>34</v>
      </c>
      <c r="N32" s="1175"/>
      <c r="O32" s="1175"/>
      <c r="P32" s="1175"/>
    </row>
    <row r="33" spans="2:16" ht="12.95" thickBot="1">
      <c r="B33" s="1209" t="s">
        <v>1160</v>
      </c>
      <c r="C33" s="1207" t="s">
        <v>1161</v>
      </c>
      <c r="D33" s="1311">
        <f>SUM(D29:F29)</f>
        <v>12</v>
      </c>
      <c r="E33" s="1312" t="s">
        <v>34</v>
      </c>
      <c r="F33" s="1175"/>
      <c r="G33" s="1175"/>
      <c r="H33" s="1175"/>
      <c r="I33" s="1175"/>
      <c r="J33" s="1209" t="s">
        <v>1160</v>
      </c>
      <c r="K33" s="1208" t="s">
        <v>1161</v>
      </c>
      <c r="L33" s="1311">
        <f>SUM(L29:N29)</f>
        <v>10</v>
      </c>
      <c r="M33" s="1312" t="s">
        <v>34</v>
      </c>
      <c r="N33" s="1175"/>
      <c r="O33" s="1175"/>
      <c r="P33" s="1175"/>
    </row>
    <row r="34" spans="2:16" ht="12.95" thickBot="1">
      <c r="B34" s="1210" t="s">
        <v>1162</v>
      </c>
      <c r="C34" s="1211" t="s">
        <v>1163</v>
      </c>
      <c r="D34" s="1313">
        <v>64</v>
      </c>
      <c r="E34" s="1314" t="s">
        <v>34</v>
      </c>
      <c r="F34" s="1175"/>
      <c r="G34" s="1175"/>
      <c r="H34" s="1175"/>
      <c r="I34" s="1175"/>
      <c r="J34" s="1210" t="s">
        <v>1162</v>
      </c>
      <c r="K34" s="1212" t="s">
        <v>1163</v>
      </c>
      <c r="L34" s="1313">
        <v>67</v>
      </c>
      <c r="M34" s="1314" t="s">
        <v>34</v>
      </c>
      <c r="N34" s="1175"/>
      <c r="O34" s="1175"/>
      <c r="P34" s="1175"/>
    </row>
    <row r="35" spans="2:16">
      <c r="C35" s="1213"/>
      <c r="D35" s="1214"/>
      <c r="F35" s="1213"/>
      <c r="G35" s="1213"/>
      <c r="H35" s="1175"/>
      <c r="I35" s="1175"/>
      <c r="P35" s="1175"/>
    </row>
    <row r="36" spans="2:16" ht="12.95">
      <c r="B36" s="516" t="s">
        <v>1119</v>
      </c>
      <c r="C36" s="1213"/>
      <c r="D36" s="1214"/>
      <c r="F36" s="1213"/>
      <c r="G36" s="1213"/>
      <c r="H36" s="1175"/>
      <c r="I36" s="1175"/>
      <c r="J36" s="524" t="s">
        <v>1119</v>
      </c>
      <c r="K36" s="1213"/>
      <c r="L36" s="1214"/>
      <c r="N36" s="1213"/>
      <c r="O36" s="1175"/>
      <c r="P36" s="1175"/>
    </row>
    <row r="37" spans="2:16" ht="45.75" customHeight="1">
      <c r="B37" s="1215"/>
      <c r="C37" s="1394" t="s">
        <v>1164</v>
      </c>
      <c r="D37" s="1216"/>
      <c r="E37" s="1217"/>
      <c r="F37" s="1218"/>
      <c r="J37" s="1219"/>
      <c r="K37" s="1397" t="s">
        <v>1165</v>
      </c>
      <c r="L37" s="532"/>
      <c r="M37" s="532"/>
      <c r="N37" s="1220"/>
    </row>
    <row r="38" spans="2:16">
      <c r="B38" s="1221"/>
      <c r="C38" s="1395"/>
      <c r="D38" s="1267" t="s">
        <v>1166</v>
      </c>
      <c r="E38" s="1222"/>
      <c r="F38" s="1223"/>
      <c r="J38" s="1224"/>
      <c r="K38" s="1395"/>
      <c r="L38" s="1267" t="s">
        <v>1166</v>
      </c>
      <c r="M38" s="1222"/>
      <c r="N38" s="1225"/>
    </row>
    <row r="39" spans="2:16">
      <c r="B39" s="1221"/>
      <c r="C39" s="1395"/>
      <c r="D39" s="1222" t="s">
        <v>1167</v>
      </c>
      <c r="E39" s="1222"/>
      <c r="F39" s="1223"/>
      <c r="J39" s="1224"/>
      <c r="K39" s="1395"/>
      <c r="L39" s="1222" t="s">
        <v>1167</v>
      </c>
      <c r="M39" s="1222"/>
      <c r="N39" s="1225"/>
    </row>
    <row r="40" spans="2:16" ht="13.5" customHeight="1">
      <c r="B40" s="1226"/>
      <c r="C40" s="1396"/>
      <c r="D40" s="1227"/>
      <c r="E40" s="1227"/>
      <c r="F40" s="1228"/>
      <c r="J40" s="1229"/>
      <c r="K40" s="1396"/>
      <c r="L40" s="1230"/>
      <c r="M40" s="1230"/>
      <c r="N40" s="1231"/>
    </row>
    <row r="41" spans="2:16">
      <c r="J41" s="532"/>
    </row>
    <row r="42" spans="2:16">
      <c r="B42" s="1232"/>
      <c r="C42" s="1233"/>
      <c r="D42" s="532"/>
      <c r="E42" s="532"/>
      <c r="F42" s="1220"/>
      <c r="J42" s="1232"/>
      <c r="K42" s="1233"/>
      <c r="L42" s="532"/>
      <c r="M42" s="532"/>
      <c r="N42" s="1220"/>
    </row>
    <row r="43" spans="2:16">
      <c r="B43" s="208" t="s">
        <v>523</v>
      </c>
      <c r="C43" s="193"/>
      <c r="E43" s="207" t="s">
        <v>40</v>
      </c>
      <c r="F43" s="1234"/>
      <c r="J43" s="208" t="s">
        <v>523</v>
      </c>
      <c r="K43" s="193"/>
      <c r="M43" s="207" t="s">
        <v>40</v>
      </c>
      <c r="N43" s="1234"/>
    </row>
    <row r="44" spans="2:16" ht="12.95" thickBot="1">
      <c r="B44" s="1235"/>
      <c r="C44" s="1236"/>
      <c r="D44" s="1236"/>
      <c r="E44" s="1236"/>
      <c r="F44" s="1237"/>
      <c r="J44" s="1235"/>
      <c r="K44" s="1236"/>
      <c r="L44" s="1236"/>
      <c r="M44" s="1236"/>
      <c r="N44" s="1237"/>
    </row>
  </sheetData>
  <mergeCells count="4">
    <mergeCell ref="C37:C40"/>
    <mergeCell ref="K37:K40"/>
    <mergeCell ref="B7:H7"/>
    <mergeCell ref="J7:P7"/>
  </mergeCells>
  <pageMargins left="0.74803149606299213" right="0.74803149606299213" top="0.98425196850393704" bottom="0.98425196850393704" header="0.51181102362204722" footer="0.51181102362204722"/>
  <pageSetup paperSize="8" scale="80" orientation="landscape" r:id="rId1"/>
  <headerFooter alignWithMargins="0">
    <oddHeader>&amp;C&amp;"Calibri"&amp;10&amp;K0000FF OFFICIAL – BUSINESS&amp;1#_x000D_</oddHeader>
    <oddFooter>&amp;C_x000D_&amp;1#&amp;"Calibri"&amp;10&amp;K0000FF OFFICIAL – BUSINESS&amp;RDate: May 2013
Revision: 16.0
&amp;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CD8A5-A6AE-40E5-82E2-C0A044C50F4C}">
  <sheetPr>
    <pageSetUpPr fitToPage="1"/>
  </sheetPr>
  <dimension ref="A1:W83"/>
  <sheetViews>
    <sheetView zoomScaleNormal="100" zoomScalePageLayoutView="70" workbookViewId="0">
      <selection sqref="A1:XFD1048576"/>
    </sheetView>
  </sheetViews>
  <sheetFormatPr defaultColWidth="9.42578125" defaultRowHeight="12.6"/>
  <cols>
    <col min="1" max="1" width="7.42578125" style="77" customWidth="1"/>
    <col min="2" max="2" width="67.42578125" style="77" bestFit="1" customWidth="1"/>
    <col min="3" max="3" width="9.42578125" style="182" customWidth="1"/>
    <col min="4" max="5" width="13.42578125" style="77" customWidth="1"/>
    <col min="6" max="6" width="6.5703125" style="77" customWidth="1"/>
    <col min="7" max="7" width="11.42578125" style="77" customWidth="1"/>
    <col min="8" max="8" width="5.5703125" style="77" customWidth="1"/>
    <col min="9" max="9" width="4.42578125" style="77" customWidth="1"/>
    <col min="10" max="10" width="11.42578125" style="77" customWidth="1"/>
    <col min="11" max="11" width="5.5703125" style="77" customWidth="1"/>
    <col min="12" max="12" width="9.42578125" style="740" customWidth="1"/>
    <col min="13" max="19" width="9.42578125" style="77" customWidth="1"/>
    <col min="20" max="16384" width="9.42578125" style="77"/>
  </cols>
  <sheetData>
    <row r="1" spans="1:23" s="829" customFormat="1" ht="20.100000000000001">
      <c r="A1" s="49" t="s">
        <v>0</v>
      </c>
      <c r="B1" s="49"/>
      <c r="C1" s="827"/>
      <c r="D1" s="49"/>
      <c r="E1" s="49"/>
      <c r="F1" s="18"/>
      <c r="G1" s="18"/>
      <c r="H1" s="18"/>
      <c r="I1" s="77"/>
      <c r="J1" s="77"/>
      <c r="K1" s="18"/>
      <c r="L1" s="828"/>
      <c r="N1" s="77"/>
    </row>
    <row r="2" spans="1:23" s="829" customFormat="1" ht="20.100000000000001">
      <c r="A2" s="18"/>
      <c r="B2" s="18"/>
      <c r="C2" s="181"/>
      <c r="D2" s="18"/>
      <c r="E2" s="18"/>
      <c r="F2" s="18"/>
      <c r="G2" s="18"/>
      <c r="H2" s="18"/>
      <c r="I2" s="77"/>
      <c r="J2" s="77"/>
      <c r="K2" s="18"/>
      <c r="L2" s="828"/>
      <c r="N2" s="77"/>
    </row>
    <row r="3" spans="1:23" s="829" customFormat="1" ht="20.100000000000001">
      <c r="A3" s="238" t="str">
        <f>"ANNUAL RETURN INFORMATION REQUIREMENTS "&amp;_reportyear</f>
        <v>ANNUAL RETURN INFORMATION REQUIREMENTS 2023-24</v>
      </c>
      <c r="B3" s="19"/>
      <c r="C3" s="830"/>
      <c r="D3" s="19"/>
      <c r="E3" s="19"/>
      <c r="F3" s="21"/>
      <c r="G3" s="21"/>
      <c r="H3" s="21"/>
      <c r="I3" s="755"/>
      <c r="J3" s="755"/>
      <c r="K3" s="21"/>
      <c r="L3" s="831"/>
      <c r="N3" s="77"/>
    </row>
    <row r="4" spans="1:23" ht="15.6">
      <c r="A4" s="22"/>
      <c r="B4" s="32"/>
      <c r="C4" s="832"/>
      <c r="D4" s="32"/>
      <c r="E4" s="32"/>
      <c r="F4" s="1"/>
      <c r="G4" s="1"/>
      <c r="H4" s="1"/>
      <c r="K4" s="1"/>
      <c r="L4" s="41"/>
    </row>
    <row r="5" spans="1:23" ht="15.95" thickBot="1">
      <c r="A5" s="22"/>
      <c r="B5" s="32"/>
      <c r="C5" s="832"/>
      <c r="D5" s="32"/>
      <c r="E5" s="32"/>
      <c r="F5" s="1"/>
      <c r="G5" s="1"/>
      <c r="H5" s="1"/>
      <c r="K5" s="1"/>
      <c r="L5" s="41"/>
    </row>
    <row r="6" spans="1:23" ht="20.100000000000001">
      <c r="A6" s="51" t="s">
        <v>1</v>
      </c>
      <c r="B6" s="24"/>
      <c r="H6" s="1"/>
      <c r="K6" s="1"/>
      <c r="L6" s="41"/>
    </row>
    <row r="7" spans="1:23" ht="20.45" thickBot="1">
      <c r="A7" s="25" t="s">
        <v>44</v>
      </c>
      <c r="B7" s="26"/>
      <c r="C7" s="833"/>
      <c r="E7" s="62"/>
      <c r="H7" s="1"/>
      <c r="K7" s="1"/>
      <c r="L7" s="41"/>
    </row>
    <row r="8" spans="1:23">
      <c r="A8" s="1"/>
      <c r="B8" s="1"/>
      <c r="C8" s="61"/>
      <c r="D8" s="1"/>
      <c r="E8" s="1"/>
      <c r="F8" s="1"/>
      <c r="G8" s="1"/>
      <c r="H8" s="1"/>
      <c r="K8" s="1"/>
      <c r="L8" s="41"/>
    </row>
    <row r="9" spans="1:23" ht="12.95" thickBot="1">
      <c r="A9" s="1"/>
      <c r="B9" s="1"/>
      <c r="C9" s="61"/>
      <c r="D9" s="1"/>
      <c r="E9" s="1"/>
      <c r="F9" s="1"/>
      <c r="G9" s="1"/>
      <c r="H9" s="1"/>
      <c r="K9" s="1"/>
      <c r="L9" s="77"/>
    </row>
    <row r="10" spans="1:23" ht="15.6" customHeight="1">
      <c r="A10" s="28" t="s">
        <v>3</v>
      </c>
      <c r="B10" s="29" t="s">
        <v>4</v>
      </c>
      <c r="C10" s="229" t="s">
        <v>45</v>
      </c>
      <c r="D10" s="30" t="s">
        <v>5</v>
      </c>
      <c r="E10" s="31" t="s">
        <v>6</v>
      </c>
      <c r="F10" s="32"/>
      <c r="G10" s="1323" t="s">
        <v>7</v>
      </c>
      <c r="H10" s="1324"/>
      <c r="I10" s="797"/>
      <c r="J10" s="1323" t="s">
        <v>8</v>
      </c>
      <c r="K10" s="1324"/>
      <c r="L10" s="77"/>
    </row>
    <row r="11" spans="1:23" ht="15.6">
      <c r="A11" s="33" t="s">
        <v>9</v>
      </c>
      <c r="B11" s="34"/>
      <c r="C11" s="225" t="s">
        <v>9</v>
      </c>
      <c r="D11" s="35"/>
      <c r="E11" s="36" t="s">
        <v>10</v>
      </c>
      <c r="F11" s="32"/>
      <c r="G11" s="1325"/>
      <c r="H11" s="1326"/>
      <c r="I11" s="797"/>
      <c r="J11" s="1325"/>
      <c r="K11" s="1326"/>
      <c r="L11" s="77"/>
    </row>
    <row r="12" spans="1:23" ht="25.35" customHeight="1" thickBot="1">
      <c r="A12" s="37"/>
      <c r="B12" s="38"/>
      <c r="C12" s="220"/>
      <c r="D12" s="39"/>
      <c r="E12" s="40"/>
      <c r="F12" s="32"/>
      <c r="G12" s="48" t="str">
        <f>_reportyear</f>
        <v>2023-24</v>
      </c>
      <c r="H12" s="793" t="s">
        <v>11</v>
      </c>
      <c r="I12" s="193"/>
      <c r="J12" s="48" t="str">
        <f>_reportyearplus1</f>
        <v>2024-25</v>
      </c>
      <c r="K12" s="793" t="s">
        <v>11</v>
      </c>
      <c r="L12" s="77"/>
    </row>
    <row r="13" spans="1:23" ht="12.95" thickBot="1">
      <c r="A13" s="1"/>
      <c r="B13" s="41"/>
      <c r="C13" s="61"/>
      <c r="D13" s="1"/>
      <c r="E13" s="1"/>
      <c r="F13" s="1"/>
      <c r="I13" s="1"/>
      <c r="J13" s="41"/>
      <c r="K13" s="41"/>
      <c r="L13" s="77"/>
    </row>
    <row r="14" spans="1:23" s="42" customFormat="1" ht="15.95" thickBot="1">
      <c r="A14" s="320"/>
      <c r="B14" s="321" t="s">
        <v>46</v>
      </c>
      <c r="C14" s="834"/>
      <c r="D14" s="322"/>
      <c r="E14" s="323"/>
      <c r="F14" s="2"/>
      <c r="G14" s="77"/>
      <c r="H14" s="77"/>
      <c r="I14" s="1"/>
      <c r="J14" s="835"/>
      <c r="K14" s="835"/>
      <c r="N14" s="77"/>
      <c r="O14" s="77"/>
      <c r="P14" s="77"/>
      <c r="Q14" s="77"/>
      <c r="R14" s="77"/>
      <c r="W14" s="77"/>
    </row>
    <row r="15" spans="1:23" ht="15.6">
      <c r="A15" s="858" t="s">
        <v>47</v>
      </c>
      <c r="B15" s="113" t="s">
        <v>48</v>
      </c>
      <c r="C15" s="836" t="s">
        <v>49</v>
      </c>
      <c r="D15" s="836" t="s">
        <v>21</v>
      </c>
      <c r="E15" s="120" t="s">
        <v>50</v>
      </c>
      <c r="F15" s="1"/>
      <c r="G15" s="975">
        <v>2809285</v>
      </c>
      <c r="H15" s="1278" t="s">
        <v>18</v>
      </c>
      <c r="I15" s="2"/>
      <c r="J15" s="975">
        <v>2829800</v>
      </c>
      <c r="K15" s="1278" t="s">
        <v>18</v>
      </c>
    </row>
    <row r="16" spans="1:23">
      <c r="A16" s="170" t="s">
        <v>51</v>
      </c>
      <c r="B16" s="65" t="s">
        <v>52</v>
      </c>
      <c r="C16" s="837" t="s">
        <v>53</v>
      </c>
      <c r="D16" s="837" t="s">
        <v>21</v>
      </c>
      <c r="E16" s="66" t="s">
        <v>16</v>
      </c>
      <c r="F16" s="1"/>
      <c r="G16" s="838">
        <v>224</v>
      </c>
      <c r="H16" s="1279" t="s">
        <v>17</v>
      </c>
      <c r="J16" s="838">
        <v>200</v>
      </c>
      <c r="K16" s="1279" t="s">
        <v>54</v>
      </c>
      <c r="L16" s="77"/>
    </row>
    <row r="17" spans="1:12">
      <c r="A17" s="170" t="s">
        <v>55</v>
      </c>
      <c r="B17" s="784" t="s">
        <v>56</v>
      </c>
      <c r="C17" s="115" t="s">
        <v>55</v>
      </c>
      <c r="D17" s="115" t="s">
        <v>21</v>
      </c>
      <c r="E17" s="66" t="s">
        <v>16</v>
      </c>
      <c r="F17" s="1"/>
      <c r="G17" s="99">
        <v>0</v>
      </c>
      <c r="H17" s="1279" t="s">
        <v>17</v>
      </c>
      <c r="J17" s="99">
        <v>6</v>
      </c>
      <c r="K17" s="1279" t="s">
        <v>54</v>
      </c>
      <c r="L17" s="77"/>
    </row>
    <row r="18" spans="1:12">
      <c r="A18" s="170" t="s">
        <v>57</v>
      </c>
      <c r="B18" s="762" t="s">
        <v>58</v>
      </c>
      <c r="C18" s="115" t="s">
        <v>57</v>
      </c>
      <c r="D18" s="115" t="s">
        <v>21</v>
      </c>
      <c r="E18" s="66" t="s">
        <v>16</v>
      </c>
      <c r="F18" s="61"/>
      <c r="G18" s="100">
        <v>6</v>
      </c>
      <c r="H18" s="1279" t="s">
        <v>17</v>
      </c>
      <c r="J18" s="100">
        <v>1</v>
      </c>
      <c r="K18" s="1279" t="s">
        <v>54</v>
      </c>
      <c r="L18" s="77"/>
    </row>
    <row r="19" spans="1:12">
      <c r="A19" s="170" t="s">
        <v>59</v>
      </c>
      <c r="B19" s="785" t="s">
        <v>60</v>
      </c>
      <c r="C19" s="115" t="s">
        <v>59</v>
      </c>
      <c r="D19" s="115" t="s">
        <v>21</v>
      </c>
      <c r="E19" s="66" t="s">
        <v>16</v>
      </c>
      <c r="F19" s="1"/>
      <c r="G19" s="100">
        <v>0</v>
      </c>
      <c r="H19" s="1279" t="s">
        <v>17</v>
      </c>
      <c r="J19" s="100">
        <v>0</v>
      </c>
      <c r="K19" s="1279" t="s">
        <v>54</v>
      </c>
      <c r="L19" s="77"/>
    </row>
    <row r="20" spans="1:12">
      <c r="A20" s="170" t="s">
        <v>61</v>
      </c>
      <c r="B20" s="763" t="s">
        <v>62</v>
      </c>
      <c r="C20" s="115" t="s">
        <v>61</v>
      </c>
      <c r="D20" s="115" t="s">
        <v>21</v>
      </c>
      <c r="E20" s="66" t="s">
        <v>16</v>
      </c>
      <c r="F20" s="1"/>
      <c r="G20" s="100">
        <v>0</v>
      </c>
      <c r="H20" s="1279" t="s">
        <v>17</v>
      </c>
      <c r="J20" s="100">
        <v>0</v>
      </c>
      <c r="K20" s="1279" t="s">
        <v>54</v>
      </c>
      <c r="L20" s="77"/>
    </row>
    <row r="21" spans="1:12">
      <c r="A21" s="170" t="s">
        <v>63</v>
      </c>
      <c r="B21" s="763" t="s">
        <v>64</v>
      </c>
      <c r="C21" s="115" t="s">
        <v>63</v>
      </c>
      <c r="D21" s="115" t="s">
        <v>21</v>
      </c>
      <c r="E21" s="66" t="s">
        <v>16</v>
      </c>
      <c r="F21" s="1"/>
      <c r="G21" s="100">
        <v>11</v>
      </c>
      <c r="H21" s="1279" t="s">
        <v>17</v>
      </c>
      <c r="J21" s="100">
        <v>16</v>
      </c>
      <c r="K21" s="1279" t="s">
        <v>54</v>
      </c>
      <c r="L21" s="77"/>
    </row>
    <row r="22" spans="1:12">
      <c r="A22" s="170" t="s">
        <v>65</v>
      </c>
      <c r="B22" s="763" t="s">
        <v>66</v>
      </c>
      <c r="C22" s="115" t="s">
        <v>65</v>
      </c>
      <c r="D22" s="115" t="s">
        <v>21</v>
      </c>
      <c r="E22" s="66" t="s">
        <v>16</v>
      </c>
      <c r="F22" s="1"/>
      <c r="G22" s="117">
        <v>0</v>
      </c>
      <c r="H22" s="1279" t="s">
        <v>17</v>
      </c>
      <c r="J22" s="117">
        <v>0</v>
      </c>
      <c r="K22" s="1279" t="s">
        <v>54</v>
      </c>
      <c r="L22" s="77"/>
    </row>
    <row r="23" spans="1:12">
      <c r="A23" s="170" t="s">
        <v>67</v>
      </c>
      <c r="B23" s="65" t="s">
        <v>68</v>
      </c>
      <c r="C23" s="839" t="s">
        <v>69</v>
      </c>
      <c r="D23" s="839" t="s">
        <v>21</v>
      </c>
      <c r="E23" s="66" t="s">
        <v>16</v>
      </c>
      <c r="F23" s="1"/>
      <c r="G23" s="838">
        <v>219</v>
      </c>
      <c r="H23" s="1279" t="s">
        <v>17</v>
      </c>
      <c r="I23" s="1"/>
      <c r="J23" s="838">
        <v>210</v>
      </c>
      <c r="K23" s="1279" t="s">
        <v>54</v>
      </c>
      <c r="L23" s="77"/>
    </row>
    <row r="24" spans="1:12">
      <c r="A24" s="170" t="s">
        <v>70</v>
      </c>
      <c r="B24" s="65" t="s">
        <v>71</v>
      </c>
      <c r="C24" s="839"/>
      <c r="D24" s="839" t="s">
        <v>21</v>
      </c>
      <c r="E24" s="66" t="s">
        <v>16</v>
      </c>
      <c r="F24" s="1"/>
      <c r="G24" s="838">
        <v>39</v>
      </c>
      <c r="H24" s="1279" t="s">
        <v>34</v>
      </c>
      <c r="I24" s="1"/>
      <c r="J24" s="838">
        <v>30</v>
      </c>
      <c r="K24" s="1279" t="s">
        <v>54</v>
      </c>
      <c r="L24" s="77"/>
    </row>
    <row r="25" spans="1:12">
      <c r="A25" s="170" t="s">
        <v>72</v>
      </c>
      <c r="B25" s="65" t="s">
        <v>73</v>
      </c>
      <c r="C25" s="839"/>
      <c r="D25" s="839" t="s">
        <v>21</v>
      </c>
      <c r="E25" s="66" t="s">
        <v>16</v>
      </c>
      <c r="F25" s="1"/>
      <c r="G25" s="838">
        <v>180</v>
      </c>
      <c r="H25" s="1279" t="s">
        <v>34</v>
      </c>
      <c r="I25" s="1"/>
      <c r="J25" s="838">
        <v>180</v>
      </c>
      <c r="K25" s="1279" t="s">
        <v>54</v>
      </c>
      <c r="L25" s="77"/>
    </row>
    <row r="26" spans="1:12" ht="12.95" thickBot="1">
      <c r="A26" s="640" t="s">
        <v>74</v>
      </c>
      <c r="B26" s="840" t="s">
        <v>75</v>
      </c>
      <c r="C26" s="841" t="s">
        <v>76</v>
      </c>
      <c r="D26" s="841" t="s">
        <v>21</v>
      </c>
      <c r="E26" s="67" t="s">
        <v>16</v>
      </c>
      <c r="F26" s="1"/>
      <c r="G26" s="842">
        <v>7498</v>
      </c>
      <c r="H26" s="1280" t="s">
        <v>77</v>
      </c>
      <c r="I26" s="61"/>
      <c r="J26" s="842">
        <v>7500</v>
      </c>
      <c r="K26" s="1280" t="s">
        <v>54</v>
      </c>
      <c r="L26" s="77"/>
    </row>
    <row r="27" spans="1:12" ht="12.95" thickBot="1">
      <c r="A27" s="61"/>
      <c r="B27" s="1"/>
      <c r="C27" s="61"/>
      <c r="D27" s="843"/>
      <c r="E27" s="61"/>
      <c r="F27" s="1"/>
      <c r="G27" s="844"/>
      <c r="H27" s="844"/>
      <c r="J27" s="844"/>
      <c r="L27" s="77"/>
    </row>
    <row r="28" spans="1:12" ht="15.95" thickBot="1">
      <c r="A28" s="68"/>
      <c r="B28" s="69" t="s">
        <v>78</v>
      </c>
      <c r="C28" s="845"/>
      <c r="D28" s="70"/>
      <c r="E28" s="71"/>
      <c r="F28" s="2"/>
      <c r="G28" s="846"/>
      <c r="H28" s="846"/>
      <c r="J28" s="846"/>
      <c r="L28" s="77"/>
    </row>
    <row r="29" spans="1:12">
      <c r="A29" s="847" t="s">
        <v>79</v>
      </c>
      <c r="B29" s="63" t="s">
        <v>80</v>
      </c>
      <c r="C29" s="114"/>
      <c r="D29" s="53" t="s">
        <v>21</v>
      </c>
      <c r="E29" s="54" t="s">
        <v>16</v>
      </c>
      <c r="F29" s="1"/>
      <c r="G29" s="101">
        <v>24717</v>
      </c>
      <c r="H29" s="79" t="s">
        <v>81</v>
      </c>
      <c r="J29" s="101">
        <v>24820</v>
      </c>
      <c r="K29" s="79" t="s">
        <v>81</v>
      </c>
      <c r="L29" s="77"/>
    </row>
    <row r="30" spans="1:12">
      <c r="A30" s="848" t="s">
        <v>82</v>
      </c>
      <c r="B30" s="65" t="s">
        <v>83</v>
      </c>
      <c r="C30" s="115" t="s">
        <v>79</v>
      </c>
      <c r="D30" s="56" t="s">
        <v>21</v>
      </c>
      <c r="E30" s="57" t="s">
        <v>16</v>
      </c>
      <c r="F30" s="1"/>
      <c r="G30" s="102">
        <v>36705</v>
      </c>
      <c r="H30" s="80" t="s">
        <v>81</v>
      </c>
      <c r="J30" s="102">
        <v>36511</v>
      </c>
      <c r="K30" s="80" t="s">
        <v>81</v>
      </c>
      <c r="L30" s="77"/>
    </row>
    <row r="31" spans="1:12">
      <c r="A31" s="848" t="s">
        <v>84</v>
      </c>
      <c r="B31" s="65" t="s">
        <v>85</v>
      </c>
      <c r="C31" s="115" t="s">
        <v>82</v>
      </c>
      <c r="D31" s="56" t="s">
        <v>21</v>
      </c>
      <c r="E31" s="57" t="s">
        <v>16</v>
      </c>
      <c r="F31" s="1"/>
      <c r="G31" s="102">
        <v>10534</v>
      </c>
      <c r="H31" s="80" t="s">
        <v>81</v>
      </c>
      <c r="J31" s="102">
        <v>7354</v>
      </c>
      <c r="K31" s="80" t="s">
        <v>81</v>
      </c>
      <c r="L31" s="77"/>
    </row>
    <row r="32" spans="1:12">
      <c r="A32" s="848" t="s">
        <v>86</v>
      </c>
      <c r="B32" s="65" t="s">
        <v>87</v>
      </c>
      <c r="C32" s="115" t="s">
        <v>84</v>
      </c>
      <c r="D32" s="56" t="s">
        <v>21</v>
      </c>
      <c r="E32" s="57" t="s">
        <v>16</v>
      </c>
      <c r="F32" s="1"/>
      <c r="G32" s="102">
        <v>0</v>
      </c>
      <c r="H32" s="80" t="s">
        <v>81</v>
      </c>
      <c r="J32" s="102">
        <v>0</v>
      </c>
      <c r="K32" s="80" t="s">
        <v>81</v>
      </c>
      <c r="L32" s="77"/>
    </row>
    <row r="33" spans="1:20" ht="12.95" thickBot="1">
      <c r="A33" s="849" t="s">
        <v>88</v>
      </c>
      <c r="B33" s="127" t="s">
        <v>89</v>
      </c>
      <c r="C33" s="128" t="s">
        <v>86</v>
      </c>
      <c r="D33" s="59" t="s">
        <v>21</v>
      </c>
      <c r="E33" s="60" t="s">
        <v>16</v>
      </c>
      <c r="F33" s="1"/>
      <c r="G33" s="103">
        <v>0</v>
      </c>
      <c r="H33" s="81" t="s">
        <v>81</v>
      </c>
      <c r="J33" s="103">
        <v>0</v>
      </c>
      <c r="K33" s="81" t="s">
        <v>81</v>
      </c>
      <c r="L33" s="77"/>
    </row>
    <row r="34" spans="1:20" ht="12.95" thickBot="1">
      <c r="A34" s="61"/>
      <c r="D34" s="61"/>
      <c r="E34" s="61"/>
      <c r="G34" s="739"/>
      <c r="H34" s="739"/>
      <c r="J34" s="739"/>
      <c r="K34" s="739"/>
      <c r="L34" s="77"/>
    </row>
    <row r="35" spans="1:20" ht="15.95" thickBot="1">
      <c r="A35" s="68"/>
      <c r="B35" s="69" t="s">
        <v>90</v>
      </c>
      <c r="C35" s="845"/>
      <c r="D35" s="70"/>
      <c r="E35" s="71"/>
      <c r="G35" s="844"/>
      <c r="H35" s="844"/>
      <c r="J35" s="844"/>
      <c r="K35" s="844"/>
      <c r="L35" s="77"/>
    </row>
    <row r="36" spans="1:20">
      <c r="A36" s="847" t="s">
        <v>91</v>
      </c>
      <c r="B36" s="52" t="s">
        <v>92</v>
      </c>
      <c r="C36" s="53"/>
      <c r="D36" s="53" t="s">
        <v>21</v>
      </c>
      <c r="E36" s="54" t="s">
        <v>16</v>
      </c>
      <c r="F36" s="61"/>
      <c r="G36" s="101">
        <v>203311</v>
      </c>
      <c r="H36" s="79" t="s">
        <v>81</v>
      </c>
      <c r="J36" s="101">
        <v>259077</v>
      </c>
      <c r="K36" s="79" t="s">
        <v>81</v>
      </c>
      <c r="L36" s="77"/>
    </row>
    <row r="37" spans="1:20">
      <c r="A37" s="850" t="s">
        <v>93</v>
      </c>
      <c r="B37" s="76" t="s">
        <v>94</v>
      </c>
      <c r="C37" s="75" t="s">
        <v>88</v>
      </c>
      <c r="D37" s="75" t="s">
        <v>21</v>
      </c>
      <c r="E37" s="118" t="s">
        <v>16</v>
      </c>
      <c r="F37" s="61"/>
      <c r="G37" s="851">
        <v>94899</v>
      </c>
      <c r="H37" s="80" t="s">
        <v>81</v>
      </c>
      <c r="J37" s="851">
        <v>101610</v>
      </c>
      <c r="K37" s="80" t="s">
        <v>81</v>
      </c>
      <c r="L37" s="77"/>
    </row>
    <row r="38" spans="1:20">
      <c r="A38" s="116" t="s">
        <v>95</v>
      </c>
      <c r="B38" s="55" t="s">
        <v>96</v>
      </c>
      <c r="C38" s="56" t="s">
        <v>91</v>
      </c>
      <c r="D38" s="56" t="s">
        <v>21</v>
      </c>
      <c r="E38" s="57" t="s">
        <v>16</v>
      </c>
      <c r="F38" s="61"/>
      <c r="G38" s="102">
        <v>5662</v>
      </c>
      <c r="H38" s="80" t="s">
        <v>81</v>
      </c>
      <c r="J38" s="102">
        <v>5661</v>
      </c>
      <c r="K38" s="80" t="s">
        <v>81</v>
      </c>
      <c r="L38" s="77"/>
    </row>
    <row r="39" spans="1:20">
      <c r="A39" s="116" t="s">
        <v>97</v>
      </c>
      <c r="B39" s="55" t="s">
        <v>98</v>
      </c>
      <c r="C39" s="56" t="s">
        <v>93</v>
      </c>
      <c r="D39" s="56" t="s">
        <v>21</v>
      </c>
      <c r="E39" s="57" t="s">
        <v>16</v>
      </c>
      <c r="F39" s="61"/>
      <c r="G39" s="102">
        <v>566</v>
      </c>
      <c r="H39" s="80" t="s">
        <v>81</v>
      </c>
      <c r="J39" s="102">
        <v>726</v>
      </c>
      <c r="K39" s="80" t="s">
        <v>81</v>
      </c>
      <c r="L39" s="77"/>
    </row>
    <row r="40" spans="1:20" ht="12.95" thickBot="1">
      <c r="A40" s="156" t="s">
        <v>99</v>
      </c>
      <c r="B40" s="58" t="s">
        <v>100</v>
      </c>
      <c r="C40" s="59" t="s">
        <v>95</v>
      </c>
      <c r="D40" s="59" t="s">
        <v>21</v>
      </c>
      <c r="E40" s="60" t="s">
        <v>16</v>
      </c>
      <c r="F40" s="61"/>
      <c r="G40" s="103">
        <v>112</v>
      </c>
      <c r="H40" s="81" t="s">
        <v>81</v>
      </c>
      <c r="J40" s="103">
        <v>153</v>
      </c>
      <c r="K40" s="81" t="s">
        <v>81</v>
      </c>
      <c r="L40" s="77"/>
    </row>
    <row r="41" spans="1:20" ht="13.5" thickBot="1">
      <c r="A41" s="61"/>
      <c r="B41" s="1"/>
      <c r="C41" s="61"/>
      <c r="D41" s="61"/>
      <c r="E41" s="61"/>
      <c r="F41" s="61"/>
      <c r="G41" s="844"/>
      <c r="H41" s="844"/>
      <c r="J41" s="844"/>
      <c r="L41" s="77"/>
      <c r="T41" s="852"/>
    </row>
    <row r="42" spans="1:20" ht="15.95" thickBot="1">
      <c r="A42" s="44"/>
      <c r="B42" s="45" t="s">
        <v>101</v>
      </c>
      <c r="C42" s="853"/>
      <c r="D42" s="46"/>
      <c r="E42" s="47"/>
      <c r="F42" s="61"/>
      <c r="G42" s="844"/>
      <c r="H42" s="844"/>
      <c r="J42" s="844"/>
      <c r="L42" s="77"/>
    </row>
    <row r="43" spans="1:20">
      <c r="A43" s="847" t="s">
        <v>102</v>
      </c>
      <c r="B43" s="52" t="s">
        <v>103</v>
      </c>
      <c r="C43" s="53"/>
      <c r="D43" s="53" t="s">
        <v>21</v>
      </c>
      <c r="E43" s="54" t="s">
        <v>16</v>
      </c>
      <c r="F43" s="61"/>
      <c r="G43" s="101">
        <v>7260</v>
      </c>
      <c r="H43" s="79" t="s">
        <v>81</v>
      </c>
      <c r="J43" s="101">
        <v>8868</v>
      </c>
      <c r="K43" s="79" t="s">
        <v>81</v>
      </c>
      <c r="L43" s="77"/>
    </row>
    <row r="44" spans="1:20">
      <c r="A44" s="848" t="s">
        <v>104</v>
      </c>
      <c r="B44" s="55" t="s">
        <v>105</v>
      </c>
      <c r="C44" s="56" t="s">
        <v>97</v>
      </c>
      <c r="D44" s="56" t="s">
        <v>21</v>
      </c>
      <c r="E44" s="57" t="s">
        <v>16</v>
      </c>
      <c r="F44" s="61"/>
      <c r="G44" s="102">
        <v>5891</v>
      </c>
      <c r="H44" s="80" t="s">
        <v>81</v>
      </c>
      <c r="J44" s="102">
        <v>6351</v>
      </c>
      <c r="K44" s="80" t="s">
        <v>81</v>
      </c>
      <c r="L44" s="77"/>
    </row>
    <row r="45" spans="1:20">
      <c r="A45" s="848" t="s">
        <v>106</v>
      </c>
      <c r="B45" s="55" t="s">
        <v>107</v>
      </c>
      <c r="C45" s="56" t="s">
        <v>99</v>
      </c>
      <c r="D45" s="56" t="s">
        <v>21</v>
      </c>
      <c r="E45" s="57" t="s">
        <v>16</v>
      </c>
      <c r="F45" s="61"/>
      <c r="G45" s="102">
        <v>1579</v>
      </c>
      <c r="H45" s="80" t="s">
        <v>81</v>
      </c>
      <c r="J45" s="102">
        <v>1971</v>
      </c>
      <c r="K45" s="80" t="s">
        <v>81</v>
      </c>
      <c r="L45" s="77"/>
    </row>
    <row r="46" spans="1:20">
      <c r="A46" s="848" t="s">
        <v>108</v>
      </c>
      <c r="B46" s="55" t="s">
        <v>109</v>
      </c>
      <c r="C46" s="56" t="s">
        <v>102</v>
      </c>
      <c r="D46" s="56" t="s">
        <v>21</v>
      </c>
      <c r="E46" s="57" t="s">
        <v>16</v>
      </c>
      <c r="F46" s="61"/>
      <c r="G46" s="102">
        <v>458</v>
      </c>
      <c r="H46" s="80" t="s">
        <v>81</v>
      </c>
      <c r="J46" s="102">
        <v>166</v>
      </c>
      <c r="K46" s="80" t="s">
        <v>81</v>
      </c>
      <c r="L46" s="77"/>
    </row>
    <row r="47" spans="1:20" ht="12.95" thickBot="1">
      <c r="A47" s="849" t="s">
        <v>110</v>
      </c>
      <c r="B47" s="58" t="s">
        <v>111</v>
      </c>
      <c r="C47" s="59" t="s">
        <v>104</v>
      </c>
      <c r="D47" s="59" t="s">
        <v>21</v>
      </c>
      <c r="E47" s="60" t="s">
        <v>16</v>
      </c>
      <c r="F47" s="61"/>
      <c r="G47" s="103">
        <v>22</v>
      </c>
      <c r="H47" s="81" t="s">
        <v>81</v>
      </c>
      <c r="J47" s="103">
        <v>5</v>
      </c>
      <c r="K47" s="81" t="s">
        <v>81</v>
      </c>
      <c r="L47" s="77"/>
    </row>
    <row r="48" spans="1:20" ht="12.95" thickBot="1">
      <c r="A48" s="61"/>
      <c r="B48" s="1"/>
      <c r="C48" s="61"/>
      <c r="D48" s="61"/>
      <c r="E48" s="61"/>
      <c r="F48" s="61"/>
      <c r="G48" s="844"/>
      <c r="H48" s="844"/>
      <c r="J48" s="844"/>
      <c r="K48" s="844"/>
      <c r="L48" s="77"/>
    </row>
    <row r="49" spans="1:23" ht="15.95" thickBot="1">
      <c r="A49" s="320"/>
      <c r="B49" s="321" t="s">
        <v>112</v>
      </c>
      <c r="C49" s="834"/>
      <c r="D49" s="322"/>
      <c r="E49" s="323"/>
      <c r="G49" s="739"/>
      <c r="H49" s="739"/>
      <c r="J49" s="739"/>
      <c r="K49" s="739"/>
      <c r="L49" s="77"/>
    </row>
    <row r="50" spans="1:23">
      <c r="A50" s="155" t="s">
        <v>113</v>
      </c>
      <c r="B50" s="63" t="s">
        <v>114</v>
      </c>
      <c r="C50" s="114"/>
      <c r="D50" s="53" t="s">
        <v>21</v>
      </c>
      <c r="E50" s="54" t="s">
        <v>16</v>
      </c>
      <c r="G50" s="730">
        <v>150</v>
      </c>
      <c r="H50" s="79" t="s">
        <v>81</v>
      </c>
      <c r="J50" s="730">
        <v>1317</v>
      </c>
      <c r="K50" s="79" t="s">
        <v>81</v>
      </c>
      <c r="L50" s="77"/>
    </row>
    <row r="51" spans="1:23">
      <c r="A51" s="263" t="s">
        <v>115</v>
      </c>
      <c r="B51" s="113" t="s">
        <v>116</v>
      </c>
      <c r="C51" s="119"/>
      <c r="D51" s="75" t="s">
        <v>21</v>
      </c>
      <c r="E51" s="118" t="s">
        <v>16</v>
      </c>
      <c r="G51" s="738">
        <v>1595</v>
      </c>
      <c r="H51" s="80" t="s">
        <v>81</v>
      </c>
      <c r="J51" s="738">
        <v>1266</v>
      </c>
      <c r="K51" s="80" t="s">
        <v>81</v>
      </c>
      <c r="L51" s="77"/>
    </row>
    <row r="52" spans="1:23">
      <c r="A52" s="263" t="s">
        <v>117</v>
      </c>
      <c r="B52" s="113" t="s">
        <v>118</v>
      </c>
      <c r="C52" s="119" t="s">
        <v>106</v>
      </c>
      <c r="D52" s="75" t="s">
        <v>21</v>
      </c>
      <c r="E52" s="118" t="s">
        <v>16</v>
      </c>
      <c r="G52" s="738">
        <v>24</v>
      </c>
      <c r="H52" s="80" t="s">
        <v>81</v>
      </c>
      <c r="J52" s="738">
        <v>56</v>
      </c>
      <c r="K52" s="80" t="s">
        <v>81</v>
      </c>
      <c r="L52" s="77"/>
    </row>
    <row r="53" spans="1:23">
      <c r="A53" s="116" t="s">
        <v>119</v>
      </c>
      <c r="B53" s="65" t="s">
        <v>120</v>
      </c>
      <c r="C53" s="115" t="s">
        <v>108</v>
      </c>
      <c r="D53" s="56" t="s">
        <v>21</v>
      </c>
      <c r="E53" s="57" t="s">
        <v>16</v>
      </c>
      <c r="G53" s="732">
        <v>5</v>
      </c>
      <c r="H53" s="80" t="s">
        <v>81</v>
      </c>
      <c r="J53" s="732">
        <v>3</v>
      </c>
      <c r="K53" s="80" t="s">
        <v>81</v>
      </c>
      <c r="L53" s="77"/>
    </row>
    <row r="54" spans="1:23" ht="12.95" thickBot="1">
      <c r="A54" s="156" t="s">
        <v>121</v>
      </c>
      <c r="B54" s="127" t="s">
        <v>122</v>
      </c>
      <c r="C54" s="128" t="s">
        <v>110</v>
      </c>
      <c r="D54" s="59" t="s">
        <v>21</v>
      </c>
      <c r="E54" s="60" t="s">
        <v>16</v>
      </c>
      <c r="G54" s="735">
        <v>0</v>
      </c>
      <c r="H54" s="81" t="s">
        <v>81</v>
      </c>
      <c r="J54" s="735">
        <v>0</v>
      </c>
      <c r="K54" s="81" t="s">
        <v>81</v>
      </c>
      <c r="L54" s="77"/>
    </row>
    <row r="55" spans="1:23" ht="12.95" thickBot="1">
      <c r="A55" s="61"/>
      <c r="B55" s="1"/>
      <c r="C55" s="61"/>
      <c r="D55" s="61"/>
      <c r="E55" s="61"/>
      <c r="F55" s="61"/>
      <c r="K55" s="844"/>
      <c r="L55" s="77"/>
    </row>
    <row r="56" spans="1:23" s="1" customFormat="1" ht="15.95" thickBot="1">
      <c r="A56" s="320"/>
      <c r="B56" s="321" t="s">
        <v>123</v>
      </c>
      <c r="C56" s="834"/>
      <c r="D56" s="322"/>
      <c r="E56" s="323"/>
      <c r="F56" s="77"/>
      <c r="G56" s="77"/>
      <c r="H56" s="77"/>
      <c r="I56" s="77"/>
      <c r="J56" s="77"/>
      <c r="K56" s="740"/>
      <c r="L56" s="77"/>
      <c r="N56" s="77"/>
      <c r="O56" s="77"/>
      <c r="P56" s="77"/>
      <c r="Q56" s="77"/>
      <c r="R56" s="77"/>
      <c r="W56" s="77"/>
    </row>
    <row r="57" spans="1:23" s="1" customFormat="1" ht="12.95" thickBot="1">
      <c r="A57" s="156" t="s">
        <v>124</v>
      </c>
      <c r="B57" s="127" t="s">
        <v>125</v>
      </c>
      <c r="C57" s="128" t="s">
        <v>113</v>
      </c>
      <c r="D57" s="128" t="s">
        <v>126</v>
      </c>
      <c r="E57" s="67" t="s">
        <v>16</v>
      </c>
      <c r="F57" s="77"/>
      <c r="G57" s="878">
        <v>14.79</v>
      </c>
      <c r="H57" s="1264" t="s">
        <v>81</v>
      </c>
      <c r="I57" s="77"/>
      <c r="J57" s="878">
        <v>15.25</v>
      </c>
      <c r="K57" s="1264" t="s">
        <v>81</v>
      </c>
      <c r="L57" s="77"/>
      <c r="N57" s="77"/>
      <c r="O57" s="77"/>
      <c r="P57" s="77"/>
      <c r="Q57" s="77"/>
      <c r="R57" s="77"/>
      <c r="W57" s="77"/>
    </row>
    <row r="58" spans="1:23" s="1" customFormat="1" ht="12.95" thickBot="1">
      <c r="A58" s="77"/>
      <c r="B58" s="77"/>
      <c r="C58" s="182"/>
      <c r="D58" s="77"/>
      <c r="E58" s="61"/>
      <c r="F58" s="77"/>
      <c r="G58" s="77"/>
      <c r="H58" s="77"/>
      <c r="I58" s="77"/>
      <c r="J58" s="77"/>
      <c r="K58" s="740"/>
      <c r="L58" s="77"/>
      <c r="N58" s="77"/>
      <c r="O58" s="77"/>
      <c r="P58" s="77"/>
      <c r="Q58" s="77"/>
      <c r="R58" s="77"/>
      <c r="W58" s="77"/>
    </row>
    <row r="59" spans="1:23" s="1" customFormat="1" ht="15.95" thickBot="1">
      <c r="A59" s="320"/>
      <c r="B59" s="321" t="s">
        <v>127</v>
      </c>
      <c r="C59" s="834"/>
      <c r="D59" s="322"/>
      <c r="E59" s="323"/>
      <c r="F59" s="77"/>
      <c r="H59" s="77"/>
      <c r="I59" s="77"/>
      <c r="K59" s="740"/>
      <c r="L59" s="77"/>
      <c r="N59" s="77"/>
      <c r="O59" s="77"/>
      <c r="P59" s="77"/>
      <c r="Q59" s="77"/>
      <c r="R59" s="77"/>
      <c r="W59" s="77"/>
    </row>
    <row r="60" spans="1:23" s="1" customFormat="1" ht="12.6" customHeight="1">
      <c r="A60" s="263" t="s">
        <v>128</v>
      </c>
      <c r="B60" s="113" t="s">
        <v>129</v>
      </c>
      <c r="C60" s="119" t="s">
        <v>115</v>
      </c>
      <c r="D60" s="119" t="s">
        <v>21</v>
      </c>
      <c r="E60" s="120" t="s">
        <v>27</v>
      </c>
      <c r="F60" s="77"/>
      <c r="G60" s="152">
        <f>G38+G52</f>
        <v>5686</v>
      </c>
      <c r="H60" s="79" t="s">
        <v>81</v>
      </c>
      <c r="I60" s="77"/>
      <c r="J60" s="152">
        <f>J38+J52</f>
        <v>5717</v>
      </c>
      <c r="K60" s="79" t="s">
        <v>81</v>
      </c>
      <c r="L60" s="77"/>
      <c r="N60" s="77"/>
      <c r="O60" s="77"/>
      <c r="P60" s="77"/>
      <c r="Q60" s="77"/>
      <c r="R60" s="77"/>
      <c r="W60" s="77"/>
    </row>
    <row r="61" spans="1:23" s="1" customFormat="1" ht="12.6" customHeight="1">
      <c r="A61" s="116" t="s">
        <v>130</v>
      </c>
      <c r="B61" s="65" t="s">
        <v>131</v>
      </c>
      <c r="C61" s="115" t="s">
        <v>117</v>
      </c>
      <c r="D61" s="115" t="s">
        <v>21</v>
      </c>
      <c r="E61" s="66" t="s">
        <v>27</v>
      </c>
      <c r="F61" s="77"/>
      <c r="G61" s="855">
        <f>G39+G53</f>
        <v>571</v>
      </c>
      <c r="H61" s="80" t="s">
        <v>81</v>
      </c>
      <c r="I61" s="77"/>
      <c r="J61" s="855">
        <f>J39+J53</f>
        <v>729</v>
      </c>
      <c r="K61" s="80" t="s">
        <v>81</v>
      </c>
      <c r="L61" s="77"/>
      <c r="N61" s="77"/>
      <c r="O61" s="77"/>
      <c r="P61" s="77"/>
      <c r="Q61" s="77"/>
      <c r="R61" s="77"/>
      <c r="W61" s="77"/>
    </row>
    <row r="62" spans="1:23" s="1" customFormat="1" ht="12.6" customHeight="1">
      <c r="A62" s="116" t="s">
        <v>132</v>
      </c>
      <c r="B62" s="65" t="s">
        <v>133</v>
      </c>
      <c r="C62" s="115" t="s">
        <v>119</v>
      </c>
      <c r="D62" s="115" t="s">
        <v>21</v>
      </c>
      <c r="E62" s="66" t="s">
        <v>27</v>
      </c>
      <c r="F62" s="77"/>
      <c r="G62" s="855">
        <f>G40+G54</f>
        <v>112</v>
      </c>
      <c r="H62" s="80" t="s">
        <v>81</v>
      </c>
      <c r="I62" s="77"/>
      <c r="J62" s="855">
        <f>J40+J54</f>
        <v>153</v>
      </c>
      <c r="K62" s="80" t="s">
        <v>81</v>
      </c>
      <c r="L62" s="77"/>
      <c r="N62" s="77"/>
      <c r="O62" s="77"/>
      <c r="P62" s="77"/>
      <c r="Q62" s="77"/>
      <c r="R62" s="77"/>
      <c r="W62" s="77"/>
    </row>
    <row r="63" spans="1:23" s="1" customFormat="1" ht="13.35" customHeight="1" thickBot="1">
      <c r="A63" s="156" t="s">
        <v>134</v>
      </c>
      <c r="B63" s="127" t="s">
        <v>135</v>
      </c>
      <c r="C63" s="128" t="s">
        <v>121</v>
      </c>
      <c r="D63" s="128" t="s">
        <v>21</v>
      </c>
      <c r="E63" s="67" t="s">
        <v>27</v>
      </c>
      <c r="F63" s="77"/>
      <c r="G63" s="856">
        <f>1*(G60-G61)+2*(G61-G62)+4*G62</f>
        <v>6481</v>
      </c>
      <c r="H63" s="81" t="s">
        <v>81</v>
      </c>
      <c r="I63" s="77"/>
      <c r="J63" s="856">
        <f>1*(J60-J61)+2*(J61-J62)+4*J62</f>
        <v>6752</v>
      </c>
      <c r="K63" s="81" t="s">
        <v>81</v>
      </c>
      <c r="L63" s="77"/>
      <c r="N63" s="77"/>
      <c r="O63" s="77"/>
      <c r="P63" s="77"/>
      <c r="Q63" s="77"/>
      <c r="R63" s="77"/>
      <c r="W63" s="77"/>
    </row>
    <row r="64" spans="1:23" s="1" customFormat="1" ht="12.95" thickBot="1">
      <c r="A64" s="77"/>
      <c r="B64" s="77"/>
      <c r="C64" s="182"/>
      <c r="D64" s="61"/>
      <c r="E64" s="61"/>
      <c r="F64" s="77"/>
      <c r="G64" s="61"/>
      <c r="H64" s="77"/>
      <c r="I64" s="77"/>
      <c r="J64" s="61"/>
      <c r="K64" s="77"/>
      <c r="L64" s="740"/>
      <c r="M64" s="77"/>
      <c r="N64" s="77"/>
      <c r="O64" s="77"/>
      <c r="P64" s="77"/>
      <c r="Q64" s="77"/>
      <c r="R64" s="77"/>
    </row>
    <row r="65" spans="1:18" s="1" customFormat="1" ht="15.95" thickBot="1">
      <c r="A65" s="320"/>
      <c r="B65" s="321" t="s">
        <v>136</v>
      </c>
      <c r="C65" s="834"/>
      <c r="D65" s="322"/>
      <c r="E65" s="323"/>
      <c r="F65" s="77"/>
      <c r="G65" s="77"/>
      <c r="H65" s="77"/>
      <c r="I65" s="77"/>
      <c r="J65" s="77"/>
      <c r="K65" s="740"/>
      <c r="L65" s="740"/>
      <c r="M65" s="77"/>
      <c r="N65" s="77"/>
      <c r="O65" s="77"/>
      <c r="P65" s="77"/>
      <c r="Q65" s="77"/>
      <c r="R65" s="77"/>
    </row>
    <row r="66" spans="1:18" s="1" customFormat="1" ht="12.95" thickBot="1">
      <c r="A66" s="156" t="s">
        <v>137</v>
      </c>
      <c r="B66" s="857" t="s">
        <v>138</v>
      </c>
      <c r="C66" s="128"/>
      <c r="D66" s="128" t="s">
        <v>126</v>
      </c>
      <c r="E66" s="67" t="s">
        <v>16</v>
      </c>
      <c r="F66" s="77"/>
      <c r="G66" s="878">
        <v>22.05</v>
      </c>
      <c r="H66" s="1264" t="s">
        <v>81</v>
      </c>
      <c r="I66" s="77"/>
      <c r="J66" s="878">
        <v>25.19</v>
      </c>
      <c r="K66" s="1264" t="s">
        <v>81</v>
      </c>
      <c r="L66" s="740"/>
      <c r="M66" s="77"/>
      <c r="N66" s="77"/>
      <c r="O66" s="77"/>
      <c r="P66" s="77"/>
      <c r="Q66" s="77"/>
      <c r="R66" s="77"/>
    </row>
    <row r="67" spans="1:18" s="1" customFormat="1" ht="12.95" thickBot="1">
      <c r="A67" s="77"/>
      <c r="B67" s="77"/>
      <c r="C67" s="182"/>
      <c r="D67" s="61"/>
      <c r="E67" s="61"/>
      <c r="F67" s="77"/>
      <c r="G67" s="61"/>
      <c r="H67" s="77"/>
      <c r="I67" s="77"/>
      <c r="J67" s="61"/>
      <c r="K67" s="77"/>
      <c r="L67" s="740"/>
      <c r="M67" s="77"/>
      <c r="N67" s="77"/>
      <c r="O67" s="77"/>
      <c r="P67" s="77"/>
      <c r="Q67" s="77"/>
      <c r="R67" s="77"/>
    </row>
    <row r="68" spans="1:18" s="1" customFormat="1" ht="15.95" thickBot="1">
      <c r="A68" s="320"/>
      <c r="B68" s="321" t="s">
        <v>139</v>
      </c>
      <c r="C68" s="834"/>
      <c r="D68" s="322"/>
      <c r="E68" s="323"/>
      <c r="F68" s="77"/>
      <c r="G68" s="77"/>
      <c r="H68" s="77"/>
      <c r="I68" s="77"/>
      <c r="J68" s="77"/>
      <c r="K68" s="740"/>
      <c r="L68" s="740"/>
      <c r="M68" s="77"/>
      <c r="N68" s="77"/>
      <c r="O68" s="77"/>
      <c r="P68" s="77"/>
      <c r="Q68" s="77"/>
      <c r="R68" s="77"/>
    </row>
    <row r="69" spans="1:18" s="1" customFormat="1" ht="12.95" thickBot="1">
      <c r="A69" s="156" t="s">
        <v>140</v>
      </c>
      <c r="B69" s="127" t="s">
        <v>141</v>
      </c>
      <c r="C69" s="128"/>
      <c r="D69" s="128" t="s">
        <v>21</v>
      </c>
      <c r="E69" s="67" t="s">
        <v>16</v>
      </c>
      <c r="F69" s="77"/>
      <c r="G69" s="854">
        <v>361377</v>
      </c>
      <c r="H69" s="1264" t="s">
        <v>81</v>
      </c>
      <c r="I69" s="77"/>
      <c r="J69" s="854">
        <v>433737</v>
      </c>
      <c r="K69" s="1264" t="s">
        <v>81</v>
      </c>
      <c r="L69" s="740"/>
      <c r="M69" s="77"/>
      <c r="N69" s="77"/>
      <c r="O69" s="77"/>
      <c r="P69" s="77"/>
      <c r="Q69" s="77"/>
      <c r="R69" s="77"/>
    </row>
    <row r="70" spans="1:18" s="1" customFormat="1" ht="12.95" thickBot="1">
      <c r="A70" s="77"/>
      <c r="B70" s="77"/>
      <c r="C70" s="182"/>
      <c r="D70" s="61"/>
      <c r="E70" s="61"/>
      <c r="F70" s="77"/>
      <c r="G70" s="61"/>
      <c r="H70" s="77"/>
      <c r="I70" s="77"/>
      <c r="J70" s="61"/>
      <c r="K70" s="77"/>
      <c r="L70" s="740"/>
      <c r="M70" s="77"/>
      <c r="N70" s="77"/>
      <c r="O70" s="77"/>
      <c r="P70" s="77"/>
      <c r="Q70" s="77"/>
      <c r="R70" s="77"/>
    </row>
    <row r="71" spans="1:18" s="1" customFormat="1" ht="15.95" thickBot="1">
      <c r="A71" s="320"/>
      <c r="B71" s="321" t="s">
        <v>142</v>
      </c>
      <c r="C71" s="834"/>
      <c r="D71" s="322"/>
      <c r="E71" s="323"/>
      <c r="F71" s="77"/>
      <c r="G71" s="77"/>
      <c r="H71" s="77"/>
      <c r="I71" s="77"/>
      <c r="J71" s="77"/>
      <c r="K71" s="740"/>
      <c r="L71" s="740"/>
      <c r="M71" s="77"/>
      <c r="N71" s="77"/>
      <c r="O71" s="77"/>
      <c r="P71" s="77"/>
      <c r="Q71" s="77"/>
      <c r="R71" s="77"/>
    </row>
    <row r="72" spans="1:18" s="1" customFormat="1" ht="12.95" thickBot="1">
      <c r="A72" s="156" t="s">
        <v>143</v>
      </c>
      <c r="B72" s="127" t="s">
        <v>144</v>
      </c>
      <c r="C72" s="128"/>
      <c r="D72" s="128" t="s">
        <v>21</v>
      </c>
      <c r="E72" s="67" t="s">
        <v>16</v>
      </c>
      <c r="F72" s="77"/>
      <c r="G72" s="854">
        <v>117</v>
      </c>
      <c r="H72" s="1264" t="s">
        <v>81</v>
      </c>
      <c r="I72" s="77"/>
      <c r="J72" s="854">
        <v>88</v>
      </c>
      <c r="K72" s="1264" t="s">
        <v>81</v>
      </c>
      <c r="L72" s="740"/>
      <c r="M72" s="77"/>
      <c r="N72" s="77"/>
      <c r="O72" s="77"/>
      <c r="P72" s="77"/>
      <c r="Q72" s="77"/>
      <c r="R72" s="77"/>
    </row>
    <row r="73" spans="1:18" s="1" customFormat="1">
      <c r="A73" s="77"/>
      <c r="B73" s="77"/>
      <c r="C73" s="182"/>
      <c r="D73" s="61"/>
      <c r="E73" s="61"/>
      <c r="F73" s="77"/>
      <c r="H73" s="77"/>
      <c r="I73" s="77"/>
      <c r="J73" s="77"/>
      <c r="K73" s="77"/>
      <c r="L73" s="740"/>
      <c r="M73" s="77"/>
      <c r="N73" s="77"/>
      <c r="O73" s="77"/>
      <c r="P73" s="77"/>
      <c r="Q73" s="77"/>
      <c r="R73" s="77"/>
    </row>
    <row r="74" spans="1:18" s="1" customFormat="1">
      <c r="A74" s="77"/>
      <c r="B74" s="77"/>
      <c r="C74" s="182"/>
      <c r="D74" s="61"/>
      <c r="E74" s="61"/>
      <c r="F74" s="77"/>
      <c r="G74" s="61"/>
      <c r="H74" s="77"/>
      <c r="I74" s="77"/>
      <c r="J74" s="77"/>
      <c r="K74" s="77"/>
      <c r="L74" s="740"/>
      <c r="M74" s="77"/>
      <c r="N74" s="77"/>
      <c r="O74" s="77"/>
      <c r="P74" s="77"/>
      <c r="Q74" s="77"/>
      <c r="R74" s="77"/>
    </row>
    <row r="75" spans="1:18" s="1" customFormat="1" ht="12.95" thickBot="1">
      <c r="A75" s="77"/>
      <c r="B75" s="77"/>
      <c r="C75" s="182"/>
      <c r="D75" s="61"/>
      <c r="E75" s="61"/>
      <c r="F75" s="77"/>
      <c r="G75" s="61"/>
      <c r="H75" s="77"/>
      <c r="I75" s="77"/>
      <c r="J75" s="77"/>
      <c r="K75" s="77"/>
      <c r="L75" s="740"/>
      <c r="M75" s="77"/>
      <c r="N75" s="77"/>
      <c r="O75" s="77"/>
      <c r="P75" s="77"/>
      <c r="Q75" s="77"/>
      <c r="R75" s="77"/>
    </row>
    <row r="76" spans="1:18" s="1" customFormat="1" ht="15.6">
      <c r="A76" s="13" t="s">
        <v>145</v>
      </c>
      <c r="B76" s="3"/>
      <c r="C76" s="186"/>
      <c r="D76" s="197" t="s">
        <v>40</v>
      </c>
      <c r="E76" s="3"/>
      <c r="F76" s="743"/>
      <c r="G76" s="744"/>
      <c r="H76" s="77"/>
      <c r="I76" s="77"/>
      <c r="J76" s="77"/>
      <c r="K76" s="77"/>
      <c r="L76" s="175"/>
      <c r="M76" s="77"/>
      <c r="N76" s="77"/>
      <c r="O76" s="77"/>
      <c r="P76" s="77"/>
      <c r="Q76" s="77"/>
      <c r="R76" s="77"/>
    </row>
    <row r="77" spans="1:18" s="1" customFormat="1">
      <c r="A77" s="697"/>
      <c r="B77" s="1269"/>
      <c r="C77" s="1270"/>
      <c r="D77" s="1271"/>
      <c r="E77" s="1271"/>
      <c r="F77" s="1271"/>
      <c r="G77" s="745"/>
      <c r="H77" s="77"/>
      <c r="I77" s="77"/>
      <c r="J77" s="77"/>
      <c r="K77" s="77"/>
      <c r="L77" s="740"/>
      <c r="N77" s="77"/>
      <c r="O77" s="77"/>
      <c r="P77" s="77"/>
      <c r="Q77" s="77"/>
      <c r="R77" s="77"/>
    </row>
    <row r="78" spans="1:18" s="1" customFormat="1">
      <c r="A78" s="6" t="s">
        <v>41</v>
      </c>
      <c r="B78" s="1269"/>
      <c r="C78" s="1270"/>
      <c r="D78" s="207" t="s">
        <v>40</v>
      </c>
      <c r="E78" s="1269"/>
      <c r="F78" s="1271"/>
      <c r="G78" s="745"/>
      <c r="H78" s="77"/>
      <c r="I78" s="77"/>
      <c r="J78" s="77"/>
      <c r="K78" s="77"/>
      <c r="L78" s="740"/>
      <c r="N78" s="77"/>
      <c r="O78" s="77"/>
      <c r="P78" s="77"/>
      <c r="Q78" s="77"/>
      <c r="R78" s="77"/>
    </row>
    <row r="79" spans="1:18" s="1" customFormat="1">
      <c r="A79" s="697"/>
      <c r="B79" s="1269"/>
      <c r="C79" s="1270"/>
      <c r="D79" s="1271"/>
      <c r="E79" s="1271"/>
      <c r="F79" s="1271"/>
      <c r="G79" s="745"/>
      <c r="H79" s="77"/>
      <c r="I79" s="77"/>
      <c r="J79" s="77"/>
      <c r="K79" s="77"/>
      <c r="L79" s="740"/>
      <c r="N79" s="77"/>
    </row>
    <row r="80" spans="1:18" s="1" customFormat="1" ht="12.95" thickBot="1">
      <c r="A80" s="9" t="s">
        <v>42</v>
      </c>
      <c r="B80" s="10"/>
      <c r="C80" s="187"/>
      <c r="D80" s="10" t="s">
        <v>146</v>
      </c>
      <c r="E80" s="10"/>
      <c r="F80" s="746"/>
      <c r="G80" s="747"/>
      <c r="H80" s="77"/>
      <c r="I80" s="77"/>
      <c r="J80" s="77"/>
      <c r="K80" s="77"/>
      <c r="L80" s="740"/>
      <c r="N80" s="77"/>
    </row>
    <row r="81" spans="1:18" s="1" customFormat="1">
      <c r="A81" s="77"/>
      <c r="B81" s="77"/>
      <c r="C81" s="182"/>
      <c r="D81" s="77"/>
      <c r="E81" s="77"/>
      <c r="F81" s="77"/>
      <c r="G81" s="77"/>
      <c r="H81" s="77"/>
      <c r="I81" s="77"/>
      <c r="J81" s="77"/>
      <c r="K81" s="77"/>
      <c r="L81" s="740"/>
      <c r="N81" s="77"/>
    </row>
    <row r="82" spans="1:18" s="1" customFormat="1">
      <c r="A82" s="77"/>
      <c r="B82" s="739"/>
      <c r="C82" s="182"/>
      <c r="D82" s="740"/>
      <c r="E82" s="740"/>
      <c r="F82" s="77"/>
      <c r="G82" s="77"/>
      <c r="H82" s="77"/>
      <c r="I82" s="77"/>
      <c r="J82" s="77"/>
      <c r="K82" s="77"/>
      <c r="L82" s="740"/>
      <c r="N82" s="77"/>
    </row>
    <row r="83" spans="1:18" s="1" customFormat="1">
      <c r="A83" s="77"/>
      <c r="B83" s="77"/>
      <c r="C83" s="182"/>
      <c r="D83" s="77"/>
      <c r="E83" s="61"/>
      <c r="F83" s="77"/>
      <c r="G83" s="77"/>
      <c r="H83" s="77"/>
      <c r="I83" s="77"/>
      <c r="J83" s="740"/>
      <c r="K83" s="740"/>
      <c r="L83" s="77"/>
      <c r="M83" s="77"/>
      <c r="N83" s="61"/>
      <c r="O83" s="61"/>
      <c r="P83" s="77"/>
      <c r="Q83" s="61"/>
      <c r="R83" s="61"/>
    </row>
  </sheetData>
  <mergeCells count="2">
    <mergeCell ref="G10:H11"/>
    <mergeCell ref="J10:K11"/>
  </mergeCells>
  <conditionalFormatting sqref="N1:O5 Q1:R1048576 N6:N8 N9:O16 O17:P22 N23:O1048576">
    <cfRule type="containsText" dxfId="12" priority="16" operator="containsText" text="Y">
      <formula>NOT(ISERROR(SEARCH("Y",N1)))</formula>
    </cfRule>
  </conditionalFormatting>
  <conditionalFormatting sqref="Q1:R16 O17:P22 Q23:R1048576">
    <cfRule type="cellIs" dxfId="11" priority="9" operator="equal">
      <formula>"N"</formula>
    </cfRule>
    <cfRule type="cellIs" dxfId="10" priority="10" operator="equal">
      <formula>"Y"</formula>
    </cfRule>
  </conditionalFormatting>
  <conditionalFormatting sqref="Q1:R1048576 O17:P22 N1:O5 N6:N8 N9:O16 N23:O1048576">
    <cfRule type="containsText" dxfId="9" priority="15" operator="containsText" text="N">
      <formula>NOT(ISERROR(SEARCH("N",N1)))</formula>
    </cfRule>
  </conditionalFormatting>
  <pageMargins left="0.74803149606299213" right="0.74803149606299213" top="0.98425196850393704" bottom="0.98425196850393704" header="0.51181102362204722" footer="0.51181102362204722"/>
  <pageSetup paperSize="8" scale="63" orientation="landscape" r:id="rId1"/>
  <headerFooter alignWithMargins="0">
    <oddFooter>&amp;R Date: Feb 2010
Revision 13.0&amp;L&amp;1#&amp;"Arial"&amp;11&amp;K000000SW Private Commercial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83A37-1D6D-4885-86FE-96B47526E1DD}">
  <sheetPr>
    <pageSetUpPr fitToPage="1"/>
  </sheetPr>
  <dimension ref="B1:L75"/>
  <sheetViews>
    <sheetView zoomScaleNormal="100" workbookViewId="0">
      <selection sqref="A1:XFD1048576"/>
    </sheetView>
  </sheetViews>
  <sheetFormatPr defaultColWidth="9.42578125" defaultRowHeight="12.6"/>
  <cols>
    <col min="1" max="1" width="4.42578125" style="192" customWidth="1"/>
    <col min="2" max="2" width="8.5703125" style="192" customWidth="1"/>
    <col min="3" max="3" width="86.5703125" style="192" customWidth="1"/>
    <col min="4" max="4" width="8" style="192" customWidth="1"/>
    <col min="5" max="5" width="6.5703125" style="192" customWidth="1"/>
    <col min="6" max="6" width="11.42578125" style="192" bestFit="1" customWidth="1"/>
    <col min="7" max="7" width="6.5703125" style="192" customWidth="1"/>
    <col min="8" max="8" width="25.42578125" style="192" customWidth="1"/>
    <col min="9" max="9" width="5.5703125" style="192" customWidth="1"/>
    <col min="10" max="10" width="6.5703125" style="192" customWidth="1"/>
    <col min="11" max="11" width="25.42578125" style="192" customWidth="1"/>
    <col min="12" max="12" width="4.5703125" style="192" customWidth="1"/>
    <col min="13" max="16384" width="9.42578125" style="192"/>
  </cols>
  <sheetData>
    <row r="1" spans="2:12" ht="12.95">
      <c r="B1" s="516"/>
      <c r="C1" s="516"/>
      <c r="D1" s="516"/>
      <c r="E1" s="516"/>
      <c r="F1" s="516"/>
      <c r="G1" s="516"/>
    </row>
    <row r="2" spans="2:12" ht="18">
      <c r="B2" s="517" t="s">
        <v>1122</v>
      </c>
      <c r="C2" s="516"/>
      <c r="D2" s="516"/>
      <c r="E2" s="516"/>
      <c r="F2" s="516"/>
      <c r="G2" s="516"/>
      <c r="H2" s="518"/>
      <c r="I2" s="518"/>
      <c r="J2" s="518"/>
      <c r="K2" s="519"/>
    </row>
    <row r="3" spans="2:12" ht="9.75" customHeight="1">
      <c r="B3" s="517"/>
      <c r="C3" s="516"/>
      <c r="D3" s="516"/>
      <c r="E3" s="516"/>
      <c r="F3" s="516"/>
      <c r="G3" s="516"/>
      <c r="H3" s="518"/>
      <c r="I3" s="518"/>
      <c r="J3" s="518"/>
      <c r="K3" s="519"/>
    </row>
    <row r="4" spans="2:12" ht="18">
      <c r="B4" s="517" t="s">
        <v>1168</v>
      </c>
      <c r="C4" s="516"/>
      <c r="D4" s="516"/>
      <c r="E4" s="516"/>
      <c r="F4" s="516"/>
      <c r="G4"/>
      <c r="H4" s="518"/>
      <c r="I4" s="518"/>
      <c r="J4" s="518"/>
      <c r="K4" s="519"/>
    </row>
    <row r="5" spans="2:12">
      <c r="B5"/>
      <c r="D5"/>
      <c r="G5"/>
    </row>
    <row r="6" spans="2:12" ht="12.95" thickBot="1">
      <c r="G6"/>
    </row>
    <row r="7" spans="2:12" ht="31.5" thickBot="1">
      <c r="B7" s="870" t="s">
        <v>1169</v>
      </c>
      <c r="C7" s="871" t="s">
        <v>4</v>
      </c>
      <c r="D7" s="872" t="s">
        <v>1170</v>
      </c>
      <c r="E7" s="873" t="s">
        <v>5</v>
      </c>
      <c r="F7" s="799" t="s">
        <v>1022</v>
      </c>
      <c r="G7" s="874"/>
      <c r="H7" s="875" t="str">
        <f>"Calendar Year " &amp;_Calendaryear</f>
        <v>Calendar Year 2023</v>
      </c>
      <c r="I7" s="611" t="s">
        <v>11</v>
      </c>
      <c r="J7" s="876"/>
      <c r="K7" s="875" t="str">
        <f>"Financial year " &amp; _reportyear</f>
        <v>Financial year 2023-24</v>
      </c>
      <c r="L7" s="611" t="s">
        <v>11</v>
      </c>
    </row>
    <row r="8" spans="2:12" ht="12.95" thickBot="1">
      <c r="F8"/>
      <c r="G8"/>
    </row>
    <row r="9" spans="2:12" ht="15.95" thickBot="1">
      <c r="B9" s="1408" t="s">
        <v>1171</v>
      </c>
      <c r="C9" s="1409"/>
      <c r="D9"/>
      <c r="F9"/>
      <c r="G9"/>
    </row>
    <row r="10" spans="2:12" ht="12.95" thickBot="1">
      <c r="D10"/>
      <c r="F10" s="610"/>
      <c r="G10"/>
    </row>
    <row r="11" spans="2:12" ht="15.95" thickBot="1">
      <c r="B11" s="612" t="s">
        <v>1172</v>
      </c>
      <c r="C11" s="770"/>
      <c r="D11"/>
      <c r="F11" s="610"/>
      <c r="G11"/>
    </row>
    <row r="12" spans="2:12" ht="12.95" thickBot="1">
      <c r="F12" s="610"/>
      <c r="G12"/>
    </row>
    <row r="13" spans="2:12" s="211" customFormat="1" ht="18" customHeight="1" thickBot="1">
      <c r="B13" s="772"/>
      <c r="C13" s="773" t="s">
        <v>1173</v>
      </c>
      <c r="D13" s="773"/>
      <c r="E13" s="773"/>
      <c r="F13" s="774"/>
      <c r="G13" s="610"/>
      <c r="I13" s="192"/>
      <c r="J13" s="192"/>
    </row>
    <row r="14" spans="2:12">
      <c r="B14" s="782" t="s">
        <v>1174</v>
      </c>
      <c r="C14" s="596" t="s">
        <v>1175</v>
      </c>
      <c r="D14" s="769" t="s">
        <v>1176</v>
      </c>
      <c r="E14" s="804" t="s">
        <v>21</v>
      </c>
      <c r="F14" s="800" t="s">
        <v>16</v>
      </c>
      <c r="G14" s="610"/>
      <c r="H14" s="1240">
        <v>1428</v>
      </c>
      <c r="I14" s="1315" t="s">
        <v>81</v>
      </c>
      <c r="K14" s="613">
        <v>1428</v>
      </c>
      <c r="L14" s="1315" t="s">
        <v>81</v>
      </c>
    </row>
    <row r="15" spans="2:12">
      <c r="B15" s="782" t="s">
        <v>1177</v>
      </c>
      <c r="C15" s="535" t="s">
        <v>1178</v>
      </c>
      <c r="D15" s="598" t="s">
        <v>1179</v>
      </c>
      <c r="E15" s="805" t="s">
        <v>21</v>
      </c>
      <c r="F15" s="801" t="s">
        <v>16</v>
      </c>
      <c r="G15" s="610"/>
      <c r="H15" s="940">
        <v>581</v>
      </c>
      <c r="I15" s="1316" t="s">
        <v>34</v>
      </c>
      <c r="K15" s="607">
        <v>581</v>
      </c>
      <c r="L15" s="1316" t="s">
        <v>34</v>
      </c>
    </row>
    <row r="16" spans="2:12">
      <c r="B16" s="782" t="s">
        <v>1180</v>
      </c>
      <c r="C16" s="535" t="s">
        <v>1181</v>
      </c>
      <c r="D16" s="598" t="s">
        <v>1182</v>
      </c>
      <c r="E16" s="805" t="s">
        <v>21</v>
      </c>
      <c r="F16" s="801" t="s">
        <v>16</v>
      </c>
      <c r="G16" s="610"/>
      <c r="H16" s="941">
        <v>14</v>
      </c>
      <c r="I16" s="1316" t="s">
        <v>34</v>
      </c>
      <c r="K16" s="608">
        <v>17</v>
      </c>
      <c r="L16" s="1316" t="s">
        <v>34</v>
      </c>
    </row>
    <row r="17" spans="2:12" ht="12.95" thickBot="1">
      <c r="B17" s="523" t="s">
        <v>1183</v>
      </c>
      <c r="C17" s="776" t="s">
        <v>1184</v>
      </c>
      <c r="D17" s="783" t="s">
        <v>1185</v>
      </c>
      <c r="E17" s="806" t="s">
        <v>26</v>
      </c>
      <c r="F17" s="802" t="s">
        <v>27</v>
      </c>
      <c r="G17" s="610"/>
      <c r="H17" s="609">
        <f>+(H14-H16)/H14</f>
        <v>0.99019607843137258</v>
      </c>
      <c r="I17" s="1317" t="s">
        <v>81</v>
      </c>
      <c r="K17" s="609">
        <f>+(K14-K16)/K14</f>
        <v>0.98809523809523814</v>
      </c>
      <c r="L17" s="1317" t="s">
        <v>81</v>
      </c>
    </row>
    <row r="18" spans="2:12" ht="12.95" thickBot="1">
      <c r="E18" s="616"/>
      <c r="F18" s="803"/>
      <c r="G18" s="610"/>
      <c r="I18" s="616"/>
      <c r="L18" s="616"/>
    </row>
    <row r="19" spans="2:12" s="211" customFormat="1" ht="15.95" thickBot="1">
      <c r="B19" s="772"/>
      <c r="C19" s="773" t="s">
        <v>1186</v>
      </c>
      <c r="D19" s="773"/>
      <c r="E19" s="807"/>
      <c r="F19" s="774"/>
      <c r="G19" s="610"/>
      <c r="I19" s="616"/>
      <c r="J19" s="192"/>
      <c r="L19" s="1015"/>
    </row>
    <row r="20" spans="2:12">
      <c r="B20" s="522" t="s">
        <v>1187</v>
      </c>
      <c r="C20" s="535" t="s">
        <v>1175</v>
      </c>
      <c r="D20" s="535" t="s">
        <v>1188</v>
      </c>
      <c r="E20" s="808" t="s">
        <v>21</v>
      </c>
      <c r="F20" s="800" t="s">
        <v>16</v>
      </c>
      <c r="G20" s="610"/>
      <c r="H20" s="939">
        <v>1428</v>
      </c>
      <c r="I20" s="1315" t="s">
        <v>81</v>
      </c>
      <c r="K20" s="613">
        <v>1428</v>
      </c>
      <c r="L20" s="1315" t="s">
        <v>81</v>
      </c>
    </row>
    <row r="21" spans="2:12">
      <c r="B21" s="522" t="s">
        <v>1189</v>
      </c>
      <c r="C21" s="535" t="s">
        <v>1178</v>
      </c>
      <c r="D21" s="535" t="s">
        <v>1190</v>
      </c>
      <c r="E21" s="808" t="s">
        <v>21</v>
      </c>
      <c r="F21" s="801" t="s">
        <v>16</v>
      </c>
      <c r="G21" s="610"/>
      <c r="H21" s="940">
        <v>581</v>
      </c>
      <c r="I21" s="1316" t="s">
        <v>34</v>
      </c>
      <c r="K21" s="607">
        <v>581</v>
      </c>
      <c r="L21" s="1316" t="s">
        <v>34</v>
      </c>
    </row>
    <row r="22" spans="2:12">
      <c r="B22" s="522" t="s">
        <v>1191</v>
      </c>
      <c r="C22" s="535" t="s">
        <v>1181</v>
      </c>
      <c r="D22" s="535" t="s">
        <v>1192</v>
      </c>
      <c r="E22" s="808" t="s">
        <v>21</v>
      </c>
      <c r="F22" s="801" t="s">
        <v>16</v>
      </c>
      <c r="G22" s="610"/>
      <c r="H22" s="941">
        <v>0</v>
      </c>
      <c r="I22" s="1316" t="s">
        <v>34</v>
      </c>
      <c r="K22" s="608">
        <v>0</v>
      </c>
      <c r="L22" s="1316" t="s">
        <v>34</v>
      </c>
    </row>
    <row r="23" spans="2:12" ht="12.95" thickBot="1">
      <c r="B23" s="775" t="s">
        <v>1193</v>
      </c>
      <c r="C23" s="776" t="s">
        <v>1184</v>
      </c>
      <c r="D23" s="776" t="s">
        <v>1194</v>
      </c>
      <c r="E23" s="809" t="s">
        <v>26</v>
      </c>
      <c r="F23" s="802" t="s">
        <v>27</v>
      </c>
      <c r="G23" s="610"/>
      <c r="H23" s="609">
        <f>+(H20-H22)/H20</f>
        <v>1</v>
      </c>
      <c r="I23" s="1317" t="s">
        <v>81</v>
      </c>
      <c r="K23" s="609">
        <f>+(K20-K22)/K20</f>
        <v>1</v>
      </c>
      <c r="L23" s="1317" t="s">
        <v>81</v>
      </c>
    </row>
    <row r="24" spans="2:12" ht="12.95" thickBot="1">
      <c r="E24" s="616"/>
      <c r="F24" s="803"/>
      <c r="G24" s="610"/>
      <c r="I24" s="616"/>
      <c r="L24" s="616"/>
    </row>
    <row r="25" spans="2:12" s="211" customFormat="1" ht="15.95" thickBot="1">
      <c r="B25" s="772"/>
      <c r="C25" s="773" t="s">
        <v>1195</v>
      </c>
      <c r="D25" s="773"/>
      <c r="E25" s="807"/>
      <c r="F25" s="774"/>
      <c r="G25" s="610"/>
      <c r="I25" s="616"/>
      <c r="J25" s="192"/>
      <c r="L25" s="1015"/>
    </row>
    <row r="26" spans="2:12">
      <c r="B26" s="522" t="s">
        <v>1196</v>
      </c>
      <c r="C26" s="535" t="s">
        <v>1197</v>
      </c>
      <c r="D26" s="535" t="s">
        <v>1198</v>
      </c>
      <c r="E26" s="808" t="s">
        <v>21</v>
      </c>
      <c r="F26" s="800" t="s">
        <v>16</v>
      </c>
      <c r="G26" s="610"/>
      <c r="H26" s="939">
        <v>1428</v>
      </c>
      <c r="I26" s="1315" t="s">
        <v>81</v>
      </c>
      <c r="K26" s="613">
        <v>1428</v>
      </c>
      <c r="L26" s="1315" t="s">
        <v>81</v>
      </c>
    </row>
    <row r="27" spans="2:12">
      <c r="B27" s="522" t="s">
        <v>1199</v>
      </c>
      <c r="C27" s="535" t="s">
        <v>1178</v>
      </c>
      <c r="D27" s="535" t="s">
        <v>1200</v>
      </c>
      <c r="E27" s="808" t="s">
        <v>21</v>
      </c>
      <c r="F27" s="801" t="s">
        <v>16</v>
      </c>
      <c r="G27" s="610"/>
      <c r="H27" s="940">
        <v>581</v>
      </c>
      <c r="I27" s="1316" t="s">
        <v>34</v>
      </c>
      <c r="K27" s="607">
        <v>581</v>
      </c>
      <c r="L27" s="1316" t="s">
        <v>34</v>
      </c>
    </row>
    <row r="28" spans="2:12">
      <c r="B28" s="522" t="s">
        <v>1201</v>
      </c>
      <c r="C28" s="535" t="s">
        <v>1181</v>
      </c>
      <c r="D28" s="535" t="s">
        <v>1202</v>
      </c>
      <c r="E28" s="808" t="s">
        <v>21</v>
      </c>
      <c r="F28" s="801" t="s">
        <v>16</v>
      </c>
      <c r="G28" s="610"/>
      <c r="H28" s="941">
        <v>14</v>
      </c>
      <c r="I28" s="1316" t="s">
        <v>34</v>
      </c>
      <c r="K28" s="608">
        <v>17</v>
      </c>
      <c r="L28" s="1316" t="s">
        <v>34</v>
      </c>
    </row>
    <row r="29" spans="2:12" ht="12.95" thickBot="1">
      <c r="B29" s="775" t="s">
        <v>1203</v>
      </c>
      <c r="C29" s="776" t="s">
        <v>1184</v>
      </c>
      <c r="D29" s="776" t="s">
        <v>1204</v>
      </c>
      <c r="E29" s="809" t="s">
        <v>26</v>
      </c>
      <c r="F29" s="802" t="s">
        <v>27</v>
      </c>
      <c r="G29" s="610"/>
      <c r="H29" s="609">
        <f>+(H26-H28)/H26</f>
        <v>0.99019607843137258</v>
      </c>
      <c r="I29" s="1317" t="s">
        <v>81</v>
      </c>
      <c r="K29" s="609">
        <f>+(K26-K28)/K26</f>
        <v>0.98809523809523814</v>
      </c>
      <c r="L29" s="1317" t="s">
        <v>81</v>
      </c>
    </row>
    <row r="30" spans="2:12" ht="12.95" thickBot="1">
      <c r="E30" s="616"/>
      <c r="F30" s="803"/>
      <c r="G30" s="610"/>
      <c r="I30" s="616"/>
      <c r="L30" s="616"/>
    </row>
    <row r="31" spans="2:12" ht="18" customHeight="1" thickBot="1">
      <c r="B31" s="772"/>
      <c r="C31" s="773" t="s">
        <v>1205</v>
      </c>
      <c r="D31" s="773"/>
      <c r="E31" s="807"/>
      <c r="F31" s="774"/>
      <c r="G31" s="610"/>
      <c r="I31" s="616"/>
      <c r="L31" s="616"/>
    </row>
    <row r="32" spans="2:12">
      <c r="B32" s="522" t="s">
        <v>1206</v>
      </c>
      <c r="C32" s="535" t="s">
        <v>1175</v>
      </c>
      <c r="D32" s="535" t="s">
        <v>1207</v>
      </c>
      <c r="E32" s="808" t="s">
        <v>21</v>
      </c>
      <c r="F32" s="800" t="s">
        <v>16</v>
      </c>
      <c r="G32" s="610"/>
      <c r="H32" s="1241">
        <v>369</v>
      </c>
      <c r="I32" s="1315" t="s">
        <v>81</v>
      </c>
      <c r="K32" s="1243">
        <v>369</v>
      </c>
      <c r="L32" s="1315" t="s">
        <v>81</v>
      </c>
    </row>
    <row r="33" spans="2:12">
      <c r="B33" s="522" t="s">
        <v>1208</v>
      </c>
      <c r="C33" s="535" t="s">
        <v>1178</v>
      </c>
      <c r="D33" s="535" t="s">
        <v>1209</v>
      </c>
      <c r="E33" s="808" t="s">
        <v>21</v>
      </c>
      <c r="F33" s="801" t="s">
        <v>16</v>
      </c>
      <c r="G33" s="610"/>
      <c r="H33" s="1242">
        <v>2</v>
      </c>
      <c r="I33" s="1318" t="s">
        <v>34</v>
      </c>
      <c r="K33" s="1244">
        <v>2</v>
      </c>
      <c r="L33" s="1318" t="s">
        <v>34</v>
      </c>
    </row>
    <row r="34" spans="2:12">
      <c r="B34" s="522" t="s">
        <v>1210</v>
      </c>
      <c r="C34" s="535" t="s">
        <v>1181</v>
      </c>
      <c r="D34" s="535" t="s">
        <v>1211</v>
      </c>
      <c r="E34" s="808" t="s">
        <v>21</v>
      </c>
      <c r="F34" s="801" t="s">
        <v>16</v>
      </c>
      <c r="G34" s="610"/>
      <c r="H34" s="941">
        <v>1</v>
      </c>
      <c r="I34" s="1316" t="s">
        <v>34</v>
      </c>
      <c r="K34" s="608">
        <v>0</v>
      </c>
      <c r="L34" s="1316" t="s">
        <v>34</v>
      </c>
    </row>
    <row r="35" spans="2:12" ht="12.95" thickBot="1">
      <c r="B35" s="775" t="s">
        <v>1212</v>
      </c>
      <c r="C35" s="776" t="s">
        <v>1184</v>
      </c>
      <c r="D35" s="776" t="s">
        <v>1213</v>
      </c>
      <c r="E35" s="809" t="s">
        <v>26</v>
      </c>
      <c r="F35" s="802" t="s">
        <v>27</v>
      </c>
      <c r="G35" s="610"/>
      <c r="H35" s="609">
        <f>+(H32-H34)/H32</f>
        <v>0.99728997289972898</v>
      </c>
      <c r="I35" s="1317" t="s">
        <v>229</v>
      </c>
      <c r="K35" s="609">
        <f>+(K32-K34)/K32</f>
        <v>1</v>
      </c>
      <c r="L35" s="1317" t="s">
        <v>229</v>
      </c>
    </row>
    <row r="36" spans="2:12" ht="12.95" thickBot="1">
      <c r="E36" s="616"/>
      <c r="F36" s="803"/>
      <c r="G36" s="610"/>
      <c r="I36" s="616"/>
      <c r="L36" s="616"/>
    </row>
    <row r="37" spans="2:12" ht="15.95" thickBot="1">
      <c r="B37" s="772"/>
      <c r="C37" s="773" t="s">
        <v>1214</v>
      </c>
      <c r="D37" s="773"/>
      <c r="E37" s="807"/>
      <c r="F37" s="774"/>
      <c r="G37" s="610"/>
      <c r="H37" s="211"/>
      <c r="I37" s="616"/>
      <c r="K37" s="211"/>
      <c r="L37" s="616"/>
    </row>
    <row r="38" spans="2:12">
      <c r="B38" s="522" t="s">
        <v>1215</v>
      </c>
      <c r="C38" s="535" t="s">
        <v>1216</v>
      </c>
      <c r="D38" s="535" t="s">
        <v>1217</v>
      </c>
      <c r="E38" s="808" t="s">
        <v>21</v>
      </c>
      <c r="F38" s="800" t="s">
        <v>16</v>
      </c>
      <c r="G38" s="610"/>
      <c r="H38" s="939">
        <v>14</v>
      </c>
      <c r="I38" s="1319" t="s">
        <v>34</v>
      </c>
      <c r="K38" s="615">
        <v>17</v>
      </c>
      <c r="L38" s="1319" t="s">
        <v>34</v>
      </c>
    </row>
    <row r="39" spans="2:12">
      <c r="B39" s="522" t="s">
        <v>1218</v>
      </c>
      <c r="C39" s="535" t="s">
        <v>1219</v>
      </c>
      <c r="D39" s="535" t="s">
        <v>1220</v>
      </c>
      <c r="E39" s="808" t="s">
        <v>21</v>
      </c>
      <c r="F39" s="801" t="s">
        <v>16</v>
      </c>
      <c r="G39" s="610"/>
      <c r="H39" s="614">
        <v>175768</v>
      </c>
      <c r="I39" s="1316" t="s">
        <v>34</v>
      </c>
      <c r="K39" s="614">
        <v>183386</v>
      </c>
      <c r="L39" s="1316" t="s">
        <v>34</v>
      </c>
    </row>
    <row r="40" spans="2:12">
      <c r="B40" s="522" t="s">
        <v>1221</v>
      </c>
      <c r="C40" s="535" t="s">
        <v>1222</v>
      </c>
      <c r="D40" s="535" t="s">
        <v>1223</v>
      </c>
      <c r="E40" s="808" t="s">
        <v>21</v>
      </c>
      <c r="F40" s="801" t="s">
        <v>16</v>
      </c>
      <c r="G40" s="610"/>
      <c r="H40" s="614">
        <v>6485186</v>
      </c>
      <c r="I40" s="1316" t="s">
        <v>34</v>
      </c>
      <c r="K40" s="614">
        <v>6485186</v>
      </c>
      <c r="L40" s="1316" t="s">
        <v>34</v>
      </c>
    </row>
    <row r="41" spans="2:12" ht="12.95" thickBot="1">
      <c r="B41" s="775" t="s">
        <v>1224</v>
      </c>
      <c r="C41" s="776" t="s">
        <v>1225</v>
      </c>
      <c r="D41" s="776" t="s">
        <v>1226</v>
      </c>
      <c r="E41" s="809" t="s">
        <v>26</v>
      </c>
      <c r="F41" s="802" t="s">
        <v>27</v>
      </c>
      <c r="G41" s="610"/>
      <c r="H41" s="609">
        <f>+H39/H40</f>
        <v>2.7103000592427109E-2</v>
      </c>
      <c r="I41" s="1317" t="s">
        <v>34</v>
      </c>
      <c r="K41" s="609">
        <f>+K39/K40</f>
        <v>2.8277677772079322E-2</v>
      </c>
      <c r="L41" s="1317" t="s">
        <v>34</v>
      </c>
    </row>
    <row r="42" spans="2:12" ht="12.95" thickBot="1">
      <c r="E42" s="616"/>
      <c r="F42" s="803"/>
      <c r="G42" s="610"/>
      <c r="I42" s="616"/>
      <c r="L42" s="616"/>
    </row>
    <row r="43" spans="2:12" ht="15.95" thickBot="1">
      <c r="B43" s="1406" t="s">
        <v>1227</v>
      </c>
      <c r="C43" s="1407"/>
      <c r="D43" s="771"/>
      <c r="E43" s="810"/>
      <c r="F43" s="803"/>
      <c r="G43" s="610"/>
      <c r="I43" s="616"/>
      <c r="L43" s="616"/>
    </row>
    <row r="44" spans="2:12" ht="12.95" thickBot="1">
      <c r="E44" s="616"/>
      <c r="F44" s="803"/>
      <c r="G44" s="610"/>
      <c r="I44" s="616"/>
      <c r="L44" s="616"/>
    </row>
    <row r="45" spans="2:12" s="211" customFormat="1" ht="15.95" thickBot="1">
      <c r="B45" s="772"/>
      <c r="C45" s="773" t="s">
        <v>1228</v>
      </c>
      <c r="D45" s="773"/>
      <c r="E45" s="807"/>
      <c r="F45" s="774"/>
      <c r="G45" s="610"/>
      <c r="I45" s="616"/>
      <c r="J45" s="192"/>
      <c r="L45" s="1015"/>
    </row>
    <row r="46" spans="2:12">
      <c r="B46" s="522" t="s">
        <v>1229</v>
      </c>
      <c r="C46" s="535" t="s">
        <v>1197</v>
      </c>
      <c r="D46" s="535" t="s">
        <v>1230</v>
      </c>
      <c r="E46" s="808" t="s">
        <v>21</v>
      </c>
      <c r="F46" s="800" t="s">
        <v>16</v>
      </c>
      <c r="G46" s="610"/>
      <c r="H46" s="939">
        <v>198</v>
      </c>
      <c r="I46" s="1319" t="s">
        <v>34</v>
      </c>
      <c r="K46" s="613">
        <v>198</v>
      </c>
      <c r="L46" s="1319" t="s">
        <v>34</v>
      </c>
    </row>
    <row r="47" spans="2:12">
      <c r="B47" s="522" t="s">
        <v>1231</v>
      </c>
      <c r="C47" s="535" t="s">
        <v>1178</v>
      </c>
      <c r="D47" s="535" t="s">
        <v>1232</v>
      </c>
      <c r="E47" s="808" t="s">
        <v>21</v>
      </c>
      <c r="F47" s="801" t="s">
        <v>16</v>
      </c>
      <c r="G47" s="610"/>
      <c r="H47" s="940">
        <v>198</v>
      </c>
      <c r="I47" s="1316" t="s">
        <v>34</v>
      </c>
      <c r="K47" s="607">
        <v>198</v>
      </c>
      <c r="L47" s="1316" t="s">
        <v>34</v>
      </c>
    </row>
    <row r="48" spans="2:12">
      <c r="B48" s="522" t="s">
        <v>1233</v>
      </c>
      <c r="C48" s="535" t="s">
        <v>1181</v>
      </c>
      <c r="D48" s="535" t="s">
        <v>1234</v>
      </c>
      <c r="E48" s="808" t="s">
        <v>21</v>
      </c>
      <c r="F48" s="801" t="s">
        <v>16</v>
      </c>
      <c r="G48" s="610"/>
      <c r="H48" s="940">
        <v>7</v>
      </c>
      <c r="I48" s="1316" t="s">
        <v>34</v>
      </c>
      <c r="K48" s="607">
        <v>5</v>
      </c>
      <c r="L48" s="1316" t="s">
        <v>34</v>
      </c>
    </row>
    <row r="49" spans="2:12" ht="12.95" thickBot="1">
      <c r="B49" s="775" t="s">
        <v>1235</v>
      </c>
      <c r="C49" s="776" t="s">
        <v>1184</v>
      </c>
      <c r="D49" s="776" t="s">
        <v>1236</v>
      </c>
      <c r="E49" s="809" t="s">
        <v>26</v>
      </c>
      <c r="F49" s="802" t="s">
        <v>27</v>
      </c>
      <c r="G49" s="610"/>
      <c r="H49" s="609">
        <f>+(H46-H48)/H46</f>
        <v>0.96464646464646464</v>
      </c>
      <c r="I49" s="1317" t="s">
        <v>34</v>
      </c>
      <c r="K49" s="609">
        <f>+(K46-K48)/K46</f>
        <v>0.9747474747474747</v>
      </c>
      <c r="L49" s="1317" t="s">
        <v>34</v>
      </c>
    </row>
    <row r="50" spans="2:12" ht="12.95" thickBot="1">
      <c r="E50" s="616"/>
      <c r="F50" s="803"/>
      <c r="G50" s="610"/>
      <c r="I50" s="616"/>
      <c r="L50" s="616"/>
    </row>
    <row r="51" spans="2:12" ht="15.95" thickBot="1">
      <c r="B51" s="1406" t="s">
        <v>1237</v>
      </c>
      <c r="C51" s="1407"/>
      <c r="D51" s="771"/>
      <c r="E51" s="810"/>
      <c r="F51" s="803"/>
      <c r="G51" s="610"/>
      <c r="I51" s="616"/>
      <c r="L51" s="616"/>
    </row>
    <row r="52" spans="2:12" ht="12.95" thickBot="1">
      <c r="E52" s="616"/>
      <c r="F52" s="803"/>
      <c r="G52" s="610"/>
      <c r="I52" s="616"/>
      <c r="L52" s="616"/>
    </row>
    <row r="53" spans="2:12" ht="15.95" thickBot="1">
      <c r="B53" s="778"/>
      <c r="C53" s="779" t="s">
        <v>1238</v>
      </c>
      <c r="D53" s="780"/>
      <c r="E53" s="811"/>
      <c r="F53" s="781"/>
      <c r="G53" s="610"/>
      <c r="H53" s="211"/>
      <c r="I53" s="616"/>
      <c r="K53" s="211"/>
      <c r="L53" s="616"/>
    </row>
    <row r="54" spans="2:12">
      <c r="B54" s="522" t="s">
        <v>1239</v>
      </c>
      <c r="C54" s="596" t="s">
        <v>1240</v>
      </c>
      <c r="D54" s="596" t="s">
        <v>1241</v>
      </c>
      <c r="E54" s="812" t="s">
        <v>21</v>
      </c>
      <c r="F54" s="800" t="s">
        <v>16</v>
      </c>
      <c r="G54" s="610"/>
      <c r="H54" s="942">
        <v>21</v>
      </c>
      <c r="I54" s="1320" t="s">
        <v>34</v>
      </c>
      <c r="K54" s="764">
        <v>22</v>
      </c>
      <c r="L54" s="1320" t="s">
        <v>34</v>
      </c>
    </row>
    <row r="55" spans="2:12">
      <c r="B55" s="522" t="s">
        <v>1242</v>
      </c>
      <c r="C55" s="535" t="s">
        <v>1219</v>
      </c>
      <c r="D55" s="535" t="s">
        <v>1243</v>
      </c>
      <c r="E55" s="808" t="s">
        <v>21</v>
      </c>
      <c r="F55" s="801" t="s">
        <v>16</v>
      </c>
      <c r="G55" s="610"/>
      <c r="H55" s="766">
        <v>644662</v>
      </c>
      <c r="I55" s="1321" t="s">
        <v>34</v>
      </c>
      <c r="K55" s="766">
        <v>569856</v>
      </c>
      <c r="L55" s="1321" t="s">
        <v>34</v>
      </c>
    </row>
    <row r="56" spans="2:12">
      <c r="B56" s="522" t="s">
        <v>1244</v>
      </c>
      <c r="C56" s="535" t="s">
        <v>1222</v>
      </c>
      <c r="D56" s="535" t="s">
        <v>1245</v>
      </c>
      <c r="E56" s="808" t="s">
        <v>21</v>
      </c>
      <c r="F56" s="801" t="s">
        <v>16</v>
      </c>
      <c r="G56" s="610"/>
      <c r="H56" s="766">
        <v>6485186</v>
      </c>
      <c r="I56" s="1321" t="s">
        <v>34</v>
      </c>
      <c r="K56" s="766">
        <v>6485186</v>
      </c>
      <c r="L56" s="1321" t="s">
        <v>34</v>
      </c>
    </row>
    <row r="57" spans="2:12">
      <c r="B57" s="522" t="s">
        <v>1246</v>
      </c>
      <c r="C57" s="535" t="s">
        <v>1225</v>
      </c>
      <c r="D57" s="535" t="s">
        <v>1247</v>
      </c>
      <c r="E57" s="808" t="s">
        <v>26</v>
      </c>
      <c r="F57" s="801" t="s">
        <v>27</v>
      </c>
      <c r="G57" s="610"/>
      <c r="H57" s="767">
        <f>+H55/H56</f>
        <v>9.9405321605270838E-2</v>
      </c>
      <c r="I57" s="1321" t="s">
        <v>34</v>
      </c>
      <c r="K57" s="767">
        <f>+K55/K56</f>
        <v>8.7870417286412442E-2</v>
      </c>
      <c r="L57" s="1321" t="s">
        <v>34</v>
      </c>
    </row>
    <row r="58" spans="2:12">
      <c r="B58" s="522" t="s">
        <v>1248</v>
      </c>
      <c r="C58" s="535" t="s">
        <v>1249</v>
      </c>
      <c r="D58" s="596"/>
      <c r="E58" s="812" t="s">
        <v>21</v>
      </c>
      <c r="F58" s="800" t="s">
        <v>16</v>
      </c>
      <c r="G58" s="610"/>
      <c r="H58" s="943">
        <v>1</v>
      </c>
      <c r="I58" s="1321" t="s">
        <v>34</v>
      </c>
      <c r="K58" s="765">
        <v>0</v>
      </c>
      <c r="L58" s="1321" t="s">
        <v>34</v>
      </c>
    </row>
    <row r="59" spans="2:12">
      <c r="B59" s="522" t="s">
        <v>1250</v>
      </c>
      <c r="C59" s="535" t="s">
        <v>1251</v>
      </c>
      <c r="D59" s="596"/>
      <c r="E59" s="812" t="s">
        <v>21</v>
      </c>
      <c r="F59" s="801" t="s">
        <v>16</v>
      </c>
      <c r="G59" s="610"/>
      <c r="H59" s="766">
        <v>16561</v>
      </c>
      <c r="I59" s="1321" t="s">
        <v>34</v>
      </c>
      <c r="K59" s="765">
        <v>0</v>
      </c>
      <c r="L59" s="1321" t="s">
        <v>34</v>
      </c>
    </row>
    <row r="60" spans="2:12">
      <c r="B60" s="522" t="s">
        <v>1252</v>
      </c>
      <c r="C60" s="535" t="s">
        <v>1253</v>
      </c>
      <c r="D60" s="596"/>
      <c r="E60" s="812" t="s">
        <v>21</v>
      </c>
      <c r="F60" s="801" t="s">
        <v>16</v>
      </c>
      <c r="G60" s="610"/>
      <c r="H60" s="766">
        <v>6485186</v>
      </c>
      <c r="I60" s="1321" t="s">
        <v>34</v>
      </c>
      <c r="K60" s="766">
        <v>6485186</v>
      </c>
      <c r="L60" s="1321" t="s">
        <v>34</v>
      </c>
    </row>
    <row r="61" spans="2:12" ht="12.95" thickBot="1">
      <c r="B61" s="775" t="s">
        <v>1254</v>
      </c>
      <c r="C61" s="814" t="s">
        <v>1255</v>
      </c>
      <c r="D61" s="777"/>
      <c r="E61" s="813" t="s">
        <v>26</v>
      </c>
      <c r="F61" s="802" t="s">
        <v>27</v>
      </c>
      <c r="G61" s="610"/>
      <c r="H61" s="768">
        <f>+H59/H60</f>
        <v>2.5536661554502833E-3</v>
      </c>
      <c r="I61" s="1322" t="s">
        <v>34</v>
      </c>
      <c r="K61" s="768">
        <f>+K59/K60</f>
        <v>0</v>
      </c>
      <c r="L61" s="1322" t="s">
        <v>34</v>
      </c>
    </row>
    <row r="62" spans="2:12">
      <c r="E62" s="616"/>
      <c r="F62" s="803"/>
      <c r="G62" s="610"/>
    </row>
    <row r="63" spans="2:12" s="606" customFormat="1"/>
    <row r="64" spans="2:12" s="606" customFormat="1"/>
    <row r="65" spans="2:11" s="211" customFormat="1" ht="15.6">
      <c r="B65" s="524" t="s">
        <v>1119</v>
      </c>
    </row>
    <row r="66" spans="2:11" ht="55.5" customHeight="1">
      <c r="B66" s="525"/>
      <c r="C66" s="1401" t="s">
        <v>1256</v>
      </c>
      <c r="D66" s="1401"/>
      <c r="E66" s="1401"/>
      <c r="F66" s="1401"/>
      <c r="G66" s="1401"/>
      <c r="H66" s="1401"/>
      <c r="I66" s="1401"/>
      <c r="J66" s="1401"/>
      <c r="K66" s="1402"/>
    </row>
    <row r="67" spans="2:11">
      <c r="B67" s="527"/>
      <c r="C67" s="1395"/>
      <c r="D67" s="1395"/>
      <c r="E67" s="1395"/>
      <c r="F67" s="1395"/>
      <c r="G67" s="1395"/>
      <c r="H67" s="1395"/>
      <c r="I67" s="1395"/>
      <c r="J67" s="1395"/>
      <c r="K67" s="1403"/>
    </row>
    <row r="68" spans="2:11">
      <c r="B68" s="527"/>
      <c r="C68" s="1395"/>
      <c r="D68" s="1395"/>
      <c r="E68" s="1395"/>
      <c r="F68" s="1395"/>
      <c r="G68" s="1395"/>
      <c r="H68" s="1395"/>
      <c r="I68" s="1395"/>
      <c r="J68" s="1395"/>
      <c r="K68" s="1403"/>
    </row>
    <row r="69" spans="2:11" ht="13.5" customHeight="1">
      <c r="B69" s="529"/>
      <c r="C69" s="1404"/>
      <c r="D69" s="1404"/>
      <c r="E69" s="1404"/>
      <c r="F69" s="1404"/>
      <c r="G69" s="1404"/>
      <c r="H69" s="1404"/>
      <c r="I69" s="1404"/>
      <c r="J69" s="1404"/>
      <c r="K69" s="1405"/>
    </row>
    <row r="70" spans="2:11">
      <c r="B70" s="532"/>
      <c r="C70" s="192" t="s">
        <v>1123</v>
      </c>
    </row>
    <row r="71" spans="2:11">
      <c r="B71" s="533"/>
      <c r="C71" s="197"/>
      <c r="D71" s="197"/>
      <c r="E71" s="210"/>
      <c r="F71" s="210"/>
      <c r="G71" s="210"/>
      <c r="H71" s="210"/>
      <c r="I71" s="210"/>
      <c r="J71" s="210"/>
      <c r="K71" s="209"/>
    </row>
    <row r="72" spans="2:11">
      <c r="B72" s="208" t="s">
        <v>523</v>
      </c>
      <c r="C72" s="207"/>
      <c r="D72" s="207"/>
      <c r="E72" s="206"/>
      <c r="F72" s="206"/>
      <c r="G72" s="206"/>
      <c r="H72" s="207" t="s">
        <v>40</v>
      </c>
      <c r="I72" s="207"/>
      <c r="J72" s="207"/>
      <c r="K72" s="205"/>
    </row>
    <row r="73" spans="2:11" ht="12.95" thickBot="1">
      <c r="B73" s="534"/>
      <c r="C73" s="204"/>
      <c r="D73" s="204"/>
      <c r="E73" s="204"/>
      <c r="F73" s="204"/>
      <c r="G73" s="204"/>
      <c r="H73" s="204"/>
      <c r="I73" s="204"/>
      <c r="J73" s="204"/>
      <c r="K73" s="203"/>
    </row>
    <row r="75" spans="2:11" ht="14.1">
      <c r="C75" s="1265"/>
      <c r="D75" s="536"/>
    </row>
  </sheetData>
  <mergeCells count="4">
    <mergeCell ref="C66:K69"/>
    <mergeCell ref="B43:C43"/>
    <mergeCell ref="B51:C51"/>
    <mergeCell ref="B9:C9"/>
  </mergeCells>
  <pageMargins left="0.74803149606299213" right="0.74803149606299213" top="0.98425196850393704" bottom="0.98425196850393704" header="0.51181102362204722" footer="0.51181102362204722"/>
  <pageSetup paperSize="9" scale="44" orientation="portrait" r:id="rId1"/>
  <headerFooter alignWithMargins="0">
    <oddHeader>&amp;C&amp;"Calibri"&amp;10&amp;K0000FF OFFICIAL – BUSINESS&amp;1#_x000D_</oddHeader>
    <oddFooter>&amp;C_x000D_&amp;1#&amp;"Calibri"&amp;10&amp;K0000FF OFFICIAL – BUSINESS&amp;RDate: May 2013
Revision: 16.0
&amp;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8AE0F-9DA5-48C1-83C4-E6038498E236}">
  <dimension ref="B2:AB62"/>
  <sheetViews>
    <sheetView zoomScaleNormal="100" workbookViewId="0">
      <selection sqref="A1:XFD1048576"/>
    </sheetView>
  </sheetViews>
  <sheetFormatPr defaultColWidth="9.42578125" defaultRowHeight="12.6"/>
  <cols>
    <col min="1" max="1" width="5.42578125" style="192" customWidth="1"/>
    <col min="2" max="2" width="20.5703125" style="192" bestFit="1" customWidth="1"/>
    <col min="3" max="3" width="21.42578125" style="192" customWidth="1"/>
    <col min="4" max="4" width="28.42578125" style="192" customWidth="1"/>
    <col min="5" max="5" width="34.5703125" style="192" customWidth="1"/>
    <col min="6" max="7" width="9.42578125" style="192" customWidth="1"/>
    <col min="8" max="8" width="17.5703125" style="192" customWidth="1"/>
    <col min="9" max="9" width="27.42578125" style="192" customWidth="1"/>
    <col min="10" max="10" width="16.42578125" style="192" customWidth="1"/>
    <col min="11" max="11" width="12.5703125" style="192" customWidth="1"/>
    <col min="12" max="12" width="24.5703125" style="192" customWidth="1"/>
    <col min="13" max="13" width="7.5703125" style="192" customWidth="1"/>
    <col min="14" max="14" width="3.42578125" style="192" customWidth="1"/>
    <col min="15" max="15" width="20.5703125" style="192" customWidth="1"/>
    <col min="16" max="17" width="21.42578125" style="192" customWidth="1"/>
    <col min="18" max="18" width="28.42578125" style="192" customWidth="1"/>
    <col min="19" max="20" width="9.42578125" style="192" customWidth="1"/>
    <col min="21" max="21" width="18.42578125" style="192" customWidth="1"/>
    <col min="22" max="22" width="23.42578125" style="192" customWidth="1"/>
    <col min="23" max="23" width="17.5703125" style="192" customWidth="1"/>
    <col min="24" max="24" width="16.42578125" style="192" customWidth="1"/>
    <col min="25" max="25" width="37.42578125" style="192" bestFit="1" customWidth="1"/>
    <col min="26" max="26" width="5.5703125" style="192" customWidth="1"/>
    <col min="27" max="16384" width="9.42578125" style="192"/>
  </cols>
  <sheetData>
    <row r="2" spans="2:26" ht="18">
      <c r="B2" s="517" t="s">
        <v>1122</v>
      </c>
      <c r="C2" s="516"/>
      <c r="D2" s="516"/>
      <c r="E2" s="518"/>
      <c r="F2" s="519"/>
      <c r="O2" s="517"/>
    </row>
    <row r="3" spans="2:26" ht="9.75" customHeight="1">
      <c r="B3" s="517"/>
      <c r="C3" s="516"/>
      <c r="D3" s="516"/>
      <c r="E3" s="518"/>
      <c r="F3" s="519"/>
      <c r="O3" s="517"/>
    </row>
    <row r="4" spans="2:26" ht="18">
      <c r="B4" s="521" t="s">
        <v>1257</v>
      </c>
      <c r="C4" s="516"/>
      <c r="D4" s="516"/>
      <c r="E4" s="518"/>
      <c r="F4" s="519"/>
      <c r="O4" s="521"/>
    </row>
    <row r="5" spans="2:26" ht="14.45">
      <c r="C5" s="710"/>
    </row>
    <row r="6" spans="2:26" ht="15.6">
      <c r="B6" s="537" t="s">
        <v>1258</v>
      </c>
      <c r="O6" s="537" t="s">
        <v>1258</v>
      </c>
    </row>
    <row r="8" spans="2:26" ht="15" customHeight="1">
      <c r="B8" s="1410" t="str">
        <f>"Calendar year to end of December "&amp; _Calendaryear</f>
        <v>Calendar year to end of December 2023</v>
      </c>
      <c r="C8" s="1411"/>
      <c r="D8" s="1411"/>
      <c r="E8" s="1411"/>
      <c r="F8" s="1411"/>
      <c r="G8" s="1411"/>
      <c r="H8" s="1411"/>
      <c r="I8" s="1411"/>
      <c r="J8" s="1411"/>
      <c r="K8" s="1411"/>
      <c r="L8" s="1411"/>
      <c r="M8" s="1412"/>
      <c r="O8" s="1410" t="str">
        <f>"Financial year " &amp; _reportyear</f>
        <v>Financial year 2023-24</v>
      </c>
      <c r="P8" s="1411"/>
      <c r="Q8" s="1411"/>
      <c r="R8" s="1411"/>
      <c r="S8" s="1411"/>
      <c r="T8" s="1411"/>
      <c r="U8" s="1411"/>
      <c r="V8" s="1411"/>
      <c r="W8" s="1411"/>
      <c r="X8" s="1411"/>
      <c r="Y8" s="1411"/>
      <c r="Z8" s="1412"/>
    </row>
    <row r="9" spans="2:26" ht="20.85" customHeight="1">
      <c r="B9" s="1410" t="str">
        <f>+"DECEMBER "&amp; _Calendaryear</f>
        <v>DECEMBER 2023</v>
      </c>
      <c r="C9" s="1411"/>
      <c r="D9" s="1411"/>
      <c r="E9" s="1411"/>
      <c r="F9" s="1411"/>
      <c r="G9" s="1411"/>
      <c r="H9" s="1411"/>
      <c r="I9" s="1411"/>
      <c r="J9" s="1411"/>
      <c r="K9" s="1411"/>
      <c r="L9" s="1411"/>
      <c r="M9" s="1412"/>
      <c r="O9" s="1410" t="str">
        <f>"MARCH 20" &amp; RIGHT(_reportyear,2)</f>
        <v>MARCH 2024</v>
      </c>
      <c r="P9" s="1411"/>
      <c r="Q9" s="1411"/>
      <c r="R9" s="1411"/>
      <c r="S9" s="1411"/>
      <c r="T9" s="1411"/>
      <c r="U9" s="1411"/>
      <c r="V9" s="1411"/>
      <c r="W9" s="1411"/>
      <c r="X9" s="1411"/>
      <c r="Y9" s="1411"/>
      <c r="Z9" s="1412"/>
    </row>
    <row r="11" spans="2:26" ht="13.5" thickBot="1">
      <c r="F11" s="1413" t="s">
        <v>1259</v>
      </c>
      <c r="G11" s="1414"/>
      <c r="H11" s="538" t="s">
        <v>1260</v>
      </c>
      <c r="J11" s="538" t="s">
        <v>1261</v>
      </c>
      <c r="S11" s="1413" t="s">
        <v>1259</v>
      </c>
      <c r="T11" s="1414"/>
      <c r="U11" s="538" t="s">
        <v>1262</v>
      </c>
      <c r="W11" s="538" t="s">
        <v>1261</v>
      </c>
    </row>
    <row r="12" spans="2:26" ht="41.25" customHeight="1" thickBot="1">
      <c r="B12" s="539" t="s">
        <v>1263</v>
      </c>
      <c r="C12" s="540" t="s">
        <v>1264</v>
      </c>
      <c r="D12" s="541" t="s">
        <v>1265</v>
      </c>
      <c r="E12" s="542" t="s">
        <v>1266</v>
      </c>
      <c r="F12" s="1415" t="s">
        <v>1267</v>
      </c>
      <c r="G12" s="1416"/>
      <c r="H12" s="543" t="s">
        <v>1267</v>
      </c>
      <c r="I12" s="544" t="s">
        <v>1268</v>
      </c>
      <c r="J12" s="544" t="s">
        <v>1267</v>
      </c>
      <c r="K12" s="545" t="s">
        <v>1269</v>
      </c>
      <c r="L12" s="618" t="s">
        <v>1119</v>
      </c>
      <c r="M12" s="617" t="s">
        <v>11</v>
      </c>
      <c r="O12" s="547" t="s">
        <v>1263</v>
      </c>
      <c r="P12" s="542" t="s">
        <v>1264</v>
      </c>
      <c r="Q12" s="548" t="s">
        <v>1265</v>
      </c>
      <c r="R12" s="542" t="s">
        <v>1266</v>
      </c>
      <c r="S12" s="1415" t="s">
        <v>1267</v>
      </c>
      <c r="T12" s="1416"/>
      <c r="U12" s="543" t="s">
        <v>1267</v>
      </c>
      <c r="V12" s="544" t="s">
        <v>1268</v>
      </c>
      <c r="W12" s="544" t="s">
        <v>1267</v>
      </c>
      <c r="X12" s="545" t="s">
        <v>1269</v>
      </c>
      <c r="Y12" s="546" t="s">
        <v>1119</v>
      </c>
      <c r="Z12" s="617" t="s">
        <v>11</v>
      </c>
    </row>
    <row r="13" spans="2:26" ht="15" customHeight="1" thickBot="1">
      <c r="B13" s="549"/>
      <c r="C13" s="550"/>
      <c r="D13" s="551"/>
      <c r="E13" s="635" t="s">
        <v>1270</v>
      </c>
      <c r="F13" s="635" t="s">
        <v>1271</v>
      </c>
      <c r="G13" s="636" t="s">
        <v>1272</v>
      </c>
      <c r="H13" s="637" t="s">
        <v>1273</v>
      </c>
      <c r="I13" s="638"/>
      <c r="J13" s="639"/>
      <c r="K13" s="638"/>
      <c r="L13" s="639"/>
      <c r="M13" s="639"/>
      <c r="O13" s="557"/>
      <c r="P13" s="558"/>
      <c r="Q13" s="559"/>
      <c r="R13" s="560" t="s">
        <v>1274</v>
      </c>
      <c r="S13" s="552" t="s">
        <v>1271</v>
      </c>
      <c r="T13" s="553" t="s">
        <v>1272</v>
      </c>
      <c r="U13" s="554" t="s">
        <v>1273</v>
      </c>
      <c r="V13" s="555"/>
      <c r="W13" s="556"/>
      <c r="X13" s="555"/>
      <c r="Y13" s="556"/>
      <c r="Z13" s="556"/>
    </row>
    <row r="14" spans="2:26" ht="15" customHeight="1">
      <c r="B14" s="619" t="s">
        <v>1275</v>
      </c>
      <c r="C14" s="620" t="s">
        <v>1276</v>
      </c>
      <c r="D14" s="621" t="s">
        <v>1277</v>
      </c>
      <c r="E14" s="622" t="s">
        <v>1278</v>
      </c>
      <c r="F14" s="623" t="s">
        <v>27</v>
      </c>
      <c r="G14" s="621" t="s">
        <v>1279</v>
      </c>
      <c r="H14" s="624" t="s">
        <v>27</v>
      </c>
      <c r="I14" s="625" t="s">
        <v>1280</v>
      </c>
      <c r="J14" s="624" t="s">
        <v>1279</v>
      </c>
      <c r="K14" s="998">
        <v>8928.7664349248662</v>
      </c>
      <c r="L14" s="1003"/>
      <c r="M14" s="1004" t="s">
        <v>34</v>
      </c>
      <c r="N14" s="876"/>
      <c r="O14" s="566" t="s">
        <v>1275</v>
      </c>
      <c r="P14" s="567" t="s">
        <v>1276</v>
      </c>
      <c r="Q14" s="568" t="s">
        <v>1277</v>
      </c>
      <c r="R14" s="569" t="s">
        <v>1278</v>
      </c>
      <c r="S14" s="570" t="s">
        <v>27</v>
      </c>
      <c r="T14" s="568" t="s">
        <v>1279</v>
      </c>
      <c r="U14" s="571" t="s">
        <v>27</v>
      </c>
      <c r="V14" s="572" t="s">
        <v>1280</v>
      </c>
      <c r="W14" s="571" t="s">
        <v>1279</v>
      </c>
      <c r="X14" s="999">
        <v>8928.7664349248698</v>
      </c>
      <c r="Y14" s="1005"/>
      <c r="Z14" s="1004" t="s">
        <v>34</v>
      </c>
    </row>
    <row r="15" spans="2:26" ht="15" customHeight="1">
      <c r="B15" s="626" t="s">
        <v>1281</v>
      </c>
      <c r="C15" s="574" t="s">
        <v>1282</v>
      </c>
      <c r="D15" s="575" t="s">
        <v>1283</v>
      </c>
      <c r="E15" s="561" t="s">
        <v>1278</v>
      </c>
      <c r="F15" s="576" t="s">
        <v>27</v>
      </c>
      <c r="G15" s="575" t="s">
        <v>27</v>
      </c>
      <c r="H15" s="577" t="s">
        <v>1279</v>
      </c>
      <c r="I15" s="578" t="s">
        <v>1284</v>
      </c>
      <c r="J15" s="577" t="s">
        <v>1279</v>
      </c>
      <c r="K15" s="1000">
        <v>15161.458589587382</v>
      </c>
      <c r="L15" s="988"/>
      <c r="M15" s="1006" t="s">
        <v>34</v>
      </c>
      <c r="N15" s="876"/>
      <c r="O15" s="579" t="s">
        <v>1285</v>
      </c>
      <c r="P15" s="580" t="s">
        <v>1286</v>
      </c>
      <c r="Q15" s="563" t="s">
        <v>1287</v>
      </c>
      <c r="R15" s="561" t="s">
        <v>1278</v>
      </c>
      <c r="S15" s="562" t="s">
        <v>27</v>
      </c>
      <c r="T15" s="563" t="s">
        <v>1279</v>
      </c>
      <c r="U15" s="564" t="s">
        <v>27</v>
      </c>
      <c r="V15" s="565" t="s">
        <v>1280</v>
      </c>
      <c r="W15" s="564" t="s">
        <v>1279</v>
      </c>
      <c r="X15" s="1000">
        <v>705.81091619407118</v>
      </c>
      <c r="Y15" s="1007"/>
      <c r="Z15" s="1006" t="s">
        <v>34</v>
      </c>
    </row>
    <row r="16" spans="2:26" ht="15" customHeight="1">
      <c r="B16" s="626" t="s">
        <v>1288</v>
      </c>
      <c r="C16" s="574" t="s">
        <v>1289</v>
      </c>
      <c r="D16" s="575" t="s">
        <v>1290</v>
      </c>
      <c r="E16" s="561" t="s">
        <v>1278</v>
      </c>
      <c r="F16" s="576" t="s">
        <v>27</v>
      </c>
      <c r="G16" s="575" t="s">
        <v>27</v>
      </c>
      <c r="H16" s="577" t="s">
        <v>1279</v>
      </c>
      <c r="I16" s="578" t="s">
        <v>1284</v>
      </c>
      <c r="J16" s="577" t="s">
        <v>1279</v>
      </c>
      <c r="K16" s="1000">
        <v>85552.394488227597</v>
      </c>
      <c r="L16" s="988"/>
      <c r="M16" s="1006" t="s">
        <v>34</v>
      </c>
      <c r="N16" s="876"/>
      <c r="O16" s="573" t="s">
        <v>1291</v>
      </c>
      <c r="P16" s="574" t="s">
        <v>1292</v>
      </c>
      <c r="Q16" s="575" t="s">
        <v>1293</v>
      </c>
      <c r="R16" s="561" t="s">
        <v>1278</v>
      </c>
      <c r="S16" s="576" t="s">
        <v>27</v>
      </c>
      <c r="T16" s="575" t="s">
        <v>1279</v>
      </c>
      <c r="U16" s="577" t="s">
        <v>27</v>
      </c>
      <c r="V16" s="578" t="s">
        <v>1284</v>
      </c>
      <c r="W16" s="577" t="s">
        <v>1279</v>
      </c>
      <c r="X16" s="1000">
        <v>411.46150426456808</v>
      </c>
      <c r="Y16" s="988"/>
      <c r="Z16" s="1006" t="s">
        <v>34</v>
      </c>
    </row>
    <row r="17" spans="2:28" ht="15" customHeight="1">
      <c r="B17" s="626" t="s">
        <v>1294</v>
      </c>
      <c r="C17" s="1016" t="s">
        <v>1295</v>
      </c>
      <c r="D17" s="1017" t="s">
        <v>1296</v>
      </c>
      <c r="E17" s="1018" t="s">
        <v>1278</v>
      </c>
      <c r="F17" s="1019" t="s">
        <v>27</v>
      </c>
      <c r="G17" s="1017" t="s">
        <v>27</v>
      </c>
      <c r="H17" s="1020" t="s">
        <v>1279</v>
      </c>
      <c r="I17" s="1021" t="s">
        <v>1284</v>
      </c>
      <c r="J17" s="1020" t="s">
        <v>1279</v>
      </c>
      <c r="K17" s="1022">
        <v>15859.543913641106</v>
      </c>
      <c r="L17" s="987"/>
      <c r="M17" s="1006" t="s">
        <v>34</v>
      </c>
      <c r="N17" s="876"/>
      <c r="O17" s="573" t="s">
        <v>1288</v>
      </c>
      <c r="P17" s="574" t="s">
        <v>1289</v>
      </c>
      <c r="Q17" s="575" t="s">
        <v>1290</v>
      </c>
      <c r="R17" s="561" t="s">
        <v>1278</v>
      </c>
      <c r="S17" s="576" t="s">
        <v>27</v>
      </c>
      <c r="T17" s="575" t="s">
        <v>27</v>
      </c>
      <c r="U17" s="577" t="s">
        <v>1279</v>
      </c>
      <c r="V17" s="577" t="s">
        <v>1284</v>
      </c>
      <c r="W17" s="577" t="s">
        <v>1279</v>
      </c>
      <c r="X17" s="1000">
        <v>85552.394488227597</v>
      </c>
      <c r="Y17" s="988"/>
      <c r="Z17" s="1006" t="s">
        <v>34</v>
      </c>
    </row>
    <row r="18" spans="2:28" ht="15" customHeight="1">
      <c r="B18" s="626" t="s">
        <v>1297</v>
      </c>
      <c r="C18" s="574" t="s">
        <v>1298</v>
      </c>
      <c r="D18" s="575" t="s">
        <v>1299</v>
      </c>
      <c r="E18" s="561" t="s">
        <v>1278</v>
      </c>
      <c r="F18" s="576" t="s">
        <v>27</v>
      </c>
      <c r="G18" s="575" t="s">
        <v>1279</v>
      </c>
      <c r="H18" s="577" t="s">
        <v>27</v>
      </c>
      <c r="I18" s="578" t="s">
        <v>1284</v>
      </c>
      <c r="J18" s="577" t="s">
        <v>1279</v>
      </c>
      <c r="K18" s="1000">
        <v>504.91944698872777</v>
      </c>
      <c r="L18" s="988"/>
      <c r="M18" s="1006" t="s">
        <v>34</v>
      </c>
      <c r="N18" s="876"/>
      <c r="O18" s="1023" t="s">
        <v>1294</v>
      </c>
      <c r="P18" s="1016" t="s">
        <v>1295</v>
      </c>
      <c r="Q18" s="1017" t="s">
        <v>1296</v>
      </c>
      <c r="R18" s="1018" t="s">
        <v>1278</v>
      </c>
      <c r="S18" s="1019" t="s">
        <v>27</v>
      </c>
      <c r="T18" s="1017" t="s">
        <v>27</v>
      </c>
      <c r="U18" s="1020" t="s">
        <v>1279</v>
      </c>
      <c r="V18" s="1021" t="s">
        <v>1284</v>
      </c>
      <c r="W18" s="1020" t="s">
        <v>1279</v>
      </c>
      <c r="X18" s="1022">
        <v>15859.543913641106</v>
      </c>
      <c r="Y18" s="1024"/>
      <c r="Z18" s="1025" t="s">
        <v>34</v>
      </c>
    </row>
    <row r="19" spans="2:28" ht="15" customHeight="1">
      <c r="B19" s="626" t="s">
        <v>1300</v>
      </c>
      <c r="C19" s="574" t="s">
        <v>1301</v>
      </c>
      <c r="D19" s="575" t="s">
        <v>1302</v>
      </c>
      <c r="E19" s="561" t="s">
        <v>1278</v>
      </c>
      <c r="F19" s="576" t="s">
        <v>27</v>
      </c>
      <c r="G19" s="575" t="s">
        <v>1279</v>
      </c>
      <c r="H19" s="577" t="s">
        <v>27</v>
      </c>
      <c r="I19" s="578" t="s">
        <v>1303</v>
      </c>
      <c r="J19" s="577" t="s">
        <v>1279</v>
      </c>
      <c r="K19" s="1000">
        <v>1122.3587596156076</v>
      </c>
      <c r="L19" s="988"/>
      <c r="M19" s="1006" t="s">
        <v>34</v>
      </c>
      <c r="N19" s="876"/>
      <c r="O19" s="573" t="s">
        <v>1297</v>
      </c>
      <c r="P19" s="574" t="s">
        <v>1298</v>
      </c>
      <c r="Q19" s="575" t="s">
        <v>1299</v>
      </c>
      <c r="R19" s="561" t="s">
        <v>1278</v>
      </c>
      <c r="S19" s="576" t="s">
        <v>27</v>
      </c>
      <c r="T19" s="575" t="s">
        <v>1279</v>
      </c>
      <c r="U19" s="577" t="s">
        <v>27</v>
      </c>
      <c r="V19" s="578" t="s">
        <v>1284</v>
      </c>
      <c r="W19" s="577" t="s">
        <v>1279</v>
      </c>
      <c r="X19" s="1000">
        <v>504.91944698872777</v>
      </c>
      <c r="Y19" s="988"/>
      <c r="Z19" s="1006" t="s">
        <v>34</v>
      </c>
    </row>
    <row r="20" spans="2:28" ht="15" customHeight="1">
      <c r="B20" s="626" t="s">
        <v>1304</v>
      </c>
      <c r="C20" s="574" t="s">
        <v>1305</v>
      </c>
      <c r="D20" s="575" t="s">
        <v>1306</v>
      </c>
      <c r="E20" s="561" t="s">
        <v>1278</v>
      </c>
      <c r="F20" s="576" t="s">
        <v>27</v>
      </c>
      <c r="G20" s="575" t="s">
        <v>1279</v>
      </c>
      <c r="H20" s="577" t="s">
        <v>27</v>
      </c>
      <c r="I20" s="578" t="s">
        <v>1307</v>
      </c>
      <c r="J20" s="577" t="s">
        <v>1279</v>
      </c>
      <c r="K20" s="1000">
        <v>19189</v>
      </c>
      <c r="L20" s="988"/>
      <c r="M20" s="1006" t="s">
        <v>34</v>
      </c>
      <c r="N20" s="876"/>
      <c r="O20" s="573" t="s">
        <v>1300</v>
      </c>
      <c r="P20" s="574" t="s">
        <v>1301</v>
      </c>
      <c r="Q20" s="575" t="s">
        <v>1302</v>
      </c>
      <c r="R20" s="561" t="s">
        <v>1278</v>
      </c>
      <c r="S20" s="576" t="s">
        <v>27</v>
      </c>
      <c r="T20" s="575" t="s">
        <v>1279</v>
      </c>
      <c r="U20" s="577" t="s">
        <v>27</v>
      </c>
      <c r="V20" s="578" t="s">
        <v>1303</v>
      </c>
      <c r="W20" s="577" t="s">
        <v>1279</v>
      </c>
      <c r="X20" s="1000">
        <v>1122.3587596156076</v>
      </c>
      <c r="Y20" s="988"/>
      <c r="Z20" s="1006" t="s">
        <v>34</v>
      </c>
    </row>
    <row r="21" spans="2:28" ht="15" customHeight="1">
      <c r="B21" s="626" t="s">
        <v>1308</v>
      </c>
      <c r="C21" s="574" t="s">
        <v>1309</v>
      </c>
      <c r="D21" s="575" t="s">
        <v>1310</v>
      </c>
      <c r="E21" s="561" t="s">
        <v>1278</v>
      </c>
      <c r="F21" s="576" t="s">
        <v>27</v>
      </c>
      <c r="G21" s="575" t="s">
        <v>1279</v>
      </c>
      <c r="H21" s="577" t="s">
        <v>27</v>
      </c>
      <c r="I21" s="578" t="s">
        <v>1280</v>
      </c>
      <c r="J21" s="577" t="s">
        <v>1279</v>
      </c>
      <c r="K21" s="1000">
        <v>107.0457920439209</v>
      </c>
      <c r="L21" s="988"/>
      <c r="M21" s="1006" t="s">
        <v>34</v>
      </c>
      <c r="N21" s="876"/>
      <c r="O21" s="573" t="s">
        <v>1304</v>
      </c>
      <c r="P21" s="574" t="s">
        <v>1305</v>
      </c>
      <c r="Q21" s="575" t="s">
        <v>1306</v>
      </c>
      <c r="R21" s="561" t="s">
        <v>1278</v>
      </c>
      <c r="S21" s="576" t="s">
        <v>27</v>
      </c>
      <c r="T21" s="575" t="s">
        <v>1279</v>
      </c>
      <c r="U21" s="577" t="s">
        <v>27</v>
      </c>
      <c r="V21" s="578" t="s">
        <v>1307</v>
      </c>
      <c r="W21" s="577" t="s">
        <v>1279</v>
      </c>
      <c r="X21" s="1000">
        <v>19189</v>
      </c>
      <c r="Y21" s="988"/>
      <c r="Z21" s="1006" t="s">
        <v>34</v>
      </c>
    </row>
    <row r="22" spans="2:28" ht="15" customHeight="1">
      <c r="B22" s="626" t="s">
        <v>1311</v>
      </c>
      <c r="C22" s="574" t="s">
        <v>1312</v>
      </c>
      <c r="D22" s="575" t="s">
        <v>1313</v>
      </c>
      <c r="E22" s="561" t="s">
        <v>1278</v>
      </c>
      <c r="F22" s="576" t="s">
        <v>27</v>
      </c>
      <c r="G22" s="575" t="s">
        <v>1279</v>
      </c>
      <c r="H22" s="577" t="s">
        <v>27</v>
      </c>
      <c r="I22" s="578" t="s">
        <v>1280</v>
      </c>
      <c r="J22" s="577" t="s">
        <v>1279</v>
      </c>
      <c r="K22" s="1000">
        <v>46234.037254915864</v>
      </c>
      <c r="L22" s="988"/>
      <c r="M22" s="1006" t="s">
        <v>34</v>
      </c>
      <c r="N22" s="876"/>
      <c r="O22" s="573" t="s">
        <v>1308</v>
      </c>
      <c r="P22" s="574" t="s">
        <v>1309</v>
      </c>
      <c r="Q22" s="575" t="s">
        <v>1310</v>
      </c>
      <c r="R22" s="561" t="s">
        <v>1278</v>
      </c>
      <c r="S22" s="576" t="s">
        <v>27</v>
      </c>
      <c r="T22" s="575" t="s">
        <v>1279</v>
      </c>
      <c r="U22" s="577" t="s">
        <v>27</v>
      </c>
      <c r="V22" s="578" t="s">
        <v>1280</v>
      </c>
      <c r="W22" s="577" t="s">
        <v>1279</v>
      </c>
      <c r="X22" s="1000">
        <v>107.0457920439209</v>
      </c>
      <c r="Y22" s="988"/>
      <c r="Z22" s="1006" t="s">
        <v>34</v>
      </c>
    </row>
    <row r="23" spans="2:28" ht="15" customHeight="1">
      <c r="B23" s="626" t="s">
        <v>1314</v>
      </c>
      <c r="C23" s="574" t="s">
        <v>1315</v>
      </c>
      <c r="D23" s="575" t="s">
        <v>1316</v>
      </c>
      <c r="E23" s="561" t="s">
        <v>1278</v>
      </c>
      <c r="F23" s="576" t="s">
        <v>27</v>
      </c>
      <c r="G23" s="575" t="s">
        <v>27</v>
      </c>
      <c r="H23" s="577" t="s">
        <v>1279</v>
      </c>
      <c r="I23" s="578" t="s">
        <v>1317</v>
      </c>
      <c r="J23" s="577" t="s">
        <v>1279</v>
      </c>
      <c r="K23" s="1000">
        <v>60559.202155062769</v>
      </c>
      <c r="L23" s="988"/>
      <c r="M23" s="1006" t="s">
        <v>34</v>
      </c>
      <c r="N23" s="876"/>
      <c r="O23" s="573" t="s">
        <v>1311</v>
      </c>
      <c r="P23" s="574" t="s">
        <v>1312</v>
      </c>
      <c r="Q23" s="575" t="s">
        <v>1313</v>
      </c>
      <c r="R23" s="561" t="s">
        <v>1278</v>
      </c>
      <c r="S23" s="576" t="s">
        <v>27</v>
      </c>
      <c r="T23" s="575" t="s">
        <v>1279</v>
      </c>
      <c r="U23" s="577" t="s">
        <v>27</v>
      </c>
      <c r="V23" s="578" t="s">
        <v>1280</v>
      </c>
      <c r="W23" s="577" t="s">
        <v>1279</v>
      </c>
      <c r="X23" s="1000">
        <v>46234.037254915864</v>
      </c>
      <c r="Y23" s="988"/>
      <c r="Z23" s="1006" t="s">
        <v>34</v>
      </c>
    </row>
    <row r="24" spans="2:28" ht="15" customHeight="1">
      <c r="B24" s="626" t="s">
        <v>1318</v>
      </c>
      <c r="C24" s="574" t="s">
        <v>1319</v>
      </c>
      <c r="D24" s="575" t="s">
        <v>1320</v>
      </c>
      <c r="E24" s="561" t="s">
        <v>1278</v>
      </c>
      <c r="F24" s="576" t="s">
        <v>27</v>
      </c>
      <c r="G24" s="575" t="s">
        <v>1279</v>
      </c>
      <c r="H24" s="577" t="s">
        <v>27</v>
      </c>
      <c r="I24" s="578" t="s">
        <v>1307</v>
      </c>
      <c r="J24" s="577" t="s">
        <v>1279</v>
      </c>
      <c r="K24" s="1000">
        <v>984.78600070455366</v>
      </c>
      <c r="L24" s="988"/>
      <c r="M24" s="1006" t="s">
        <v>34</v>
      </c>
      <c r="N24" s="876"/>
      <c r="O24" s="573" t="s">
        <v>1318</v>
      </c>
      <c r="P24" s="574" t="s">
        <v>1319</v>
      </c>
      <c r="Q24" s="575" t="s">
        <v>1320</v>
      </c>
      <c r="R24" s="561" t="s">
        <v>1278</v>
      </c>
      <c r="S24" s="576" t="s">
        <v>27</v>
      </c>
      <c r="T24" s="575" t="s">
        <v>1279</v>
      </c>
      <c r="U24" s="577" t="s">
        <v>27</v>
      </c>
      <c r="V24" s="578" t="s">
        <v>1307</v>
      </c>
      <c r="W24" s="577" t="s">
        <v>1279</v>
      </c>
      <c r="X24" s="1000">
        <v>984.78600070455366</v>
      </c>
      <c r="Y24" s="988"/>
      <c r="Z24" s="1006" t="s">
        <v>34</v>
      </c>
    </row>
    <row r="25" spans="2:28" ht="15" customHeight="1">
      <c r="B25" s="626" t="s">
        <v>1321</v>
      </c>
      <c r="C25" s="574" t="s">
        <v>1322</v>
      </c>
      <c r="D25" s="575" t="s">
        <v>1323</v>
      </c>
      <c r="E25" s="561" t="s">
        <v>1278</v>
      </c>
      <c r="F25" s="576" t="s">
        <v>27</v>
      </c>
      <c r="G25" s="575" t="s">
        <v>1279</v>
      </c>
      <c r="H25" s="577" t="s">
        <v>27</v>
      </c>
      <c r="I25" s="578" t="s">
        <v>1280</v>
      </c>
      <c r="J25" s="577" t="s">
        <v>1279</v>
      </c>
      <c r="K25" s="1000">
        <v>663.79522820316174</v>
      </c>
      <c r="L25" s="988"/>
      <c r="M25" s="1006" t="s">
        <v>34</v>
      </c>
      <c r="N25" s="876"/>
      <c r="O25" s="573" t="s">
        <v>1321</v>
      </c>
      <c r="P25" s="574" t="s">
        <v>1322</v>
      </c>
      <c r="Q25" s="575" t="s">
        <v>1323</v>
      </c>
      <c r="R25" s="561" t="s">
        <v>1278</v>
      </c>
      <c r="S25" s="576" t="s">
        <v>27</v>
      </c>
      <c r="T25" s="575" t="s">
        <v>1279</v>
      </c>
      <c r="U25" s="577" t="s">
        <v>27</v>
      </c>
      <c r="V25" s="577" t="s">
        <v>1280</v>
      </c>
      <c r="W25" s="577" t="s">
        <v>1279</v>
      </c>
      <c r="X25" s="1000">
        <v>663.79522820316174</v>
      </c>
      <c r="Y25" s="988"/>
      <c r="Z25" s="1006" t="s">
        <v>34</v>
      </c>
    </row>
    <row r="26" spans="2:28" ht="15" customHeight="1">
      <c r="B26" s="626" t="s">
        <v>1324</v>
      </c>
      <c r="C26" s="574" t="s">
        <v>1325</v>
      </c>
      <c r="D26" s="575" t="s">
        <v>1326</v>
      </c>
      <c r="E26" s="561" t="s">
        <v>1278</v>
      </c>
      <c r="F26" s="576" t="s">
        <v>27</v>
      </c>
      <c r="G26" s="575" t="s">
        <v>27</v>
      </c>
      <c r="H26" s="577" t="s">
        <v>1279</v>
      </c>
      <c r="I26" s="578" t="s">
        <v>1284</v>
      </c>
      <c r="J26" s="577" t="s">
        <v>1279</v>
      </c>
      <c r="K26" s="1000">
        <v>4832.2725173761764</v>
      </c>
      <c r="L26" s="988"/>
      <c r="M26" s="1006" t="s">
        <v>34</v>
      </c>
      <c r="N26" s="876"/>
      <c r="O26" s="573" t="s">
        <v>1324</v>
      </c>
      <c r="P26" s="574" t="s">
        <v>1325</v>
      </c>
      <c r="Q26" s="575" t="s">
        <v>1326</v>
      </c>
      <c r="R26" s="561" t="s">
        <v>1278</v>
      </c>
      <c r="S26" s="576" t="s">
        <v>27</v>
      </c>
      <c r="T26" s="575" t="s">
        <v>27</v>
      </c>
      <c r="U26" s="577" t="s">
        <v>1279</v>
      </c>
      <c r="V26" s="578" t="s">
        <v>1284</v>
      </c>
      <c r="W26" s="577" t="s">
        <v>1279</v>
      </c>
      <c r="X26" s="1000">
        <v>4832.2725173761764</v>
      </c>
      <c r="Y26" s="988"/>
      <c r="Z26" s="1006" t="s">
        <v>34</v>
      </c>
    </row>
    <row r="27" spans="2:28" ht="15" customHeight="1">
      <c r="B27" s="626" t="s">
        <v>1327</v>
      </c>
      <c r="C27" s="574" t="s">
        <v>1328</v>
      </c>
      <c r="D27" s="575" t="s">
        <v>1329</v>
      </c>
      <c r="E27" s="561" t="s">
        <v>1278</v>
      </c>
      <c r="F27" s="576" t="s">
        <v>27</v>
      </c>
      <c r="G27" s="575" t="s">
        <v>27</v>
      </c>
      <c r="H27" s="577" t="s">
        <v>1279</v>
      </c>
      <c r="I27" s="578" t="s">
        <v>1317</v>
      </c>
      <c r="J27" s="577" t="s">
        <v>1279</v>
      </c>
      <c r="K27" s="1000">
        <v>270368</v>
      </c>
      <c r="L27" s="988"/>
      <c r="M27" s="1006" t="s">
        <v>34</v>
      </c>
      <c r="N27" s="876"/>
      <c r="O27" s="573" t="s">
        <v>1330</v>
      </c>
      <c r="P27" s="574" t="s">
        <v>1331</v>
      </c>
      <c r="Q27" s="575" t="s">
        <v>1332</v>
      </c>
      <c r="R27" s="561" t="s">
        <v>1278</v>
      </c>
      <c r="S27" s="576" t="s">
        <v>27</v>
      </c>
      <c r="T27" s="575" t="s">
        <v>1279</v>
      </c>
      <c r="U27" s="577" t="s">
        <v>27</v>
      </c>
      <c r="V27" s="578" t="s">
        <v>1333</v>
      </c>
      <c r="W27" s="577" t="s">
        <v>1279</v>
      </c>
      <c r="X27" s="1000">
        <v>6117.6009477324251</v>
      </c>
      <c r="Y27" s="988"/>
      <c r="Z27" s="1006" t="s">
        <v>34</v>
      </c>
    </row>
    <row r="28" spans="2:28" ht="15" customHeight="1">
      <c r="B28" s="626" t="s">
        <v>1334</v>
      </c>
      <c r="C28" s="574" t="s">
        <v>1335</v>
      </c>
      <c r="D28" s="575" t="s">
        <v>1336</v>
      </c>
      <c r="E28" s="561" t="s">
        <v>1337</v>
      </c>
      <c r="F28" s="576" t="s">
        <v>27</v>
      </c>
      <c r="G28" s="575" t="s">
        <v>1279</v>
      </c>
      <c r="H28" s="577" t="s">
        <v>27</v>
      </c>
      <c r="I28" s="578" t="s">
        <v>1338</v>
      </c>
      <c r="J28" s="577" t="s">
        <v>1279</v>
      </c>
      <c r="K28" s="1000">
        <v>86.665523589042039</v>
      </c>
      <c r="L28" s="988"/>
      <c r="M28" s="1006" t="s">
        <v>34</v>
      </c>
      <c r="N28" s="876"/>
      <c r="O28" s="573" t="s">
        <v>1327</v>
      </c>
      <c r="P28" s="574" t="s">
        <v>1328</v>
      </c>
      <c r="Q28" s="575" t="s">
        <v>1329</v>
      </c>
      <c r="R28" s="561" t="s">
        <v>1278</v>
      </c>
      <c r="S28" s="576" t="s">
        <v>27</v>
      </c>
      <c r="T28" s="575" t="s">
        <v>27</v>
      </c>
      <c r="U28" s="577" t="s">
        <v>1279</v>
      </c>
      <c r="V28" s="578" t="s">
        <v>1339</v>
      </c>
      <c r="W28" s="577" t="s">
        <v>1279</v>
      </c>
      <c r="X28" s="1000">
        <v>270368</v>
      </c>
      <c r="Y28" s="988"/>
      <c r="Z28" s="1006" t="s">
        <v>34</v>
      </c>
    </row>
    <row r="29" spans="2:28" ht="15" customHeight="1">
      <c r="B29" s="626" t="s">
        <v>1340</v>
      </c>
      <c r="C29" s="574" t="s">
        <v>1341</v>
      </c>
      <c r="D29" s="575" t="s">
        <v>1342</v>
      </c>
      <c r="E29" s="561" t="s">
        <v>1278</v>
      </c>
      <c r="F29" s="576" t="s">
        <v>27</v>
      </c>
      <c r="G29" s="575" t="s">
        <v>1279</v>
      </c>
      <c r="H29" s="577" t="s">
        <v>27</v>
      </c>
      <c r="I29" s="578" t="s">
        <v>1343</v>
      </c>
      <c r="J29" s="577" t="s">
        <v>1279</v>
      </c>
      <c r="K29" s="1001">
        <v>10871.203392941199</v>
      </c>
      <c r="L29" s="988"/>
      <c r="M29" s="1006" t="s">
        <v>34</v>
      </c>
      <c r="N29" s="876"/>
      <c r="O29" s="1023" t="s">
        <v>1344</v>
      </c>
      <c r="P29" s="1016" t="s">
        <v>1345</v>
      </c>
      <c r="Q29" s="1017" t="s">
        <v>1346</v>
      </c>
      <c r="R29" s="1018" t="s">
        <v>1278</v>
      </c>
      <c r="S29" s="1019" t="s">
        <v>27</v>
      </c>
      <c r="T29" s="1017" t="s">
        <v>1279</v>
      </c>
      <c r="U29" s="1020" t="s">
        <v>27</v>
      </c>
      <c r="V29" s="1021" t="s">
        <v>1307</v>
      </c>
      <c r="W29" s="1020" t="s">
        <v>1279</v>
      </c>
      <c r="X29" s="1022">
        <v>470.07316134000769</v>
      </c>
      <c r="Y29" s="1024"/>
      <c r="Z29" s="1025" t="s">
        <v>34</v>
      </c>
      <c r="AA29" s="1026"/>
      <c r="AB29" s="1026"/>
    </row>
    <row r="30" spans="2:28" ht="15" customHeight="1">
      <c r="B30" s="626" t="s">
        <v>1347</v>
      </c>
      <c r="C30" s="574" t="s">
        <v>1348</v>
      </c>
      <c r="D30" s="575" t="s">
        <v>1349</v>
      </c>
      <c r="E30" s="561" t="s">
        <v>1278</v>
      </c>
      <c r="F30" s="576" t="s">
        <v>27</v>
      </c>
      <c r="G30" s="575" t="s">
        <v>27</v>
      </c>
      <c r="H30" s="577" t="s">
        <v>1279</v>
      </c>
      <c r="I30" s="578" t="s">
        <v>1350</v>
      </c>
      <c r="J30" s="577" t="s">
        <v>1279</v>
      </c>
      <c r="K30" s="1001">
        <v>16561.222274341857</v>
      </c>
      <c r="L30" s="988"/>
      <c r="M30" s="1006" t="s">
        <v>34</v>
      </c>
      <c r="N30" s="876"/>
      <c r="O30" s="573" t="s">
        <v>1340</v>
      </c>
      <c r="P30" s="574" t="s">
        <v>1341</v>
      </c>
      <c r="Q30" s="575" t="s">
        <v>1342</v>
      </c>
      <c r="R30" s="561" t="s">
        <v>1278</v>
      </c>
      <c r="S30" s="576" t="s">
        <v>27</v>
      </c>
      <c r="T30" s="575" t="s">
        <v>1279</v>
      </c>
      <c r="U30" s="577" t="s">
        <v>27</v>
      </c>
      <c r="V30" s="578" t="s">
        <v>1343</v>
      </c>
      <c r="W30" s="577" t="s">
        <v>1279</v>
      </c>
      <c r="X30" s="1000">
        <v>10871.203392941199</v>
      </c>
      <c r="Y30" s="988"/>
      <c r="Z30" s="1006" t="s">
        <v>34</v>
      </c>
    </row>
    <row r="31" spans="2:28" ht="15" customHeight="1">
      <c r="B31" s="626" t="s">
        <v>1351</v>
      </c>
      <c r="C31" s="574" t="s">
        <v>1352</v>
      </c>
      <c r="D31" s="575" t="s">
        <v>1353</v>
      </c>
      <c r="E31" s="561" t="s">
        <v>1278</v>
      </c>
      <c r="F31" s="576" t="s">
        <v>27</v>
      </c>
      <c r="G31" s="575" t="s">
        <v>1279</v>
      </c>
      <c r="H31" s="577" t="s">
        <v>27</v>
      </c>
      <c r="I31" s="578" t="s">
        <v>1280</v>
      </c>
      <c r="J31" s="577" t="s">
        <v>1279</v>
      </c>
      <c r="K31" s="1001">
        <v>1577.6151373596474</v>
      </c>
      <c r="L31" s="988"/>
      <c r="M31" s="1006" t="s">
        <v>34</v>
      </c>
      <c r="N31" s="876"/>
      <c r="O31" s="573" t="s">
        <v>1354</v>
      </c>
      <c r="P31" s="574" t="s">
        <v>1355</v>
      </c>
      <c r="Q31" s="575" t="s">
        <v>1356</v>
      </c>
      <c r="R31" s="561" t="s">
        <v>1278</v>
      </c>
      <c r="S31" s="576" t="s">
        <v>27</v>
      </c>
      <c r="T31" s="575" t="s">
        <v>27</v>
      </c>
      <c r="U31" s="577" t="s">
        <v>1279</v>
      </c>
      <c r="V31" s="577" t="s">
        <v>1284</v>
      </c>
      <c r="W31" s="577" t="s">
        <v>1279</v>
      </c>
      <c r="X31" s="1001">
        <v>9858.2750341806804</v>
      </c>
      <c r="Y31" s="988"/>
      <c r="Z31" s="1006" t="s">
        <v>34</v>
      </c>
    </row>
    <row r="32" spans="2:28" ht="15" customHeight="1">
      <c r="B32" s="626" t="s">
        <v>1357</v>
      </c>
      <c r="C32" s="574" t="s">
        <v>1358</v>
      </c>
      <c r="D32" s="575" t="s">
        <v>1359</v>
      </c>
      <c r="E32" s="561" t="s">
        <v>1278</v>
      </c>
      <c r="F32" s="576" t="s">
        <v>27</v>
      </c>
      <c r="G32" s="575" t="s">
        <v>1279</v>
      </c>
      <c r="H32" s="577" t="s">
        <v>27</v>
      </c>
      <c r="I32" s="578" t="s">
        <v>1360</v>
      </c>
      <c r="J32" s="577" t="s">
        <v>1279</v>
      </c>
      <c r="K32" s="1001">
        <v>80834.927451269876</v>
      </c>
      <c r="L32" s="988"/>
      <c r="M32" s="1006" t="s">
        <v>34</v>
      </c>
      <c r="N32" s="876"/>
      <c r="O32" s="573" t="s">
        <v>1351</v>
      </c>
      <c r="P32" s="574" t="s">
        <v>1352</v>
      </c>
      <c r="Q32" s="575" t="s">
        <v>1353</v>
      </c>
      <c r="R32" s="561" t="s">
        <v>1278</v>
      </c>
      <c r="S32" s="576" t="s">
        <v>27</v>
      </c>
      <c r="T32" s="575" t="s">
        <v>1279</v>
      </c>
      <c r="U32" s="577" t="s">
        <v>27</v>
      </c>
      <c r="V32" s="577" t="s">
        <v>1280</v>
      </c>
      <c r="W32" s="577" t="s">
        <v>1279</v>
      </c>
      <c r="X32" s="1001">
        <v>1577.6151373596474</v>
      </c>
      <c r="Y32" s="988"/>
      <c r="Z32" s="1006" t="s">
        <v>34</v>
      </c>
    </row>
    <row r="33" spans="2:26" ht="15" customHeight="1">
      <c r="B33" s="626" t="s">
        <v>1361</v>
      </c>
      <c r="C33" s="574" t="s">
        <v>1362</v>
      </c>
      <c r="D33" s="575" t="s">
        <v>1363</v>
      </c>
      <c r="E33" s="561" t="s">
        <v>1278</v>
      </c>
      <c r="F33" s="576" t="s">
        <v>27</v>
      </c>
      <c r="G33" s="575" t="s">
        <v>1279</v>
      </c>
      <c r="H33" s="577" t="s">
        <v>27</v>
      </c>
      <c r="I33" s="578" t="s">
        <v>1364</v>
      </c>
      <c r="J33" s="577" t="s">
        <v>1279</v>
      </c>
      <c r="K33" s="1001">
        <v>4251.7045625277497</v>
      </c>
      <c r="L33" s="988"/>
      <c r="M33" s="1006" t="s">
        <v>34</v>
      </c>
      <c r="N33" s="876"/>
      <c r="O33" s="573" t="s">
        <v>1357</v>
      </c>
      <c r="P33" s="574" t="s">
        <v>1358</v>
      </c>
      <c r="Q33" s="575" t="s">
        <v>1359</v>
      </c>
      <c r="R33" s="561" t="s">
        <v>1278</v>
      </c>
      <c r="S33" s="576" t="s">
        <v>27</v>
      </c>
      <c r="T33" s="575" t="s">
        <v>1279</v>
      </c>
      <c r="U33" s="577" t="s">
        <v>27</v>
      </c>
      <c r="V33" s="577" t="s">
        <v>1360</v>
      </c>
      <c r="W33" s="577" t="s">
        <v>1279</v>
      </c>
      <c r="X33" s="1001">
        <v>80834.927451269876</v>
      </c>
      <c r="Y33" s="988"/>
      <c r="Z33" s="1006" t="s">
        <v>34</v>
      </c>
    </row>
    <row r="34" spans="2:26" ht="15" customHeight="1">
      <c r="B34" s="626" t="s">
        <v>1365</v>
      </c>
      <c r="C34" s="574" t="s">
        <v>1366</v>
      </c>
      <c r="D34" s="575" t="s">
        <v>1367</v>
      </c>
      <c r="E34" s="561" t="s">
        <v>1278</v>
      </c>
      <c r="F34" s="576" t="s">
        <v>27</v>
      </c>
      <c r="G34" s="575" t="s">
        <v>1279</v>
      </c>
      <c r="H34" s="577" t="s">
        <v>27</v>
      </c>
      <c r="I34" s="578" t="s">
        <v>1280</v>
      </c>
      <c r="J34" s="577" t="s">
        <v>1279</v>
      </c>
      <c r="K34" s="1001">
        <v>410.83903684692984</v>
      </c>
      <c r="L34" s="988"/>
      <c r="M34" s="1006" t="s">
        <v>34</v>
      </c>
      <c r="N34" s="876"/>
      <c r="O34" s="573" t="s">
        <v>1361</v>
      </c>
      <c r="P34" s="574" t="s">
        <v>1362</v>
      </c>
      <c r="Q34" s="575" t="s">
        <v>1363</v>
      </c>
      <c r="R34" s="561" t="s">
        <v>1278</v>
      </c>
      <c r="S34" s="576" t="s">
        <v>27</v>
      </c>
      <c r="T34" s="575" t="s">
        <v>1279</v>
      </c>
      <c r="U34" s="577" t="s">
        <v>27</v>
      </c>
      <c r="V34" s="577" t="s">
        <v>1364</v>
      </c>
      <c r="W34" s="577" t="s">
        <v>1279</v>
      </c>
      <c r="X34" s="1001">
        <v>4251.7045625277497</v>
      </c>
      <c r="Y34" s="988"/>
      <c r="Z34" s="1006" t="s">
        <v>34</v>
      </c>
    </row>
    <row r="35" spans="2:26" ht="15" customHeight="1">
      <c r="B35" s="626"/>
      <c r="C35" s="574"/>
      <c r="D35" s="575"/>
      <c r="E35" s="561"/>
      <c r="F35" s="576"/>
      <c r="G35" s="575"/>
      <c r="H35" s="577"/>
      <c r="I35" s="578"/>
      <c r="J35" s="577"/>
      <c r="K35" s="1001"/>
      <c r="L35" s="988"/>
      <c r="M35" s="1006"/>
      <c r="N35" s="876"/>
      <c r="O35" s="573" t="s">
        <v>1365</v>
      </c>
      <c r="P35" s="574" t="s">
        <v>1366</v>
      </c>
      <c r="Q35" s="575" t="s">
        <v>1367</v>
      </c>
      <c r="R35" s="561" t="s">
        <v>1278</v>
      </c>
      <c r="S35" s="576" t="s">
        <v>27</v>
      </c>
      <c r="T35" s="575" t="s">
        <v>1279</v>
      </c>
      <c r="U35" s="577" t="s">
        <v>27</v>
      </c>
      <c r="V35" s="577" t="s">
        <v>1280</v>
      </c>
      <c r="W35" s="577" t="s">
        <v>1279</v>
      </c>
      <c r="X35" s="1001">
        <v>410.83903684692984</v>
      </c>
      <c r="Y35" s="988"/>
      <c r="Z35" s="1006" t="s">
        <v>34</v>
      </c>
    </row>
    <row r="36" spans="2:26" ht="15" customHeight="1" thickBot="1">
      <c r="B36" s="627"/>
      <c r="C36" s="628"/>
      <c r="D36" s="629"/>
      <c r="E36" s="630"/>
      <c r="F36" s="631"/>
      <c r="G36" s="632"/>
      <c r="H36" s="633"/>
      <c r="I36" s="634"/>
      <c r="J36" s="633"/>
      <c r="K36" s="1008"/>
      <c r="L36" s="1009"/>
      <c r="M36" s="1010"/>
      <c r="N36" s="876"/>
      <c r="O36" s="581"/>
      <c r="P36" s="582"/>
      <c r="Q36" s="583"/>
      <c r="R36" s="584"/>
      <c r="S36" s="585"/>
      <c r="T36" s="586"/>
      <c r="U36" s="587"/>
      <c r="V36" s="587"/>
      <c r="W36" s="587"/>
      <c r="X36" s="1002"/>
      <c r="Y36" s="1011"/>
      <c r="Z36" s="1010"/>
    </row>
    <row r="37" spans="2:26" ht="15" customHeight="1"/>
    <row r="38" spans="2:26">
      <c r="B38" s="192" t="s">
        <v>1368</v>
      </c>
    </row>
    <row r="39" spans="2:26">
      <c r="B39" s="192" t="s">
        <v>1369</v>
      </c>
    </row>
    <row r="41" spans="2:26" ht="12.95">
      <c r="B41" s="588" t="s">
        <v>1370</v>
      </c>
    </row>
    <row r="42" spans="2:26">
      <c r="B42" s="589" t="s">
        <v>1371</v>
      </c>
    </row>
    <row r="43" spans="2:26">
      <c r="B43" s="589" t="s">
        <v>1372</v>
      </c>
    </row>
    <row r="44" spans="2:26">
      <c r="B44" s="589"/>
    </row>
    <row r="45" spans="2:26" ht="14.45" thickBot="1">
      <c r="J45" s="536" t="s">
        <v>1373</v>
      </c>
      <c r="K45" s="1012">
        <f>SUMIF(J$14:J36,"F",K$14:K36)</f>
        <v>644661.75796016771</v>
      </c>
      <c r="L45" s="822"/>
      <c r="M45" s="822"/>
      <c r="W45" s="536" t="s">
        <v>1373</v>
      </c>
      <c r="X45" s="1012">
        <f>SUMIF(W$14:W36,"F",X$14:X36)</f>
        <v>569856.43098129868</v>
      </c>
      <c r="Y45" s="822"/>
    </row>
    <row r="46" spans="2:26" ht="14.45" thickBot="1">
      <c r="J46" s="536" t="s">
        <v>1374</v>
      </c>
      <c r="K46" s="1013">
        <v>6485186</v>
      </c>
      <c r="L46" s="590"/>
      <c r="M46" s="590"/>
      <c r="W46" s="536" t="s">
        <v>1374</v>
      </c>
      <c r="X46" s="1014">
        <v>6485186</v>
      </c>
      <c r="Y46" s="590"/>
    </row>
    <row r="47" spans="2:26" ht="12.95" thickBot="1"/>
    <row r="48" spans="2:26" ht="14.45" thickBot="1">
      <c r="F48" s="1433" t="s">
        <v>1375</v>
      </c>
      <c r="G48" s="1434"/>
      <c r="H48" s="1434"/>
      <c r="I48" s="1434"/>
      <c r="J48" s="1435"/>
      <c r="K48" s="823">
        <f>K45/K46</f>
        <v>9.9405284283313952E-2</v>
      </c>
      <c r="L48" s="824"/>
      <c r="M48" s="824"/>
      <c r="S48" s="1433" t="s">
        <v>1375</v>
      </c>
      <c r="T48" s="1434"/>
      <c r="U48" s="1434"/>
      <c r="V48" s="1434"/>
      <c r="W48" s="1435"/>
      <c r="X48" s="823">
        <f>X45/X46</f>
        <v>8.7870483742686592E-2</v>
      </c>
      <c r="Y48" s="824"/>
    </row>
    <row r="49" spans="2:25" ht="14.45" thickBot="1">
      <c r="F49" s="1433" t="s">
        <v>1376</v>
      </c>
      <c r="G49" s="1434"/>
      <c r="H49" s="1434"/>
      <c r="I49" s="1434"/>
      <c r="J49" s="1435"/>
      <c r="K49" s="825">
        <f t="array" ref="K49">SUM(IF(E$14:E36="2 TIER",IF(F$14:F36="F",1,0)))</f>
        <v>0</v>
      </c>
      <c r="L49" s="826"/>
      <c r="M49" s="826"/>
      <c r="S49" s="1433" t="s">
        <v>1376</v>
      </c>
      <c r="T49" s="1434"/>
      <c r="U49" s="1434"/>
      <c r="V49" s="1434"/>
      <c r="W49" s="1435"/>
      <c r="X49" s="825" cm="1">
        <f t="array" ref="X49">SUM(IF(R$14:R36="2 TIER",IF(S$14:S36="F",1,0)))</f>
        <v>0</v>
      </c>
      <c r="Y49" s="826"/>
    </row>
    <row r="50" spans="2:25" ht="14.45" thickBot="1">
      <c r="F50" s="1433" t="s">
        <v>1377</v>
      </c>
      <c r="G50" s="1434"/>
      <c r="H50" s="1434"/>
      <c r="I50" s="1434"/>
      <c r="J50" s="1435"/>
      <c r="K50" s="825">
        <f t="array" ref="K50">SUM(IF(E$14:E36&lt;&gt;"1 TIER",IF(G$14:G36="F",1,0)))</f>
        <v>13</v>
      </c>
      <c r="L50" s="826"/>
      <c r="M50" s="826"/>
      <c r="S50" s="1433" t="s">
        <v>1377</v>
      </c>
      <c r="T50" s="1434"/>
      <c r="U50" s="1434"/>
      <c r="V50" s="1434"/>
      <c r="W50" s="1435"/>
      <c r="X50" s="825" cm="1">
        <f t="array" ref="X50">SUM(IF(R$14:R36&lt;&gt;"1 TIER",IF(T$14:T36="F",1,0)))</f>
        <v>17</v>
      </c>
      <c r="Y50" s="826"/>
    </row>
    <row r="51" spans="2:25" ht="14.45" thickBot="1">
      <c r="F51" s="1433" t="s">
        <v>1378</v>
      </c>
      <c r="G51" s="1434"/>
      <c r="H51" s="1434"/>
      <c r="I51" s="1434"/>
      <c r="J51" s="1435"/>
      <c r="K51" s="825">
        <f t="array" ref="K51">SUM(IF(E$14:E36="1 TIER",IF((F$14:F36="F")+(G$14:G36="F"),1,0)))</f>
        <v>1</v>
      </c>
      <c r="L51" s="826"/>
      <c r="M51" s="826"/>
      <c r="S51" s="1433" t="s">
        <v>1378</v>
      </c>
      <c r="T51" s="1434"/>
      <c r="U51" s="1434"/>
      <c r="V51" s="1434"/>
      <c r="W51" s="1435"/>
      <c r="X51" s="825" cm="1">
        <f t="array" ref="X51">SUM(IF(R$14:R36="1 TIER",IF((S$14:S36="F")+(T$14:T36="F"),1,0)))</f>
        <v>0</v>
      </c>
      <c r="Y51" s="826"/>
    </row>
    <row r="52" spans="2:25" ht="14.45" thickBot="1">
      <c r="F52" s="1433" t="s">
        <v>1379</v>
      </c>
      <c r="G52" s="1434"/>
      <c r="H52" s="1434"/>
      <c r="I52" s="1434"/>
      <c r="J52" s="1435"/>
      <c r="K52" s="825" cm="1">
        <f t="array" ref="K52">SUM(IF((F$14:F36="F")+(G$14:G36="F"),1,0))</f>
        <v>14</v>
      </c>
      <c r="L52" s="826"/>
      <c r="M52" s="826"/>
      <c r="S52" s="1433" t="s">
        <v>1379</v>
      </c>
      <c r="T52" s="1434"/>
      <c r="U52" s="1434"/>
      <c r="V52" s="1434"/>
      <c r="W52" s="1435"/>
      <c r="X52" s="825" cm="1">
        <f t="array" ref="X52">SUM(IF((S$14:S36="F")+(T$14:T36="F"),1,0))</f>
        <v>17</v>
      </c>
      <c r="Y52" s="826"/>
    </row>
    <row r="54" spans="2:25" ht="13.5" thickBot="1">
      <c r="B54" s="524" t="s">
        <v>1119</v>
      </c>
      <c r="O54" s="524" t="s">
        <v>1119</v>
      </c>
    </row>
    <row r="55" spans="2:25">
      <c r="B55" s="533" t="s">
        <v>1380</v>
      </c>
      <c r="C55" s="210"/>
      <c r="D55" s="210"/>
      <c r="E55" s="210"/>
      <c r="F55" s="209"/>
      <c r="O55" s="533" t="s">
        <v>1380</v>
      </c>
      <c r="P55" s="210"/>
      <c r="Q55" s="210"/>
      <c r="R55" s="210"/>
      <c r="S55" s="209"/>
    </row>
    <row r="56" spans="2:25">
      <c r="B56" s="527" t="s">
        <v>1381</v>
      </c>
      <c r="C56" s="526"/>
      <c r="D56" s="526"/>
      <c r="E56" s="526"/>
      <c r="F56" s="528"/>
      <c r="O56" s="527" t="s">
        <v>1381</v>
      </c>
      <c r="P56" s="526"/>
      <c r="Q56" s="526"/>
      <c r="R56" s="526"/>
      <c r="S56" s="528"/>
    </row>
    <row r="57" spans="2:25">
      <c r="B57" s="527" t="s">
        <v>1382</v>
      </c>
      <c r="C57" s="526"/>
      <c r="D57" s="526"/>
      <c r="E57" s="526"/>
      <c r="F57" s="528"/>
      <c r="O57" s="527"/>
      <c r="P57" s="526"/>
      <c r="Q57" s="526"/>
      <c r="R57" s="526"/>
      <c r="S57" s="528"/>
    </row>
    <row r="58" spans="2:25" ht="12.95" thickBot="1">
      <c r="B58" s="529"/>
      <c r="C58" s="530"/>
      <c r="D58" s="530"/>
      <c r="E58" s="530"/>
      <c r="F58" s="531"/>
      <c r="O58" s="529"/>
      <c r="P58" s="530"/>
      <c r="Q58" s="530"/>
      <c r="R58" s="530"/>
      <c r="S58" s="531"/>
    </row>
    <row r="59" spans="2:25" ht="12.95" thickBot="1">
      <c r="B59" s="532"/>
      <c r="O59" s="532"/>
    </row>
    <row r="60" spans="2:25">
      <c r="B60" s="533"/>
      <c r="C60" s="197"/>
      <c r="D60" s="210"/>
      <c r="E60" s="210"/>
      <c r="F60" s="209"/>
      <c r="O60" s="533"/>
      <c r="P60" s="197"/>
      <c r="Q60" s="210"/>
      <c r="R60" s="210"/>
      <c r="S60" s="209"/>
    </row>
    <row r="61" spans="2:25">
      <c r="B61" s="208" t="s">
        <v>523</v>
      </c>
      <c r="C61" s="207"/>
      <c r="D61" s="206"/>
      <c r="E61" s="207" t="s">
        <v>40</v>
      </c>
      <c r="F61" s="205"/>
      <c r="O61" s="208" t="s">
        <v>523</v>
      </c>
      <c r="P61" s="207"/>
      <c r="Q61" s="206"/>
      <c r="R61" s="207" t="s">
        <v>1383</v>
      </c>
      <c r="S61" s="205"/>
    </row>
    <row r="62" spans="2:25" ht="12.95" thickBot="1">
      <c r="B62" s="534"/>
      <c r="C62" s="204"/>
      <c r="D62" s="204"/>
      <c r="E62" s="204"/>
      <c r="F62" s="203"/>
      <c r="O62" s="534"/>
      <c r="P62" s="204"/>
      <c r="Q62" s="204"/>
      <c r="R62" s="204"/>
      <c r="S62" s="203"/>
    </row>
  </sheetData>
  <autoFilter ref="B13:Y34" xr:uid="{B104C71D-E353-4F34-BA56-303BAD964049}"/>
  <mergeCells count="18">
    <mergeCell ref="S49:W49"/>
    <mergeCell ref="S50:W50"/>
    <mergeCell ref="S51:W51"/>
    <mergeCell ref="S52:W52"/>
    <mergeCell ref="F48:J48"/>
    <mergeCell ref="F49:J49"/>
    <mergeCell ref="F50:J50"/>
    <mergeCell ref="F51:J51"/>
    <mergeCell ref="F52:J52"/>
    <mergeCell ref="S48:W48"/>
    <mergeCell ref="B8:M8"/>
    <mergeCell ref="O8:Z8"/>
    <mergeCell ref="F11:G11"/>
    <mergeCell ref="S11:T11"/>
    <mergeCell ref="F12:G12"/>
    <mergeCell ref="S12:T12"/>
    <mergeCell ref="B9:M9"/>
    <mergeCell ref="O9:Z9"/>
  </mergeCells>
  <conditionalFormatting sqref="F14:H36 J14:J36 S14:U36 W14:W36">
    <cfRule type="cellIs" dxfId="0" priority="13" stopIfTrue="1" operator="equal">
      <formula>"F"</formula>
    </cfRule>
  </conditionalFormatting>
  <dataValidations count="2">
    <dataValidation type="list" allowBlank="1" showInputMessage="1" showErrorMessage="1" sqref="E14:E34 R14:R35" xr:uid="{A11A915E-1BBE-46A4-AD57-8ACDAA0E1C4D}">
      <formula1>"2 Tier,1 Tier,Other"</formula1>
    </dataValidation>
    <dataValidation type="list" allowBlank="1" showInputMessage="1" showErrorMessage="1" sqref="J14:J36 F14:H36 S14:U36 W14:W36" xr:uid="{F1FD2E01-B151-4013-861F-B8E00EDE356F}">
      <formula1>"C,F"</formula1>
    </dataValidation>
  </dataValidations>
  <pageMargins left="0.74803149606299213" right="0.74803149606299213" top="0.98425196850393704" bottom="0.98425196850393704" header="0.51181102362204722" footer="0.51181102362204722"/>
  <pageSetup paperSize="8" scale="60" orientation="portrait" r:id="rId1"/>
  <headerFooter alignWithMargins="0">
    <oddHeader>&amp;C&amp;"Calibri"&amp;10&amp;K0000FF OFFICIAL – BUSINESS&amp;1#_x000D_</oddHeader>
    <oddFooter>&amp;C_x000D_&amp;1#&amp;"Calibri"&amp;10&amp;K0000FF OFFICIAL – BUSINESS&amp;RDate: May 2013
Revision: 16.0
&amp;</oddFooter>
  </headerFooter>
  <colBreaks count="1" manualBreakCount="1"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BB7D9-A715-4744-A691-DC3A96F2E9F1}">
  <dimension ref="A3:E116"/>
  <sheetViews>
    <sheetView zoomScaleNormal="100" workbookViewId="0">
      <selection sqref="A1:XFD1048576"/>
    </sheetView>
  </sheetViews>
  <sheetFormatPr defaultColWidth="8.5703125" defaultRowHeight="12.6"/>
  <cols>
    <col min="1" max="1" width="3.42578125" style="192" customWidth="1"/>
    <col min="2" max="2" width="24.42578125" style="192" customWidth="1"/>
    <col min="3" max="3" width="21.42578125" style="192" customWidth="1"/>
    <col min="4" max="4" width="57.42578125" style="192" customWidth="1"/>
    <col min="5" max="16384" width="8.5703125" style="192"/>
  </cols>
  <sheetData>
    <row r="3" spans="1:2" ht="15.6">
      <c r="B3" s="537" t="s">
        <v>1384</v>
      </c>
    </row>
    <row r="5" spans="1:2" ht="15.6">
      <c r="A5" s="591" t="s">
        <v>1385</v>
      </c>
      <c r="B5" s="592" t="s">
        <v>1386</v>
      </c>
    </row>
    <row r="7" spans="1:2">
      <c r="B7" s="192" t="s">
        <v>1387</v>
      </c>
    </row>
    <row r="9" spans="1:2" ht="12.95">
      <c r="B9" s="516" t="s">
        <v>1388</v>
      </c>
    </row>
    <row r="10" spans="1:2">
      <c r="B10" s="192" t="s">
        <v>1389</v>
      </c>
    </row>
    <row r="11" spans="1:2">
      <c r="B11" s="192" t="s">
        <v>1390</v>
      </c>
    </row>
    <row r="13" spans="1:2">
      <c r="B13" s="593" t="s">
        <v>1391</v>
      </c>
    </row>
    <row r="14" spans="1:2">
      <c r="B14" s="593" t="s">
        <v>1392</v>
      </c>
    </row>
    <row r="15" spans="1:2">
      <c r="B15" s="593" t="s">
        <v>1393</v>
      </c>
    </row>
    <row r="16" spans="1:2">
      <c r="B16" s="593" t="s">
        <v>1394</v>
      </c>
    </row>
    <row r="17" spans="2:4">
      <c r="B17" s="593" t="s">
        <v>1395</v>
      </c>
    </row>
    <row r="18" spans="2:4">
      <c r="B18" s="593"/>
    </row>
    <row r="19" spans="2:4" ht="12.95">
      <c r="B19" s="516" t="s">
        <v>1396</v>
      </c>
    </row>
    <row r="21" spans="2:4" ht="12.95">
      <c r="B21" s="594" t="s">
        <v>1397</v>
      </c>
      <c r="C21" s="594" t="s">
        <v>1398</v>
      </c>
      <c r="D21" s="594" t="s">
        <v>1399</v>
      </c>
    </row>
    <row r="22" spans="2:4" ht="14.45">
      <c r="B22" s="1428" t="s">
        <v>1400</v>
      </c>
      <c r="C22" s="595" t="s">
        <v>1401</v>
      </c>
      <c r="D22" s="1428" t="s">
        <v>1402</v>
      </c>
    </row>
    <row r="23" spans="2:4" ht="14.45">
      <c r="B23" s="1429"/>
      <c r="C23" s="596" t="s">
        <v>1403</v>
      </c>
      <c r="D23" s="1430"/>
    </row>
    <row r="24" spans="2:4" ht="37.5">
      <c r="B24" s="1430"/>
      <c r="C24" s="535" t="s">
        <v>1403</v>
      </c>
      <c r="D24" s="597" t="s">
        <v>1404</v>
      </c>
    </row>
    <row r="25" spans="2:4">
      <c r="B25" s="535" t="s">
        <v>1405</v>
      </c>
      <c r="C25" s="535" t="s">
        <v>1406</v>
      </c>
      <c r="D25" s="535" t="s">
        <v>1407</v>
      </c>
    </row>
    <row r="26" spans="2:4">
      <c r="B26" s="535" t="s">
        <v>1408</v>
      </c>
      <c r="C26" s="535" t="s">
        <v>1406</v>
      </c>
      <c r="D26" s="192" t="s">
        <v>1407</v>
      </c>
    </row>
    <row r="27" spans="2:4">
      <c r="B27" s="1428" t="s">
        <v>1409</v>
      </c>
      <c r="C27" s="595" t="s">
        <v>1406</v>
      </c>
      <c r="D27" s="1428" t="s">
        <v>1410</v>
      </c>
    </row>
    <row r="28" spans="2:4" ht="14.45">
      <c r="B28" s="1429"/>
      <c r="C28" s="596" t="s">
        <v>1403</v>
      </c>
      <c r="D28" s="1430"/>
    </row>
    <row r="29" spans="2:4" ht="37.5">
      <c r="B29" s="1430"/>
      <c r="C29" s="535" t="s">
        <v>1403</v>
      </c>
      <c r="D29" s="597" t="s">
        <v>1411</v>
      </c>
    </row>
    <row r="30" spans="2:4" ht="39.6">
      <c r="B30" s="598" t="s">
        <v>1412</v>
      </c>
      <c r="C30" s="535" t="s">
        <v>1406</v>
      </c>
      <c r="D30" s="597" t="s">
        <v>1413</v>
      </c>
    </row>
    <row r="31" spans="2:4" ht="14.45">
      <c r="B31" s="599" t="s">
        <v>1414</v>
      </c>
    </row>
    <row r="32" spans="2:4" ht="14.45">
      <c r="B32" s="599" t="s">
        <v>1415</v>
      </c>
    </row>
    <row r="33" spans="1:5">
      <c r="B33" s="192" t="s">
        <v>1416</v>
      </c>
    </row>
    <row r="34" spans="1:5" ht="14.45">
      <c r="B34" s="599" t="s">
        <v>1417</v>
      </c>
    </row>
    <row r="36" spans="1:5" ht="12.95">
      <c r="B36" s="516" t="s">
        <v>1418</v>
      </c>
    </row>
    <row r="37" spans="1:5">
      <c r="B37" s="600" t="s">
        <v>1419</v>
      </c>
      <c r="C37" s="600"/>
      <c r="D37" s="600"/>
      <c r="E37" s="600"/>
    </row>
    <row r="38" spans="1:5">
      <c r="B38" s="192" t="s">
        <v>1420</v>
      </c>
    </row>
    <row r="40" spans="1:5" ht="12.95">
      <c r="B40" s="516" t="s">
        <v>1421</v>
      </c>
    </row>
    <row r="41" spans="1:5">
      <c r="B41" s="192" t="s">
        <v>1422</v>
      </c>
    </row>
    <row r="42" spans="1:5">
      <c r="B42" s="192" t="s">
        <v>1423</v>
      </c>
    </row>
    <row r="43" spans="1:5">
      <c r="B43" s="192" t="s">
        <v>1424</v>
      </c>
    </row>
    <row r="45" spans="1:5" ht="15.6">
      <c r="A45" s="591" t="s">
        <v>1425</v>
      </c>
      <c r="B45" s="592" t="s">
        <v>1426</v>
      </c>
    </row>
    <row r="47" spans="1:5" ht="12.95">
      <c r="B47" s="516" t="s">
        <v>4</v>
      </c>
    </row>
    <row r="48" spans="1:5">
      <c r="B48" s="192" t="s">
        <v>1427</v>
      </c>
    </row>
    <row r="50" spans="2:4">
      <c r="B50" s="192" t="s">
        <v>1388</v>
      </c>
    </row>
    <row r="51" spans="2:4">
      <c r="B51" s="192" t="s">
        <v>1428</v>
      </c>
    </row>
    <row r="52" spans="2:4">
      <c r="B52" s="192" t="s">
        <v>1429</v>
      </c>
    </row>
    <row r="54" spans="2:4" ht="12.95">
      <c r="B54" s="516" t="s">
        <v>1430</v>
      </c>
    </row>
    <row r="56" spans="2:4" ht="13.5" thickBot="1">
      <c r="B56" s="601" t="s">
        <v>1431</v>
      </c>
      <c r="C56" s="601" t="s">
        <v>1432</v>
      </c>
      <c r="D56" s="601" t="s">
        <v>1433</v>
      </c>
    </row>
    <row r="57" spans="2:4">
      <c r="B57" s="602" t="s">
        <v>1133</v>
      </c>
      <c r="C57" s="1422" t="s">
        <v>1434</v>
      </c>
      <c r="D57" s="1422" t="s">
        <v>1435</v>
      </c>
    </row>
    <row r="58" spans="2:4">
      <c r="B58" s="603" t="s">
        <v>1137</v>
      </c>
      <c r="C58" s="1423"/>
      <c r="D58" s="1423"/>
    </row>
    <row r="59" spans="2:4">
      <c r="B59" s="603" t="s">
        <v>1135</v>
      </c>
      <c r="C59" s="1423"/>
      <c r="D59" s="1423"/>
    </row>
    <row r="60" spans="2:4" ht="12.95" thickBot="1">
      <c r="B60" s="604" t="s">
        <v>1436</v>
      </c>
      <c r="C60" s="1423"/>
      <c r="D60" s="1423"/>
    </row>
    <row r="61" spans="2:4">
      <c r="B61" s="602" t="s">
        <v>1024</v>
      </c>
      <c r="C61" s="1417" t="s">
        <v>1437</v>
      </c>
      <c r="D61" s="1419" t="s">
        <v>1438</v>
      </c>
    </row>
    <row r="62" spans="2:4">
      <c r="B62" s="603" t="s">
        <v>1150</v>
      </c>
      <c r="C62" s="1418"/>
      <c r="D62" s="1420"/>
    </row>
    <row r="63" spans="2:4" ht="12.95" thickBot="1">
      <c r="B63" s="604" t="s">
        <v>1439</v>
      </c>
      <c r="C63" s="605" t="s">
        <v>1440</v>
      </c>
      <c r="D63" s="1421"/>
    </row>
    <row r="64" spans="2:4">
      <c r="B64" s="602" t="s">
        <v>1141</v>
      </c>
      <c r="C64" s="1422" t="s">
        <v>1441</v>
      </c>
      <c r="D64" s="1425" t="s">
        <v>1435</v>
      </c>
    </row>
    <row r="65" spans="1:4">
      <c r="B65" s="603" t="s">
        <v>1442</v>
      </c>
      <c r="C65" s="1423"/>
      <c r="D65" s="1426"/>
    </row>
    <row r="66" spans="1:4" ht="12.95" thickBot="1">
      <c r="B66" s="604" t="s">
        <v>1112</v>
      </c>
      <c r="C66" s="1424"/>
      <c r="D66" s="1427"/>
    </row>
    <row r="69" spans="1:4" ht="12.95">
      <c r="B69" s="516" t="s">
        <v>1418</v>
      </c>
    </row>
    <row r="70" spans="1:4" ht="12.95">
      <c r="B70" s="516"/>
    </row>
    <row r="71" spans="1:4">
      <c r="B71" s="600" t="s">
        <v>1443</v>
      </c>
    </row>
    <row r="72" spans="1:4">
      <c r="B72" s="192" t="s">
        <v>1444</v>
      </c>
    </row>
    <row r="74" spans="1:4" ht="12.95">
      <c r="B74" s="516" t="s">
        <v>1421</v>
      </c>
    </row>
    <row r="75" spans="1:4">
      <c r="B75" s="192" t="s">
        <v>1422</v>
      </c>
    </row>
    <row r="76" spans="1:4">
      <c r="B76" s="192" t="s">
        <v>1445</v>
      </c>
    </row>
    <row r="77" spans="1:4">
      <c r="B77" s="192" t="s">
        <v>1446</v>
      </c>
    </row>
    <row r="80" spans="1:4" ht="15.6">
      <c r="A80" s="591" t="s">
        <v>1447</v>
      </c>
      <c r="B80" s="592" t="s">
        <v>1448</v>
      </c>
    </row>
    <row r="82" spans="2:2" ht="12.95">
      <c r="B82" s="516" t="s">
        <v>4</v>
      </c>
    </row>
    <row r="83" spans="2:2">
      <c r="B83" s="192" t="s">
        <v>1449</v>
      </c>
    </row>
    <row r="85" spans="2:2" ht="12.95">
      <c r="B85" s="516" t="s">
        <v>1388</v>
      </c>
    </row>
    <row r="86" spans="2:2">
      <c r="B86" s="192" t="s">
        <v>1450</v>
      </c>
    </row>
    <row r="87" spans="2:2">
      <c r="B87" s="192" t="s">
        <v>1451</v>
      </c>
    </row>
    <row r="89" spans="2:2" ht="12.95">
      <c r="B89" s="516" t="s">
        <v>1418</v>
      </c>
    </row>
    <row r="90" spans="2:2">
      <c r="B90" s="600" t="s">
        <v>1452</v>
      </c>
    </row>
    <row r="91" spans="2:2">
      <c r="B91" s="192" t="s">
        <v>1444</v>
      </c>
    </row>
    <row r="93" spans="2:2" ht="12.95">
      <c r="B93" s="516" t="s">
        <v>1421</v>
      </c>
    </row>
    <row r="94" spans="2:2">
      <c r="B94" s="192" t="s">
        <v>1422</v>
      </c>
    </row>
    <row r="95" spans="2:2">
      <c r="B95" s="192" t="s">
        <v>1453</v>
      </c>
    </row>
    <row r="96" spans="2:2">
      <c r="B96" s="192" t="s">
        <v>1454</v>
      </c>
    </row>
    <row r="99" spans="1:2" ht="15.6">
      <c r="A99" s="591" t="s">
        <v>1455</v>
      </c>
      <c r="B99" s="592" t="s">
        <v>1456</v>
      </c>
    </row>
    <row r="101" spans="1:2" ht="12.95">
      <c r="B101" s="516" t="s">
        <v>4</v>
      </c>
    </row>
    <row r="102" spans="1:2">
      <c r="B102" s="192" t="s">
        <v>1457</v>
      </c>
    </row>
    <row r="104" spans="1:2" ht="12.95">
      <c r="B104" s="516" t="s">
        <v>1388</v>
      </c>
    </row>
    <row r="105" spans="1:2">
      <c r="B105" s="192" t="s">
        <v>1458</v>
      </c>
    </row>
    <row r="107" spans="1:2">
      <c r="B107" s="192" t="s">
        <v>1459</v>
      </c>
    </row>
    <row r="109" spans="1:2" ht="12.95">
      <c r="B109" s="516" t="s">
        <v>1418</v>
      </c>
    </row>
    <row r="110" spans="1:2">
      <c r="B110" s="600" t="s">
        <v>1443</v>
      </c>
    </row>
    <row r="111" spans="1:2">
      <c r="B111" s="192" t="s">
        <v>1460</v>
      </c>
    </row>
    <row r="113" spans="2:2" ht="12.95">
      <c r="B113" s="516" t="s">
        <v>1421</v>
      </c>
    </row>
    <row r="114" spans="2:2">
      <c r="B114" s="192" t="s">
        <v>1422</v>
      </c>
    </row>
    <row r="115" spans="2:2">
      <c r="B115" s="192" t="s">
        <v>1461</v>
      </c>
    </row>
    <row r="116" spans="2:2">
      <c r="B116" s="192" t="s">
        <v>1424</v>
      </c>
    </row>
  </sheetData>
  <mergeCells count="10">
    <mergeCell ref="C61:C62"/>
    <mergeCell ref="D61:D63"/>
    <mergeCell ref="C64:C66"/>
    <mergeCell ref="D64:D66"/>
    <mergeCell ref="B22:B24"/>
    <mergeCell ref="D22:D23"/>
    <mergeCell ref="B27:B29"/>
    <mergeCell ref="D27:D28"/>
    <mergeCell ref="C57:C60"/>
    <mergeCell ref="D57:D60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headerFooter>
    <oddHeader>&amp;C&amp;"Calibri"&amp;10&amp;K0000FF OFFICIAL – BUSINESS&amp;1#_x000D_</oddHeader>
    <oddFooter>&amp;C_x000D_&amp;1#&amp;"Calibri"&amp;10&amp;K0000FF OFFICIAL – BUSINESS&amp;RDate:May 2012
Revision: 16.0
&amp;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B286A-6B37-4D46-81F9-D7F3ACCE0618}">
  <dimension ref="A3:B9"/>
  <sheetViews>
    <sheetView zoomScaleNormal="100" workbookViewId="0">
      <selection sqref="A1:XFD1048576"/>
    </sheetView>
  </sheetViews>
  <sheetFormatPr defaultRowHeight="12.6"/>
  <cols>
    <col min="1" max="1" width="15.42578125" bestFit="1" customWidth="1"/>
  </cols>
  <sheetData>
    <row r="3" spans="1:2">
      <c r="A3" s="77" t="s">
        <v>1462</v>
      </c>
      <c r="B3" s="77" t="s">
        <v>1463</v>
      </c>
    </row>
    <row r="4" spans="1:2">
      <c r="A4" s="77" t="s">
        <v>1464</v>
      </c>
      <c r="B4" s="77" t="s">
        <v>1465</v>
      </c>
    </row>
    <row r="5" spans="1:2">
      <c r="A5" s="77" t="s">
        <v>1466</v>
      </c>
      <c r="B5" s="77" t="s">
        <v>1467</v>
      </c>
    </row>
    <row r="7" spans="1:2">
      <c r="A7" s="77" t="s">
        <v>1468</v>
      </c>
      <c r="B7" t="str">
        <f>LEFT(_reportyear,4)</f>
        <v>2023</v>
      </c>
    </row>
    <row r="8" spans="1:2">
      <c r="A8" s="77"/>
    </row>
    <row r="9" spans="1:2">
      <c r="A9" s="7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261"/>
  <sheetViews>
    <sheetView zoomScaleNormal="100" zoomScalePageLayoutView="55" workbookViewId="0">
      <selection sqref="A1:XFD1048576"/>
    </sheetView>
  </sheetViews>
  <sheetFormatPr defaultColWidth="9.42578125" defaultRowHeight="12.6"/>
  <cols>
    <col min="1" max="1" width="7.42578125" customWidth="1"/>
    <col min="2" max="2" width="71.42578125" bestFit="1" customWidth="1"/>
    <col min="3" max="4" width="14.42578125" customWidth="1"/>
    <col min="6" max="6" width="12.5703125" customWidth="1"/>
    <col min="7" max="8" width="3.5703125" customWidth="1"/>
    <col min="9" max="9" width="12.42578125" customWidth="1"/>
    <col min="10" max="10" width="4.42578125" customWidth="1"/>
    <col min="11" max="11" width="10.5703125" customWidth="1"/>
    <col min="12" max="18" width="8.5703125" customWidth="1"/>
  </cols>
  <sheetData>
    <row r="1" spans="1:13" s="18" customFormat="1" ht="20.100000000000001">
      <c r="A1" s="49" t="s">
        <v>0</v>
      </c>
      <c r="B1" s="50"/>
      <c r="C1" s="50"/>
      <c r="D1" s="50"/>
      <c r="H1"/>
      <c r="I1"/>
    </row>
    <row r="2" spans="1:13" s="18" customFormat="1" ht="20.100000000000001">
      <c r="H2"/>
      <c r="I2"/>
    </row>
    <row r="3" spans="1:13" s="18" customFormat="1" ht="20.100000000000001">
      <c r="A3" s="238" t="str">
        <f>"ANNUAL RETURN INFORMATION REQUIREMENTS "&amp;_reportyear</f>
        <v>ANNUAL RETURN INFORMATION REQUIREMENTS 2023-24</v>
      </c>
      <c r="B3" s="20"/>
      <c r="C3" s="20"/>
      <c r="D3" s="20"/>
      <c r="E3" s="21"/>
      <c r="F3" s="21"/>
      <c r="G3" s="21"/>
      <c r="H3" s="21"/>
      <c r="I3" s="21"/>
      <c r="J3" s="21"/>
      <c r="K3" s="21"/>
    </row>
    <row r="4" spans="1:13" s="1" customFormat="1" ht="23.1">
      <c r="A4" s="72"/>
      <c r="B4" s="23"/>
      <c r="C4" s="23"/>
      <c r="D4" s="23"/>
      <c r="H4"/>
      <c r="I4"/>
    </row>
    <row r="5" spans="1:13" ht="15.95" thickBot="1">
      <c r="A5" s="22"/>
      <c r="B5" s="23"/>
      <c r="C5" s="23"/>
      <c r="D5" s="23"/>
      <c r="E5" s="1"/>
      <c r="F5" s="1"/>
      <c r="G5" s="1"/>
      <c r="J5" s="1"/>
      <c r="K5" s="1"/>
    </row>
    <row r="6" spans="1:13" ht="20.100000000000001">
      <c r="A6" s="51" t="s">
        <v>1</v>
      </c>
      <c r="B6" s="24"/>
      <c r="G6" s="1"/>
      <c r="J6" s="1"/>
      <c r="K6" s="1"/>
      <c r="M6" s="174"/>
    </row>
    <row r="7" spans="1:13" ht="20.45" thickBot="1">
      <c r="A7" s="25" t="s">
        <v>147</v>
      </c>
      <c r="B7" s="26"/>
      <c r="C7" s="62"/>
      <c r="D7" s="62"/>
      <c r="G7" s="1"/>
      <c r="J7" s="1"/>
      <c r="K7" s="1"/>
      <c r="M7" s="174"/>
    </row>
    <row r="8" spans="1:13">
      <c r="A8" s="1"/>
      <c r="B8" s="1"/>
      <c r="C8" s="1"/>
      <c r="D8" s="1"/>
      <c r="E8" s="1"/>
      <c r="F8" s="1"/>
      <c r="G8" s="1"/>
      <c r="J8" s="1"/>
      <c r="K8" s="1"/>
    </row>
    <row r="9" spans="1:13" ht="12.95" thickBot="1">
      <c r="A9" s="1"/>
      <c r="B9" s="1"/>
      <c r="C9" s="1"/>
      <c r="D9" s="1"/>
      <c r="E9" s="1"/>
      <c r="F9" s="1"/>
      <c r="G9" s="1"/>
      <c r="J9" s="1"/>
    </row>
    <row r="10" spans="1:13" ht="15.6">
      <c r="A10" s="28" t="s">
        <v>3</v>
      </c>
      <c r="B10" s="29" t="s">
        <v>4</v>
      </c>
      <c r="C10" s="30" t="s">
        <v>5</v>
      </c>
      <c r="D10" s="31" t="s">
        <v>6</v>
      </c>
      <c r="E10" s="32"/>
      <c r="F10" s="1323" t="s">
        <v>7</v>
      </c>
      <c r="G10" s="1324"/>
      <c r="H10" s="797"/>
      <c r="I10" s="1323" t="s">
        <v>8</v>
      </c>
      <c r="J10" s="1324"/>
    </row>
    <row r="11" spans="1:13" ht="15.6">
      <c r="A11" s="33" t="s">
        <v>148</v>
      </c>
      <c r="B11" s="34"/>
      <c r="C11" s="35"/>
      <c r="D11" s="36" t="s">
        <v>149</v>
      </c>
      <c r="E11" s="32"/>
      <c r="F11" s="1325"/>
      <c r="G11" s="1326"/>
      <c r="H11" s="797"/>
      <c r="I11" s="1325"/>
      <c r="J11" s="1326"/>
    </row>
    <row r="12" spans="1:13" ht="15.95" thickBot="1">
      <c r="A12" s="37"/>
      <c r="B12" s="38"/>
      <c r="C12" s="39"/>
      <c r="D12" s="40"/>
      <c r="E12" s="32"/>
      <c r="F12" s="48" t="str">
        <f>_reportyear</f>
        <v>2023-24</v>
      </c>
      <c r="G12" s="793" t="s">
        <v>11</v>
      </c>
      <c r="H12" s="193"/>
      <c r="I12" s="48" t="str">
        <f>_reportyearplus1</f>
        <v>2024-25</v>
      </c>
      <c r="J12" s="793" t="s">
        <v>11</v>
      </c>
    </row>
    <row r="13" spans="1:13" ht="12.95" thickBot="1">
      <c r="A13" s="1"/>
      <c r="B13" s="41"/>
      <c r="C13" s="1"/>
      <c r="D13" s="1"/>
      <c r="E13" s="1"/>
      <c r="H13" s="1"/>
      <c r="I13" s="1"/>
      <c r="J13" s="1"/>
    </row>
    <row r="14" spans="1:13" ht="15.95" thickBot="1">
      <c r="A14" s="68"/>
      <c r="B14" s="69" t="s">
        <v>150</v>
      </c>
      <c r="C14" s="70"/>
      <c r="D14" s="71"/>
      <c r="E14" s="2"/>
      <c r="H14" s="1"/>
      <c r="I14" s="2"/>
      <c r="J14" s="2"/>
    </row>
    <row r="15" spans="1:13" ht="15.95" thickBot="1">
      <c r="A15" s="168" t="s">
        <v>151</v>
      </c>
      <c r="B15" s="188" t="s">
        <v>152</v>
      </c>
      <c r="C15" s="73" t="s">
        <v>21</v>
      </c>
      <c r="D15" s="74" t="s">
        <v>153</v>
      </c>
      <c r="E15" s="189"/>
      <c r="F15" s="464">
        <v>2672411</v>
      </c>
      <c r="G15" s="1277" t="s">
        <v>18</v>
      </c>
      <c r="H15" s="2"/>
      <c r="I15" s="464">
        <v>2692450</v>
      </c>
      <c r="J15" s="1277" t="s">
        <v>18</v>
      </c>
    </row>
    <row r="16" spans="1:13" ht="12.95" thickBot="1">
      <c r="A16" s="1"/>
      <c r="B16" s="41"/>
      <c r="C16" s="1"/>
      <c r="D16" s="1"/>
      <c r="E16" s="1"/>
      <c r="F16" s="1"/>
      <c r="G16" s="1"/>
      <c r="H16" s="1"/>
      <c r="I16" s="1"/>
      <c r="J16" s="1"/>
    </row>
    <row r="17" spans="1:18" s="42" customFormat="1" ht="15.95" thickBot="1">
      <c r="A17" s="44"/>
      <c r="B17" s="45" t="s">
        <v>154</v>
      </c>
      <c r="C17" s="46"/>
      <c r="D17" s="47"/>
      <c r="E17" s="2"/>
      <c r="F17" s="2"/>
      <c r="G17" s="2"/>
      <c r="H17" s="61"/>
      <c r="I17" s="2"/>
      <c r="J17" s="2"/>
      <c r="M17"/>
      <c r="N17"/>
      <c r="O17"/>
      <c r="P17"/>
      <c r="Q17"/>
      <c r="R17"/>
    </row>
    <row r="18" spans="1:18">
      <c r="A18" s="1043" t="s">
        <v>155</v>
      </c>
      <c r="B18" s="52" t="s">
        <v>156</v>
      </c>
      <c r="C18" s="1044" t="s">
        <v>21</v>
      </c>
      <c r="D18" s="54" t="s">
        <v>16</v>
      </c>
      <c r="E18" s="1"/>
      <c r="F18" s="1045">
        <v>93</v>
      </c>
      <c r="G18" s="1046" t="s">
        <v>157</v>
      </c>
      <c r="I18" s="1045">
        <v>113</v>
      </c>
      <c r="J18" s="1046" t="s">
        <v>158</v>
      </c>
    </row>
    <row r="19" spans="1:18">
      <c r="A19" s="170" t="s">
        <v>159</v>
      </c>
      <c r="B19" s="65" t="s">
        <v>160</v>
      </c>
      <c r="C19" s="1047" t="s">
        <v>21</v>
      </c>
      <c r="D19" s="66" t="s">
        <v>16</v>
      </c>
      <c r="E19" s="1"/>
      <c r="F19" s="1048">
        <v>43</v>
      </c>
      <c r="G19" s="1049" t="s">
        <v>157</v>
      </c>
      <c r="I19" s="1048">
        <v>53</v>
      </c>
      <c r="J19" s="1049" t="s">
        <v>158</v>
      </c>
    </row>
    <row r="20" spans="1:18">
      <c r="A20" s="170" t="s">
        <v>161</v>
      </c>
      <c r="B20" s="65" t="s">
        <v>162</v>
      </c>
      <c r="C20" s="1047" t="s">
        <v>21</v>
      </c>
      <c r="D20" s="66" t="s">
        <v>16</v>
      </c>
      <c r="E20" s="1"/>
      <c r="F20" s="1048">
        <v>15</v>
      </c>
      <c r="G20" s="1049" t="s">
        <v>157</v>
      </c>
      <c r="I20" s="1048">
        <v>18</v>
      </c>
      <c r="J20" s="1049" t="s">
        <v>158</v>
      </c>
    </row>
    <row r="21" spans="1:18">
      <c r="A21" s="170" t="s">
        <v>163</v>
      </c>
      <c r="B21" s="1050" t="s">
        <v>164</v>
      </c>
      <c r="C21" s="1047" t="s">
        <v>21</v>
      </c>
      <c r="D21" s="66" t="s">
        <v>16</v>
      </c>
      <c r="E21" s="1"/>
      <c r="F21" s="1051">
        <v>36</v>
      </c>
      <c r="G21" s="1049" t="s">
        <v>157</v>
      </c>
      <c r="I21" s="1051">
        <v>37</v>
      </c>
      <c r="J21" s="1049" t="s">
        <v>158</v>
      </c>
    </row>
    <row r="22" spans="1:18" ht="12.95" thickBot="1">
      <c r="A22" s="1052" t="s">
        <v>165</v>
      </c>
      <c r="B22" s="1053" t="s">
        <v>166</v>
      </c>
      <c r="C22" s="1054" t="s">
        <v>21</v>
      </c>
      <c r="D22" s="60" t="s">
        <v>16</v>
      </c>
      <c r="E22" s="61"/>
      <c r="F22" s="1055">
        <v>19</v>
      </c>
      <c r="G22" s="1056" t="s">
        <v>157</v>
      </c>
      <c r="I22" s="1055">
        <v>20</v>
      </c>
      <c r="J22" s="1056" t="s">
        <v>158</v>
      </c>
    </row>
    <row r="23" spans="1:18" ht="12.95" thickBot="1">
      <c r="A23" s="1057"/>
      <c r="B23" s="1058"/>
      <c r="C23" s="61"/>
      <c r="D23" s="61"/>
      <c r="E23" s="1"/>
      <c r="F23" s="1"/>
      <c r="G23" s="1"/>
      <c r="I23" s="1"/>
      <c r="J23" s="1"/>
    </row>
    <row r="24" spans="1:18" s="42" customFormat="1" ht="15.95" thickBot="1">
      <c r="A24" s="1059"/>
      <c r="B24" s="1060" t="s">
        <v>167</v>
      </c>
      <c r="C24" s="46"/>
      <c r="D24" s="47"/>
      <c r="E24" s="2"/>
      <c r="F24" s="2"/>
      <c r="G24" s="2"/>
      <c r="H24"/>
      <c r="I24" s="2"/>
      <c r="J24" s="2"/>
      <c r="M24"/>
      <c r="N24"/>
      <c r="O24"/>
      <c r="P24"/>
      <c r="Q24"/>
      <c r="R24"/>
    </row>
    <row r="25" spans="1:18">
      <c r="A25" s="1043" t="s">
        <v>168</v>
      </c>
      <c r="B25" s="1061" t="s">
        <v>156</v>
      </c>
      <c r="C25" s="53" t="s">
        <v>21</v>
      </c>
      <c r="D25" s="54" t="s">
        <v>16</v>
      </c>
      <c r="E25" s="1"/>
      <c r="F25" s="1045">
        <v>85</v>
      </c>
      <c r="G25" s="1046" t="s">
        <v>157</v>
      </c>
      <c r="I25" s="1045">
        <v>86</v>
      </c>
      <c r="J25" s="1046" t="s">
        <v>158</v>
      </c>
    </row>
    <row r="26" spans="1:18">
      <c r="A26" s="1062" t="s">
        <v>169</v>
      </c>
      <c r="B26" s="1063" t="s">
        <v>170</v>
      </c>
      <c r="C26" s="75" t="s">
        <v>21</v>
      </c>
      <c r="D26" s="118" t="s">
        <v>16</v>
      </c>
      <c r="E26" s="1"/>
      <c r="F26" s="1064">
        <v>326</v>
      </c>
      <c r="G26" s="1065" t="s">
        <v>157</v>
      </c>
      <c r="I26" s="1064">
        <v>311</v>
      </c>
      <c r="J26" s="1065" t="s">
        <v>158</v>
      </c>
    </row>
    <row r="27" spans="1:18">
      <c r="A27" s="170" t="s">
        <v>171</v>
      </c>
      <c r="B27" s="1050" t="s">
        <v>172</v>
      </c>
      <c r="C27" s="56" t="s">
        <v>21</v>
      </c>
      <c r="D27" s="57" t="s">
        <v>16</v>
      </c>
      <c r="E27" s="1"/>
      <c r="F27" s="1064">
        <v>224</v>
      </c>
      <c r="G27" s="1065" t="s">
        <v>173</v>
      </c>
      <c r="I27" s="1064">
        <v>246</v>
      </c>
      <c r="J27" s="1065" t="s">
        <v>158</v>
      </c>
    </row>
    <row r="28" spans="1:18">
      <c r="A28" s="170" t="s">
        <v>174</v>
      </c>
      <c r="B28" s="1050" t="s">
        <v>175</v>
      </c>
      <c r="C28" s="115" t="s">
        <v>21</v>
      </c>
      <c r="D28" s="66" t="s">
        <v>16</v>
      </c>
      <c r="E28" s="1"/>
      <c r="F28" s="1066">
        <v>7</v>
      </c>
      <c r="G28" s="1067" t="s">
        <v>157</v>
      </c>
      <c r="I28" s="1066">
        <v>6</v>
      </c>
      <c r="J28" s="1067" t="s">
        <v>158</v>
      </c>
    </row>
    <row r="29" spans="1:18">
      <c r="A29" s="170" t="s">
        <v>176</v>
      </c>
      <c r="B29" s="1050" t="s">
        <v>177</v>
      </c>
      <c r="C29" s="115" t="s">
        <v>21</v>
      </c>
      <c r="D29" s="66" t="s">
        <v>16</v>
      </c>
      <c r="E29" s="1"/>
      <c r="F29" s="1066">
        <v>7</v>
      </c>
      <c r="G29" s="1067" t="s">
        <v>157</v>
      </c>
      <c r="I29" s="1066">
        <v>6</v>
      </c>
      <c r="J29" s="1067" t="s">
        <v>158</v>
      </c>
    </row>
    <row r="30" spans="1:18">
      <c r="A30" s="170" t="s">
        <v>178</v>
      </c>
      <c r="B30" s="1050" t="s">
        <v>179</v>
      </c>
      <c r="C30" s="115" t="s">
        <v>21</v>
      </c>
      <c r="D30" s="66" t="s">
        <v>16</v>
      </c>
      <c r="E30" s="1"/>
      <c r="F30" s="1066">
        <v>65</v>
      </c>
      <c r="G30" s="1067" t="s">
        <v>157</v>
      </c>
      <c r="I30" s="1066">
        <v>63</v>
      </c>
      <c r="J30" s="1067" t="s">
        <v>158</v>
      </c>
    </row>
    <row r="31" spans="1:18">
      <c r="A31" s="170" t="s">
        <v>180</v>
      </c>
      <c r="B31" s="1050" t="s">
        <v>181</v>
      </c>
      <c r="C31" s="115" t="s">
        <v>21</v>
      </c>
      <c r="D31" s="66" t="s">
        <v>16</v>
      </c>
      <c r="E31" s="1"/>
      <c r="F31" s="1066">
        <v>73</v>
      </c>
      <c r="G31" s="1067" t="s">
        <v>157</v>
      </c>
      <c r="I31" s="1066">
        <v>74</v>
      </c>
      <c r="J31" s="1067" t="s">
        <v>158</v>
      </c>
    </row>
    <row r="32" spans="1:18">
      <c r="A32" s="170" t="s">
        <v>182</v>
      </c>
      <c r="B32" s="1050" t="s">
        <v>183</v>
      </c>
      <c r="C32" s="115" t="s">
        <v>21</v>
      </c>
      <c r="D32" s="66" t="s">
        <v>16</v>
      </c>
      <c r="E32" s="1"/>
      <c r="F32" s="1066">
        <v>5</v>
      </c>
      <c r="G32" s="1067" t="s">
        <v>157</v>
      </c>
      <c r="I32" s="1066">
        <v>4</v>
      </c>
      <c r="J32" s="1067" t="s">
        <v>158</v>
      </c>
    </row>
    <row r="33" spans="1:18">
      <c r="A33" s="170" t="s">
        <v>184</v>
      </c>
      <c r="B33" s="1050" t="s">
        <v>185</v>
      </c>
      <c r="C33" s="115" t="s">
        <v>21</v>
      </c>
      <c r="D33" s="66" t="s">
        <v>16</v>
      </c>
      <c r="E33" s="1"/>
      <c r="F33" s="1066">
        <v>5</v>
      </c>
      <c r="G33" s="1067" t="s">
        <v>157</v>
      </c>
      <c r="I33" s="1066">
        <v>4</v>
      </c>
      <c r="J33" s="1067" t="s">
        <v>158</v>
      </c>
    </row>
    <row r="34" spans="1:18">
      <c r="A34" s="170" t="s">
        <v>186</v>
      </c>
      <c r="B34" s="65" t="s">
        <v>187</v>
      </c>
      <c r="C34" s="56" t="s">
        <v>21</v>
      </c>
      <c r="D34" s="57" t="s">
        <v>16</v>
      </c>
      <c r="E34" s="1"/>
      <c r="F34" s="1066">
        <v>27</v>
      </c>
      <c r="G34" s="1067" t="s">
        <v>157</v>
      </c>
      <c r="I34" s="1066">
        <v>24</v>
      </c>
      <c r="J34" s="1067" t="s">
        <v>158</v>
      </c>
    </row>
    <row r="35" spans="1:18" ht="12.95" thickBot="1">
      <c r="A35" s="640" t="s">
        <v>188</v>
      </c>
      <c r="B35" s="58" t="s">
        <v>160</v>
      </c>
      <c r="C35" s="59" t="s">
        <v>21</v>
      </c>
      <c r="D35" s="60" t="s">
        <v>16</v>
      </c>
      <c r="E35" s="1"/>
      <c r="F35" s="1055">
        <v>77</v>
      </c>
      <c r="G35" s="1056" t="s">
        <v>157</v>
      </c>
      <c r="I35" s="1055">
        <v>73</v>
      </c>
      <c r="J35" s="1056" t="s">
        <v>158</v>
      </c>
    </row>
    <row r="36" spans="1:18" ht="12.95" thickBot="1">
      <c r="A36" s="61"/>
      <c r="B36" s="1068"/>
      <c r="C36" s="61"/>
      <c r="D36" s="61"/>
      <c r="E36" s="1"/>
      <c r="F36" s="1"/>
      <c r="G36" s="1"/>
      <c r="I36" s="1"/>
      <c r="J36" s="1"/>
    </row>
    <row r="37" spans="1:18" s="42" customFormat="1" ht="15.95" thickBot="1">
      <c r="A37" s="44"/>
      <c r="B37" s="45" t="s">
        <v>189</v>
      </c>
      <c r="C37" s="46"/>
      <c r="D37" s="47"/>
      <c r="E37" s="2"/>
      <c r="F37" s="2"/>
      <c r="G37" s="2"/>
      <c r="H37"/>
      <c r="I37" s="2"/>
      <c r="J37" s="2"/>
      <c r="M37"/>
      <c r="N37"/>
      <c r="O37"/>
      <c r="P37"/>
      <c r="Q37"/>
      <c r="R37"/>
    </row>
    <row r="38" spans="1:18" ht="13.5" thickBot="1">
      <c r="A38" s="397"/>
      <c r="B38" s="398" t="s">
        <v>190</v>
      </c>
      <c r="C38" s="1069"/>
      <c r="D38" s="1070"/>
      <c r="F38" s="1"/>
      <c r="G38" s="1"/>
      <c r="I38" s="1"/>
      <c r="J38" s="1"/>
    </row>
    <row r="39" spans="1:18" s="1" customFormat="1">
      <c r="A39" s="337" t="s">
        <v>191</v>
      </c>
      <c r="B39" s="76" t="s">
        <v>192</v>
      </c>
      <c r="C39" s="75" t="s">
        <v>21</v>
      </c>
      <c r="D39" s="1071" t="s">
        <v>16</v>
      </c>
      <c r="F39" s="1072">
        <v>188</v>
      </c>
      <c r="G39" s="1073" t="s">
        <v>17</v>
      </c>
      <c r="H39"/>
      <c r="I39" s="1072">
        <v>204</v>
      </c>
      <c r="J39" s="1073" t="s">
        <v>158</v>
      </c>
      <c r="M39"/>
      <c r="N39"/>
      <c r="O39"/>
      <c r="P39"/>
      <c r="Q39"/>
      <c r="R39"/>
    </row>
    <row r="40" spans="1:18" s="1" customFormat="1">
      <c r="A40" s="337" t="s">
        <v>193</v>
      </c>
      <c r="B40" s="55" t="s">
        <v>194</v>
      </c>
      <c r="C40" s="56" t="s">
        <v>21</v>
      </c>
      <c r="D40" s="402" t="s">
        <v>16</v>
      </c>
      <c r="F40" s="1074">
        <v>142</v>
      </c>
      <c r="G40" s="1075" t="s">
        <v>17</v>
      </c>
      <c r="H40"/>
      <c r="I40" s="1074">
        <v>136</v>
      </c>
      <c r="J40" s="1075" t="s">
        <v>158</v>
      </c>
      <c r="M40"/>
      <c r="N40"/>
      <c r="O40"/>
      <c r="P40"/>
      <c r="Q40"/>
      <c r="R40"/>
    </row>
    <row r="41" spans="1:18" s="1" customFormat="1">
      <c r="A41" s="337" t="s">
        <v>195</v>
      </c>
      <c r="B41" s="55" t="s">
        <v>196</v>
      </c>
      <c r="C41" s="56" t="s">
        <v>21</v>
      </c>
      <c r="D41" s="402" t="s">
        <v>27</v>
      </c>
      <c r="F41" s="685">
        <f>+F39+F40</f>
        <v>330</v>
      </c>
      <c r="G41" s="994" t="s">
        <v>17</v>
      </c>
      <c r="I41" s="685">
        <f>+I39+I40</f>
        <v>340</v>
      </c>
      <c r="J41" s="258" t="s">
        <v>158</v>
      </c>
      <c r="M41"/>
      <c r="N41"/>
      <c r="O41"/>
      <c r="P41"/>
      <c r="Q41"/>
      <c r="R41"/>
    </row>
    <row r="42" spans="1:18" s="1" customFormat="1" ht="12.95" thickBot="1">
      <c r="A42" s="337" t="s">
        <v>197</v>
      </c>
      <c r="B42" s="55" t="s">
        <v>198</v>
      </c>
      <c r="C42" s="56" t="s">
        <v>21</v>
      </c>
      <c r="D42" s="402" t="s">
        <v>16</v>
      </c>
      <c r="F42" s="1076">
        <v>249</v>
      </c>
      <c r="G42" s="1077" t="s">
        <v>17</v>
      </c>
      <c r="I42" s="1076">
        <v>261</v>
      </c>
      <c r="J42" s="1077" t="s">
        <v>158</v>
      </c>
      <c r="M42"/>
      <c r="N42"/>
      <c r="O42"/>
      <c r="P42"/>
      <c r="Q42"/>
      <c r="R42"/>
    </row>
    <row r="43" spans="1:18" ht="13.5" thickBot="1">
      <c r="A43" s="1078"/>
      <c r="B43" s="1079" t="s">
        <v>199</v>
      </c>
      <c r="C43" s="1080"/>
      <c r="D43" s="1081"/>
      <c r="F43" s="1"/>
      <c r="G43" s="1"/>
      <c r="I43" s="1"/>
      <c r="J43" s="1"/>
    </row>
    <row r="44" spans="1:18" s="1" customFormat="1">
      <c r="A44" s="1082" t="s">
        <v>200</v>
      </c>
      <c r="B44" s="113" t="s">
        <v>201</v>
      </c>
      <c r="C44" s="119" t="s">
        <v>21</v>
      </c>
      <c r="D44" s="1083" t="s">
        <v>16</v>
      </c>
      <c r="F44" s="1084">
        <v>238</v>
      </c>
      <c r="G44" s="1085" t="s">
        <v>17</v>
      </c>
      <c r="I44" s="1084">
        <v>238</v>
      </c>
      <c r="J44" s="1085" t="s">
        <v>158</v>
      </c>
      <c r="M44"/>
      <c r="N44"/>
      <c r="O44"/>
      <c r="P44"/>
      <c r="Q44"/>
      <c r="R44"/>
    </row>
    <row r="45" spans="1:18" s="1" customFormat="1" ht="12.95" thickBot="1">
      <c r="A45" s="403" t="s">
        <v>202</v>
      </c>
      <c r="B45" s="121" t="s">
        <v>203</v>
      </c>
      <c r="C45" s="122" t="s">
        <v>21</v>
      </c>
      <c r="D45" s="339" t="s">
        <v>27</v>
      </c>
      <c r="F45" s="124">
        <f>F41-F44</f>
        <v>92</v>
      </c>
      <c r="G45" s="125" t="s">
        <v>17</v>
      </c>
      <c r="I45" s="124">
        <f>I41-I44</f>
        <v>102</v>
      </c>
      <c r="J45" s="125" t="s">
        <v>158</v>
      </c>
      <c r="M45"/>
      <c r="N45"/>
      <c r="O45"/>
      <c r="P45"/>
      <c r="Q45"/>
      <c r="R45"/>
    </row>
    <row r="46" spans="1:18" ht="13.5" thickBot="1">
      <c r="A46" s="397"/>
      <c r="B46" s="398" t="s">
        <v>204</v>
      </c>
      <c r="C46" s="399"/>
      <c r="D46" s="400"/>
      <c r="F46" s="1"/>
      <c r="G46" s="1"/>
      <c r="I46" s="1"/>
      <c r="J46" s="1"/>
    </row>
    <row r="47" spans="1:18" s="1" customFormat="1">
      <c r="A47" s="1082" t="s">
        <v>205</v>
      </c>
      <c r="B47" s="1086" t="s">
        <v>206</v>
      </c>
      <c r="C47" s="119" t="s">
        <v>21</v>
      </c>
      <c r="D47" s="1083" t="s">
        <v>16</v>
      </c>
      <c r="F47" s="1072">
        <v>18</v>
      </c>
      <c r="G47" s="1087" t="s">
        <v>17</v>
      </c>
      <c r="I47" s="1072">
        <v>34</v>
      </c>
      <c r="J47" s="1087" t="s">
        <v>158</v>
      </c>
      <c r="M47"/>
      <c r="N47"/>
      <c r="O47"/>
      <c r="P47"/>
      <c r="Q47"/>
      <c r="R47"/>
    </row>
    <row r="48" spans="1:18" s="1" customFormat="1">
      <c r="A48" s="1082" t="s">
        <v>207</v>
      </c>
      <c r="B48" s="65" t="s">
        <v>208</v>
      </c>
      <c r="C48" s="115" t="s">
        <v>21</v>
      </c>
      <c r="D48" s="338" t="s">
        <v>16</v>
      </c>
      <c r="F48" s="1074">
        <v>1</v>
      </c>
      <c r="G48" s="1088" t="s">
        <v>17</v>
      </c>
      <c r="I48" s="1074">
        <v>2</v>
      </c>
      <c r="J48" s="1088" t="s">
        <v>158</v>
      </c>
      <c r="M48"/>
      <c r="N48"/>
      <c r="O48"/>
      <c r="P48"/>
      <c r="Q48"/>
      <c r="R48"/>
    </row>
    <row r="49" spans="1:18" s="1" customFormat="1" ht="12.95" thickBot="1">
      <c r="A49" s="1089" t="s">
        <v>209</v>
      </c>
      <c r="B49" s="401" t="s">
        <v>210</v>
      </c>
      <c r="C49" s="340" t="s">
        <v>21</v>
      </c>
      <c r="D49" s="341" t="s">
        <v>16</v>
      </c>
      <c r="F49" s="1076">
        <v>24</v>
      </c>
      <c r="G49" s="1077" t="s">
        <v>17</v>
      </c>
      <c r="I49" s="1076">
        <v>46</v>
      </c>
      <c r="J49" s="1077" t="s">
        <v>158</v>
      </c>
      <c r="M49"/>
      <c r="N49"/>
      <c r="O49"/>
      <c r="P49"/>
      <c r="Q49"/>
      <c r="R49"/>
    </row>
    <row r="51" spans="1:18" s="42" customFormat="1" ht="15.95" thickBot="1">
      <c r="A51" s="68"/>
      <c r="B51" s="69" t="s">
        <v>211</v>
      </c>
      <c r="C51" s="70"/>
      <c r="D51" s="71"/>
      <c r="E51" s="2"/>
      <c r="F51" s="2"/>
      <c r="G51" s="2"/>
      <c r="H51"/>
      <c r="I51" s="2"/>
      <c r="J51" s="2"/>
      <c r="M51"/>
      <c r="N51"/>
      <c r="O51"/>
      <c r="P51"/>
      <c r="Q51"/>
      <c r="R51"/>
    </row>
    <row r="52" spans="1:18" s="176" customFormat="1" ht="25.5" thickBot="1">
      <c r="A52" s="395" t="s">
        <v>212</v>
      </c>
      <c r="B52" s="644" t="s">
        <v>213</v>
      </c>
      <c r="C52" s="427" t="s">
        <v>26</v>
      </c>
      <c r="D52" s="426" t="s">
        <v>16</v>
      </c>
      <c r="E52" s="190"/>
      <c r="F52" s="879">
        <v>4</v>
      </c>
      <c r="G52" s="995" t="s">
        <v>173</v>
      </c>
      <c r="I52" s="879">
        <v>4</v>
      </c>
      <c r="J52" s="995" t="s">
        <v>173</v>
      </c>
      <c r="M52"/>
      <c r="N52"/>
      <c r="O52"/>
      <c r="P52"/>
      <c r="Q52"/>
      <c r="R52"/>
    </row>
    <row r="53" spans="1:18" s="1" customFormat="1">
      <c r="A53" s="77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1:18" s="1" customFormat="1">
      <c r="A54" s="77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1:18" s="1" customFormat="1" ht="12.95" thickBot="1">
      <c r="A55" s="77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1:18" s="1" customFormat="1" ht="15.6">
      <c r="A56" s="13" t="s">
        <v>145</v>
      </c>
      <c r="B56" s="1268"/>
      <c r="C56" s="197" t="s">
        <v>40</v>
      </c>
      <c r="D56" s="3"/>
      <c r="E56" s="3"/>
      <c r="F56" s="14"/>
      <c r="H56"/>
      <c r="I56"/>
      <c r="J56"/>
      <c r="K56" s="2"/>
      <c r="M56"/>
      <c r="N56"/>
      <c r="O56"/>
      <c r="P56"/>
      <c r="Q56"/>
      <c r="R56"/>
    </row>
    <row r="57" spans="1:18" s="1" customFormat="1">
      <c r="A57" s="6"/>
      <c r="B57" s="1269"/>
      <c r="C57" s="1269"/>
      <c r="D57" s="1269"/>
      <c r="E57" s="1269"/>
      <c r="F57" s="15"/>
      <c r="H57"/>
      <c r="I57"/>
      <c r="J57"/>
      <c r="M57"/>
      <c r="N57"/>
      <c r="O57"/>
      <c r="P57"/>
      <c r="Q57"/>
      <c r="R57"/>
    </row>
    <row r="58" spans="1:18" s="1" customFormat="1">
      <c r="A58" s="6" t="s">
        <v>41</v>
      </c>
      <c r="B58" s="1269"/>
      <c r="C58" s="207" t="s">
        <v>40</v>
      </c>
      <c r="D58" s="1269"/>
      <c r="E58" s="1269"/>
      <c r="F58" s="15"/>
      <c r="H58"/>
      <c r="I58"/>
      <c r="J58"/>
      <c r="M58"/>
      <c r="N58"/>
      <c r="O58"/>
      <c r="P58"/>
      <c r="Q58"/>
      <c r="R58"/>
    </row>
    <row r="59" spans="1:18" s="1" customFormat="1">
      <c r="A59" s="6"/>
      <c r="C59" s="1269"/>
      <c r="D59" s="1269"/>
      <c r="E59" s="1269"/>
      <c r="F59" s="15"/>
      <c r="H59"/>
      <c r="I59"/>
      <c r="J59"/>
      <c r="M59"/>
      <c r="N59"/>
      <c r="O59"/>
      <c r="P59"/>
      <c r="Q59"/>
      <c r="R59"/>
    </row>
    <row r="60" spans="1:18" s="1" customFormat="1" ht="12.95" thickBot="1">
      <c r="A60" s="9" t="s">
        <v>42</v>
      </c>
      <c r="B60" s="10"/>
      <c r="C60" s="10" t="s">
        <v>146</v>
      </c>
      <c r="D60" s="10"/>
      <c r="E60" s="10"/>
      <c r="F60" s="16"/>
      <c r="H60"/>
      <c r="I60"/>
      <c r="J60"/>
      <c r="M60"/>
      <c r="N60"/>
      <c r="O60"/>
      <c r="P60"/>
      <c r="Q60"/>
      <c r="R60"/>
    </row>
    <row r="61" spans="1:18">
      <c r="A61" s="77"/>
    </row>
    <row r="62" spans="1:18">
      <c r="A62" s="77"/>
    </row>
    <row r="63" spans="1:18">
      <c r="A63" s="77"/>
    </row>
    <row r="64" spans="1:18">
      <c r="A64" s="77"/>
    </row>
    <row r="65" spans="1:1">
      <c r="A65" s="77"/>
    </row>
    <row r="66" spans="1:1">
      <c r="A66" s="77"/>
    </row>
    <row r="67" spans="1:1">
      <c r="A67" s="77"/>
    </row>
    <row r="68" spans="1:1">
      <c r="A68" s="77"/>
    </row>
    <row r="69" spans="1:1">
      <c r="A69" s="77"/>
    </row>
    <row r="70" spans="1:1">
      <c r="A70" s="77"/>
    </row>
    <row r="71" spans="1:1">
      <c r="A71" s="77"/>
    </row>
    <row r="72" spans="1:1">
      <c r="A72" s="77"/>
    </row>
    <row r="73" spans="1:1">
      <c r="A73" s="77"/>
    </row>
    <row r="74" spans="1:1">
      <c r="A74" s="77"/>
    </row>
    <row r="75" spans="1:1">
      <c r="A75" s="77"/>
    </row>
    <row r="76" spans="1:1">
      <c r="A76" s="77"/>
    </row>
    <row r="77" spans="1:1">
      <c r="A77" s="77"/>
    </row>
    <row r="78" spans="1:1">
      <c r="A78" s="77"/>
    </row>
    <row r="79" spans="1:1">
      <c r="A79" s="77"/>
    </row>
    <row r="80" spans="1:1">
      <c r="A80" s="77"/>
    </row>
    <row r="81" spans="1:1">
      <c r="A81" s="77"/>
    </row>
    <row r="82" spans="1:1">
      <c r="A82" s="77"/>
    </row>
    <row r="83" spans="1:1">
      <c r="A83" s="77"/>
    </row>
    <row r="84" spans="1:1">
      <c r="A84" s="77"/>
    </row>
    <row r="85" spans="1:1">
      <c r="A85" s="77"/>
    </row>
    <row r="86" spans="1:1">
      <c r="A86" s="77"/>
    </row>
    <row r="87" spans="1:1">
      <c r="A87" s="77"/>
    </row>
    <row r="88" spans="1:1">
      <c r="A88" s="77"/>
    </row>
    <row r="89" spans="1:1">
      <c r="A89" s="77"/>
    </row>
    <row r="90" spans="1:1">
      <c r="A90" s="77"/>
    </row>
    <row r="91" spans="1:1">
      <c r="A91" s="77"/>
    </row>
    <row r="92" spans="1:1">
      <c r="A92" s="77"/>
    </row>
    <row r="93" spans="1:1">
      <c r="A93" s="77"/>
    </row>
    <row r="94" spans="1:1">
      <c r="A94" s="77"/>
    </row>
    <row r="95" spans="1:1">
      <c r="A95" s="77"/>
    </row>
    <row r="96" spans="1:1">
      <c r="A96" s="77"/>
    </row>
    <row r="97" spans="1:1">
      <c r="A97" s="77"/>
    </row>
    <row r="98" spans="1:1">
      <c r="A98" s="77"/>
    </row>
    <row r="99" spans="1:1">
      <c r="A99" s="77"/>
    </row>
    <row r="100" spans="1:1">
      <c r="A100" s="77"/>
    </row>
    <row r="101" spans="1:1">
      <c r="A101" s="77"/>
    </row>
    <row r="102" spans="1:1">
      <c r="A102" s="77"/>
    </row>
    <row r="103" spans="1:1">
      <c r="A103" s="77"/>
    </row>
    <row r="104" spans="1:1">
      <c r="A104" s="77"/>
    </row>
    <row r="105" spans="1:1">
      <c r="A105" s="77"/>
    </row>
    <row r="106" spans="1:1">
      <c r="A106" s="77"/>
    </row>
    <row r="107" spans="1:1">
      <c r="A107" s="77"/>
    </row>
    <row r="108" spans="1:1">
      <c r="A108" s="77"/>
    </row>
    <row r="109" spans="1:1">
      <c r="A109" s="77"/>
    </row>
    <row r="110" spans="1:1">
      <c r="A110" s="77"/>
    </row>
    <row r="111" spans="1:1">
      <c r="A111" s="77"/>
    </row>
    <row r="112" spans="1:1">
      <c r="A112" s="77"/>
    </row>
    <row r="113" spans="1:1">
      <c r="A113" s="77"/>
    </row>
    <row r="114" spans="1:1">
      <c r="A114" s="77"/>
    </row>
    <row r="115" spans="1:1">
      <c r="A115" s="77"/>
    </row>
    <row r="116" spans="1:1">
      <c r="A116" s="77"/>
    </row>
    <row r="117" spans="1:1">
      <c r="A117" s="77"/>
    </row>
    <row r="118" spans="1:1">
      <c r="A118" s="77"/>
    </row>
    <row r="119" spans="1:1">
      <c r="A119" s="77"/>
    </row>
    <row r="120" spans="1:1">
      <c r="A120" s="77"/>
    </row>
    <row r="121" spans="1:1">
      <c r="A121" s="77"/>
    </row>
    <row r="122" spans="1:1">
      <c r="A122" s="77"/>
    </row>
    <row r="123" spans="1:1">
      <c r="A123" s="77"/>
    </row>
    <row r="124" spans="1:1">
      <c r="A124" s="77"/>
    </row>
    <row r="125" spans="1:1">
      <c r="A125" s="77"/>
    </row>
    <row r="126" spans="1:1">
      <c r="A126" s="77"/>
    </row>
    <row r="127" spans="1:1">
      <c r="A127" s="77"/>
    </row>
    <row r="128" spans="1:1">
      <c r="A128" s="77"/>
    </row>
    <row r="129" spans="1:1">
      <c r="A129" s="77"/>
    </row>
    <row r="130" spans="1:1">
      <c r="A130" s="77"/>
    </row>
    <row r="131" spans="1:1">
      <c r="A131" s="77"/>
    </row>
    <row r="132" spans="1:1">
      <c r="A132" s="77"/>
    </row>
    <row r="133" spans="1:1">
      <c r="A133" s="77"/>
    </row>
    <row r="134" spans="1:1">
      <c r="A134" s="77"/>
    </row>
    <row r="135" spans="1:1">
      <c r="A135" s="77"/>
    </row>
    <row r="136" spans="1:1">
      <c r="A136" s="77"/>
    </row>
    <row r="137" spans="1:1">
      <c r="A137" s="77"/>
    </row>
    <row r="138" spans="1:1">
      <c r="A138" s="77"/>
    </row>
    <row r="139" spans="1:1">
      <c r="A139" s="77"/>
    </row>
    <row r="140" spans="1:1">
      <c r="A140" s="77"/>
    </row>
    <row r="141" spans="1:1">
      <c r="A141" s="77"/>
    </row>
    <row r="142" spans="1:1">
      <c r="A142" s="77"/>
    </row>
    <row r="143" spans="1:1">
      <c r="A143" s="77"/>
    </row>
    <row r="144" spans="1:1">
      <c r="A144" s="77"/>
    </row>
    <row r="145" spans="1:1">
      <c r="A145" s="77"/>
    </row>
    <row r="146" spans="1:1">
      <c r="A146" s="77"/>
    </row>
    <row r="147" spans="1:1">
      <c r="A147" s="77"/>
    </row>
    <row r="148" spans="1:1">
      <c r="A148" s="77"/>
    </row>
    <row r="149" spans="1:1">
      <c r="A149" s="77"/>
    </row>
    <row r="150" spans="1:1">
      <c r="A150" s="77"/>
    </row>
    <row r="151" spans="1:1">
      <c r="A151" s="77"/>
    </row>
    <row r="152" spans="1:1">
      <c r="A152" s="77"/>
    </row>
    <row r="153" spans="1:1">
      <c r="A153" s="77"/>
    </row>
    <row r="154" spans="1:1">
      <c r="A154" s="77"/>
    </row>
    <row r="155" spans="1:1">
      <c r="A155" s="77"/>
    </row>
    <row r="156" spans="1:1">
      <c r="A156" s="77"/>
    </row>
    <row r="157" spans="1:1">
      <c r="A157" s="77"/>
    </row>
    <row r="158" spans="1:1">
      <c r="A158" s="77"/>
    </row>
    <row r="159" spans="1:1">
      <c r="A159" s="77"/>
    </row>
    <row r="160" spans="1:1">
      <c r="A160" s="77"/>
    </row>
    <row r="161" spans="1:1">
      <c r="A161" s="77"/>
    </row>
    <row r="162" spans="1:1">
      <c r="A162" s="77"/>
    </row>
    <row r="163" spans="1:1">
      <c r="A163" s="77"/>
    </row>
    <row r="164" spans="1:1">
      <c r="A164" s="77"/>
    </row>
    <row r="165" spans="1:1">
      <c r="A165" s="77"/>
    </row>
    <row r="166" spans="1:1">
      <c r="A166" s="77"/>
    </row>
    <row r="167" spans="1:1">
      <c r="A167" s="77"/>
    </row>
    <row r="168" spans="1:1">
      <c r="A168" s="77"/>
    </row>
    <row r="169" spans="1:1">
      <c r="A169" s="77"/>
    </row>
    <row r="170" spans="1:1">
      <c r="A170" s="77"/>
    </row>
    <row r="171" spans="1:1">
      <c r="A171" s="77"/>
    </row>
    <row r="172" spans="1:1">
      <c r="A172" s="77"/>
    </row>
    <row r="173" spans="1:1">
      <c r="A173" s="77"/>
    </row>
    <row r="174" spans="1:1">
      <c r="A174" s="77"/>
    </row>
    <row r="175" spans="1:1">
      <c r="A175" s="77"/>
    </row>
    <row r="176" spans="1:1">
      <c r="A176" s="77"/>
    </row>
    <row r="177" spans="1:1">
      <c r="A177" s="77"/>
    </row>
    <row r="178" spans="1:1">
      <c r="A178" s="77"/>
    </row>
    <row r="179" spans="1:1">
      <c r="A179" s="77"/>
    </row>
    <row r="180" spans="1:1">
      <c r="A180" s="77"/>
    </row>
    <row r="181" spans="1:1">
      <c r="A181" s="77"/>
    </row>
    <row r="182" spans="1:1">
      <c r="A182" s="77"/>
    </row>
    <row r="183" spans="1:1">
      <c r="A183" s="77"/>
    </row>
    <row r="184" spans="1:1">
      <c r="A184" s="77"/>
    </row>
    <row r="185" spans="1:1">
      <c r="A185" s="77"/>
    </row>
    <row r="186" spans="1:1">
      <c r="A186" s="77"/>
    </row>
    <row r="187" spans="1:1">
      <c r="A187" s="77"/>
    </row>
    <row r="188" spans="1:1">
      <c r="A188" s="77"/>
    </row>
    <row r="189" spans="1:1">
      <c r="A189" s="77"/>
    </row>
    <row r="190" spans="1:1">
      <c r="A190" s="77"/>
    </row>
    <row r="191" spans="1:1">
      <c r="A191" s="77"/>
    </row>
    <row r="192" spans="1:1">
      <c r="A192" s="77"/>
    </row>
    <row r="193" spans="1:1">
      <c r="A193" s="77"/>
    </row>
    <row r="194" spans="1:1">
      <c r="A194" s="77"/>
    </row>
    <row r="195" spans="1:1">
      <c r="A195" s="77"/>
    </row>
    <row r="196" spans="1:1">
      <c r="A196" s="77"/>
    </row>
    <row r="197" spans="1:1">
      <c r="A197" s="77"/>
    </row>
    <row r="198" spans="1:1">
      <c r="A198" s="77"/>
    </row>
    <row r="199" spans="1:1">
      <c r="A199" s="77"/>
    </row>
    <row r="200" spans="1:1">
      <c r="A200" s="77"/>
    </row>
    <row r="201" spans="1:1">
      <c r="A201" s="77"/>
    </row>
    <row r="202" spans="1:1">
      <c r="A202" s="77"/>
    </row>
    <row r="203" spans="1:1">
      <c r="A203" s="77"/>
    </row>
    <row r="204" spans="1:1">
      <c r="A204" s="77"/>
    </row>
    <row r="205" spans="1:1">
      <c r="A205" s="77"/>
    </row>
    <row r="206" spans="1:1">
      <c r="A206" s="77"/>
    </row>
    <row r="207" spans="1:1">
      <c r="A207" s="77"/>
    </row>
    <row r="208" spans="1:1">
      <c r="A208" s="77"/>
    </row>
    <row r="209" spans="1:1">
      <c r="A209" s="77"/>
    </row>
    <row r="210" spans="1:1">
      <c r="A210" s="77"/>
    </row>
    <row r="211" spans="1:1">
      <c r="A211" s="77"/>
    </row>
    <row r="212" spans="1:1">
      <c r="A212" s="77"/>
    </row>
    <row r="213" spans="1:1">
      <c r="A213" s="77"/>
    </row>
    <row r="214" spans="1:1">
      <c r="A214" s="77"/>
    </row>
    <row r="215" spans="1:1">
      <c r="A215" s="77"/>
    </row>
    <row r="216" spans="1:1">
      <c r="A216" s="77"/>
    </row>
    <row r="217" spans="1:1">
      <c r="A217" s="77"/>
    </row>
    <row r="218" spans="1:1">
      <c r="A218" s="77"/>
    </row>
    <row r="219" spans="1:1">
      <c r="A219" s="77"/>
    </row>
    <row r="220" spans="1:1">
      <c r="A220" s="77"/>
    </row>
    <row r="221" spans="1:1">
      <c r="A221" s="77"/>
    </row>
    <row r="222" spans="1:1">
      <c r="A222" s="77"/>
    </row>
    <row r="223" spans="1:1">
      <c r="A223" s="77"/>
    </row>
    <row r="224" spans="1:1">
      <c r="A224" s="77"/>
    </row>
    <row r="225" spans="1:1">
      <c r="A225" s="77"/>
    </row>
    <row r="226" spans="1:1">
      <c r="A226" s="77"/>
    </row>
    <row r="227" spans="1:1">
      <c r="A227" s="77"/>
    </row>
    <row r="228" spans="1:1">
      <c r="A228" s="77"/>
    </row>
    <row r="229" spans="1:1">
      <c r="A229" s="77"/>
    </row>
    <row r="230" spans="1:1">
      <c r="A230" s="77"/>
    </row>
    <row r="231" spans="1:1">
      <c r="A231" s="77"/>
    </row>
    <row r="232" spans="1:1">
      <c r="A232" s="77"/>
    </row>
    <row r="233" spans="1:1">
      <c r="A233" s="77"/>
    </row>
    <row r="234" spans="1:1">
      <c r="A234" s="77"/>
    </row>
    <row r="235" spans="1:1">
      <c r="A235" s="77"/>
    </row>
    <row r="236" spans="1:1">
      <c r="A236" s="77"/>
    </row>
    <row r="237" spans="1:1">
      <c r="A237" s="77"/>
    </row>
    <row r="238" spans="1:1">
      <c r="A238" s="77"/>
    </row>
    <row r="239" spans="1:1">
      <c r="A239" s="77"/>
    </row>
    <row r="240" spans="1:1">
      <c r="A240" s="77"/>
    </row>
    <row r="241" spans="1:1">
      <c r="A241" s="77"/>
    </row>
    <row r="242" spans="1:1">
      <c r="A242" s="77"/>
    </row>
    <row r="243" spans="1:1">
      <c r="A243" s="77"/>
    </row>
    <row r="244" spans="1:1">
      <c r="A244" s="77"/>
    </row>
    <row r="245" spans="1:1">
      <c r="A245" s="77"/>
    </row>
    <row r="246" spans="1:1">
      <c r="A246" s="77"/>
    </row>
    <row r="247" spans="1:1">
      <c r="A247" s="77"/>
    </row>
    <row r="248" spans="1:1">
      <c r="A248" s="77"/>
    </row>
    <row r="249" spans="1:1">
      <c r="A249" s="77"/>
    </row>
    <row r="250" spans="1:1">
      <c r="A250" s="77"/>
    </row>
    <row r="251" spans="1:1">
      <c r="A251" s="77"/>
    </row>
    <row r="252" spans="1:1">
      <c r="A252" s="77"/>
    </row>
    <row r="253" spans="1:1">
      <c r="A253" s="77"/>
    </row>
    <row r="254" spans="1:1">
      <c r="A254" s="77"/>
    </row>
    <row r="255" spans="1:1">
      <c r="A255" s="77"/>
    </row>
    <row r="256" spans="1:1">
      <c r="A256" s="77"/>
    </row>
    <row r="257" spans="1:1">
      <c r="A257" s="77"/>
    </row>
    <row r="258" spans="1:1">
      <c r="A258" s="77"/>
    </row>
    <row r="259" spans="1:1">
      <c r="A259" s="77"/>
    </row>
    <row r="260" spans="1:1">
      <c r="A260" s="77"/>
    </row>
    <row r="261" spans="1:1">
      <c r="A261" s="77"/>
    </row>
  </sheetData>
  <mergeCells count="2">
    <mergeCell ref="I10:J11"/>
    <mergeCell ref="F10:G11"/>
  </mergeCells>
  <phoneticPr fontId="0" type="noConversion"/>
  <conditionalFormatting sqref="M1:N5 M62:N1048576 P62:Q1048576">
    <cfRule type="containsText" dxfId="8" priority="17" operator="containsText" text="Y">
      <formula>NOT(ISERROR(SEARCH("Y",M1)))</formula>
    </cfRule>
    <cfRule type="containsText" dxfId="7" priority="18" operator="containsText" text="N">
      <formula>NOT(ISERROR(SEARCH("N",M1)))</formula>
    </cfRule>
  </conditionalFormatting>
  <conditionalFormatting sqref="P1:Q5">
    <cfRule type="containsText" dxfId="6" priority="9" operator="containsText" text="Y">
      <formula>NOT(ISERROR(SEARCH("Y",P1)))</formula>
    </cfRule>
    <cfRule type="containsText" dxfId="5" priority="10" operator="containsText" text="N">
      <formula>NOT(ISERROR(SEARCH("N",P1)))</formula>
    </cfRule>
  </conditionalFormatting>
  <pageMargins left="0.74803149606299213" right="0.74803149606299213" top="0.98425196850393704" bottom="0.98425196850393704" header="0.51181102362204722" footer="0.51181102362204722"/>
  <pageSetup paperSize="8" scale="82" orientation="landscape" r:id="rId1"/>
  <headerFooter alignWithMargins="0">
    <oddFooter>&amp;R Date: Feb 2010
Revision 13.0&amp;L&amp;1#&amp;"Arial"&amp;11&amp;K000000SW Private Commercial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4174A-A1E3-4080-941F-41B5DBA398B3}">
  <sheetPr>
    <pageSetUpPr fitToPage="1"/>
  </sheetPr>
  <dimension ref="A1:K59"/>
  <sheetViews>
    <sheetView zoomScaleNormal="100" workbookViewId="0">
      <selection sqref="A1:XFD1048576"/>
    </sheetView>
  </sheetViews>
  <sheetFormatPr defaultColWidth="9.42578125" defaultRowHeight="12.6"/>
  <cols>
    <col min="1" max="1" width="9.42578125" style="77"/>
    <col min="2" max="2" width="67.42578125" style="77" bestFit="1" customWidth="1"/>
    <col min="3" max="4" width="12.5703125" style="77" customWidth="1"/>
    <col min="5" max="5" width="9.42578125" style="77"/>
    <col min="6" max="6" width="13.5703125" style="77" customWidth="1"/>
    <col min="7" max="7" width="4.5703125" style="77" customWidth="1"/>
    <col min="8" max="8" width="4.42578125" style="77" customWidth="1"/>
    <col min="9" max="9" width="12.5703125" style="77" customWidth="1"/>
    <col min="10" max="10" width="5.42578125" style="77" customWidth="1"/>
    <col min="11" max="17" width="9.42578125" style="77" customWidth="1"/>
    <col min="18" max="256" width="9.42578125" style="77"/>
    <col min="257" max="257" width="67.42578125" style="77" bestFit="1" customWidth="1"/>
    <col min="258" max="259" width="12.5703125" style="77" customWidth="1"/>
    <col min="260" max="261" width="9.42578125" style="77"/>
    <col min="262" max="262" width="3.42578125" style="77" customWidth="1"/>
    <col min="263" max="263" width="12.5703125" style="77" customWidth="1"/>
    <col min="264" max="264" width="7.42578125" style="77" customWidth="1"/>
    <col min="265" max="512" width="9.42578125" style="77"/>
    <col min="513" max="513" width="67.42578125" style="77" bestFit="1" customWidth="1"/>
    <col min="514" max="515" width="12.5703125" style="77" customWidth="1"/>
    <col min="516" max="517" width="9.42578125" style="77"/>
    <col min="518" max="518" width="3.42578125" style="77" customWidth="1"/>
    <col min="519" max="519" width="12.5703125" style="77" customWidth="1"/>
    <col min="520" max="520" width="7.42578125" style="77" customWidth="1"/>
    <col min="521" max="768" width="9.42578125" style="77"/>
    <col min="769" max="769" width="67.42578125" style="77" bestFit="1" customWidth="1"/>
    <col min="770" max="771" width="12.5703125" style="77" customWidth="1"/>
    <col min="772" max="773" width="9.42578125" style="77"/>
    <col min="774" max="774" width="3.42578125" style="77" customWidth="1"/>
    <col min="775" max="775" width="12.5703125" style="77" customWidth="1"/>
    <col min="776" max="776" width="7.42578125" style="77" customWidth="1"/>
    <col min="777" max="1024" width="9.42578125" style="77"/>
    <col min="1025" max="1025" width="67.42578125" style="77" bestFit="1" customWidth="1"/>
    <col min="1026" max="1027" width="12.5703125" style="77" customWidth="1"/>
    <col min="1028" max="1029" width="9.42578125" style="77"/>
    <col min="1030" max="1030" width="3.42578125" style="77" customWidth="1"/>
    <col min="1031" max="1031" width="12.5703125" style="77" customWidth="1"/>
    <col min="1032" max="1032" width="7.42578125" style="77" customWidth="1"/>
    <col min="1033" max="1280" width="9.42578125" style="77"/>
    <col min="1281" max="1281" width="67.42578125" style="77" bestFit="1" customWidth="1"/>
    <col min="1282" max="1283" width="12.5703125" style="77" customWidth="1"/>
    <col min="1284" max="1285" width="9.42578125" style="77"/>
    <col min="1286" max="1286" width="3.42578125" style="77" customWidth="1"/>
    <col min="1287" max="1287" width="12.5703125" style="77" customWidth="1"/>
    <col min="1288" max="1288" width="7.42578125" style="77" customWidth="1"/>
    <col min="1289" max="1536" width="9.42578125" style="77"/>
    <col min="1537" max="1537" width="67.42578125" style="77" bestFit="1" customWidth="1"/>
    <col min="1538" max="1539" width="12.5703125" style="77" customWidth="1"/>
    <col min="1540" max="1541" width="9.42578125" style="77"/>
    <col min="1542" max="1542" width="3.42578125" style="77" customWidth="1"/>
    <col min="1543" max="1543" width="12.5703125" style="77" customWidth="1"/>
    <col min="1544" max="1544" width="7.42578125" style="77" customWidth="1"/>
    <col min="1545" max="1792" width="9.42578125" style="77"/>
    <col min="1793" max="1793" width="67.42578125" style="77" bestFit="1" customWidth="1"/>
    <col min="1794" max="1795" width="12.5703125" style="77" customWidth="1"/>
    <col min="1796" max="1797" width="9.42578125" style="77"/>
    <col min="1798" max="1798" width="3.42578125" style="77" customWidth="1"/>
    <col min="1799" max="1799" width="12.5703125" style="77" customWidth="1"/>
    <col min="1800" max="1800" width="7.42578125" style="77" customWidth="1"/>
    <col min="1801" max="2048" width="9.42578125" style="77"/>
    <col min="2049" max="2049" width="67.42578125" style="77" bestFit="1" customWidth="1"/>
    <col min="2050" max="2051" width="12.5703125" style="77" customWidth="1"/>
    <col min="2052" max="2053" width="9.42578125" style="77"/>
    <col min="2054" max="2054" width="3.42578125" style="77" customWidth="1"/>
    <col min="2055" max="2055" width="12.5703125" style="77" customWidth="1"/>
    <col min="2056" max="2056" width="7.42578125" style="77" customWidth="1"/>
    <col min="2057" max="2304" width="9.42578125" style="77"/>
    <col min="2305" max="2305" width="67.42578125" style="77" bestFit="1" customWidth="1"/>
    <col min="2306" max="2307" width="12.5703125" style="77" customWidth="1"/>
    <col min="2308" max="2309" width="9.42578125" style="77"/>
    <col min="2310" max="2310" width="3.42578125" style="77" customWidth="1"/>
    <col min="2311" max="2311" width="12.5703125" style="77" customWidth="1"/>
    <col min="2312" max="2312" width="7.42578125" style="77" customWidth="1"/>
    <col min="2313" max="2560" width="9.42578125" style="77"/>
    <col min="2561" max="2561" width="67.42578125" style="77" bestFit="1" customWidth="1"/>
    <col min="2562" max="2563" width="12.5703125" style="77" customWidth="1"/>
    <col min="2564" max="2565" width="9.42578125" style="77"/>
    <col min="2566" max="2566" width="3.42578125" style="77" customWidth="1"/>
    <col min="2567" max="2567" width="12.5703125" style="77" customWidth="1"/>
    <col min="2568" max="2568" width="7.42578125" style="77" customWidth="1"/>
    <col min="2569" max="2816" width="9.42578125" style="77"/>
    <col min="2817" max="2817" width="67.42578125" style="77" bestFit="1" customWidth="1"/>
    <col min="2818" max="2819" width="12.5703125" style="77" customWidth="1"/>
    <col min="2820" max="2821" width="9.42578125" style="77"/>
    <col min="2822" max="2822" width="3.42578125" style="77" customWidth="1"/>
    <col min="2823" max="2823" width="12.5703125" style="77" customWidth="1"/>
    <col min="2824" max="2824" width="7.42578125" style="77" customWidth="1"/>
    <col min="2825" max="3072" width="9.42578125" style="77"/>
    <col min="3073" max="3073" width="67.42578125" style="77" bestFit="1" customWidth="1"/>
    <col min="3074" max="3075" width="12.5703125" style="77" customWidth="1"/>
    <col min="3076" max="3077" width="9.42578125" style="77"/>
    <col min="3078" max="3078" width="3.42578125" style="77" customWidth="1"/>
    <col min="3079" max="3079" width="12.5703125" style="77" customWidth="1"/>
    <col min="3080" max="3080" width="7.42578125" style="77" customWidth="1"/>
    <col min="3081" max="3328" width="9.42578125" style="77"/>
    <col min="3329" max="3329" width="67.42578125" style="77" bestFit="1" customWidth="1"/>
    <col min="3330" max="3331" width="12.5703125" style="77" customWidth="1"/>
    <col min="3332" max="3333" width="9.42578125" style="77"/>
    <col min="3334" max="3334" width="3.42578125" style="77" customWidth="1"/>
    <col min="3335" max="3335" width="12.5703125" style="77" customWidth="1"/>
    <col min="3336" max="3336" width="7.42578125" style="77" customWidth="1"/>
    <col min="3337" max="3584" width="9.42578125" style="77"/>
    <col min="3585" max="3585" width="67.42578125" style="77" bestFit="1" customWidth="1"/>
    <col min="3586" max="3587" width="12.5703125" style="77" customWidth="1"/>
    <col min="3588" max="3589" width="9.42578125" style="77"/>
    <col min="3590" max="3590" width="3.42578125" style="77" customWidth="1"/>
    <col min="3591" max="3591" width="12.5703125" style="77" customWidth="1"/>
    <col min="3592" max="3592" width="7.42578125" style="77" customWidth="1"/>
    <col min="3593" max="3840" width="9.42578125" style="77"/>
    <col min="3841" max="3841" width="67.42578125" style="77" bestFit="1" customWidth="1"/>
    <col min="3842" max="3843" width="12.5703125" style="77" customWidth="1"/>
    <col min="3844" max="3845" width="9.42578125" style="77"/>
    <col min="3846" max="3846" width="3.42578125" style="77" customWidth="1"/>
    <col min="3847" max="3847" width="12.5703125" style="77" customWidth="1"/>
    <col min="3848" max="3848" width="7.42578125" style="77" customWidth="1"/>
    <col min="3849" max="4096" width="9.42578125" style="77"/>
    <col min="4097" max="4097" width="67.42578125" style="77" bestFit="1" customWidth="1"/>
    <col min="4098" max="4099" width="12.5703125" style="77" customWidth="1"/>
    <col min="4100" max="4101" width="9.42578125" style="77"/>
    <col min="4102" max="4102" width="3.42578125" style="77" customWidth="1"/>
    <col min="4103" max="4103" width="12.5703125" style="77" customWidth="1"/>
    <col min="4104" max="4104" width="7.42578125" style="77" customWidth="1"/>
    <col min="4105" max="4352" width="9.42578125" style="77"/>
    <col min="4353" max="4353" width="67.42578125" style="77" bestFit="1" customWidth="1"/>
    <col min="4354" max="4355" width="12.5703125" style="77" customWidth="1"/>
    <col min="4356" max="4357" width="9.42578125" style="77"/>
    <col min="4358" max="4358" width="3.42578125" style="77" customWidth="1"/>
    <col min="4359" max="4359" width="12.5703125" style="77" customWidth="1"/>
    <col min="4360" max="4360" width="7.42578125" style="77" customWidth="1"/>
    <col min="4361" max="4608" width="9.42578125" style="77"/>
    <col min="4609" max="4609" width="67.42578125" style="77" bestFit="1" customWidth="1"/>
    <col min="4610" max="4611" width="12.5703125" style="77" customWidth="1"/>
    <col min="4612" max="4613" width="9.42578125" style="77"/>
    <col min="4614" max="4614" width="3.42578125" style="77" customWidth="1"/>
    <col min="4615" max="4615" width="12.5703125" style="77" customWidth="1"/>
    <col min="4616" max="4616" width="7.42578125" style="77" customWidth="1"/>
    <col min="4617" max="4864" width="9.42578125" style="77"/>
    <col min="4865" max="4865" width="67.42578125" style="77" bestFit="1" customWidth="1"/>
    <col min="4866" max="4867" width="12.5703125" style="77" customWidth="1"/>
    <col min="4868" max="4869" width="9.42578125" style="77"/>
    <col min="4870" max="4870" width="3.42578125" style="77" customWidth="1"/>
    <col min="4871" max="4871" width="12.5703125" style="77" customWidth="1"/>
    <col min="4872" max="4872" width="7.42578125" style="77" customWidth="1"/>
    <col min="4873" max="5120" width="9.42578125" style="77"/>
    <col min="5121" max="5121" width="67.42578125" style="77" bestFit="1" customWidth="1"/>
    <col min="5122" max="5123" width="12.5703125" style="77" customWidth="1"/>
    <col min="5124" max="5125" width="9.42578125" style="77"/>
    <col min="5126" max="5126" width="3.42578125" style="77" customWidth="1"/>
    <col min="5127" max="5127" width="12.5703125" style="77" customWidth="1"/>
    <col min="5128" max="5128" width="7.42578125" style="77" customWidth="1"/>
    <col min="5129" max="5376" width="9.42578125" style="77"/>
    <col min="5377" max="5377" width="67.42578125" style="77" bestFit="1" customWidth="1"/>
    <col min="5378" max="5379" width="12.5703125" style="77" customWidth="1"/>
    <col min="5380" max="5381" width="9.42578125" style="77"/>
    <col min="5382" max="5382" width="3.42578125" style="77" customWidth="1"/>
    <col min="5383" max="5383" width="12.5703125" style="77" customWidth="1"/>
    <col min="5384" max="5384" width="7.42578125" style="77" customWidth="1"/>
    <col min="5385" max="5632" width="9.42578125" style="77"/>
    <col min="5633" max="5633" width="67.42578125" style="77" bestFit="1" customWidth="1"/>
    <col min="5634" max="5635" width="12.5703125" style="77" customWidth="1"/>
    <col min="5636" max="5637" width="9.42578125" style="77"/>
    <col min="5638" max="5638" width="3.42578125" style="77" customWidth="1"/>
    <col min="5639" max="5639" width="12.5703125" style="77" customWidth="1"/>
    <col min="5640" max="5640" width="7.42578125" style="77" customWidth="1"/>
    <col min="5641" max="5888" width="9.42578125" style="77"/>
    <col min="5889" max="5889" width="67.42578125" style="77" bestFit="1" customWidth="1"/>
    <col min="5890" max="5891" width="12.5703125" style="77" customWidth="1"/>
    <col min="5892" max="5893" width="9.42578125" style="77"/>
    <col min="5894" max="5894" width="3.42578125" style="77" customWidth="1"/>
    <col min="5895" max="5895" width="12.5703125" style="77" customWidth="1"/>
    <col min="5896" max="5896" width="7.42578125" style="77" customWidth="1"/>
    <col min="5897" max="6144" width="9.42578125" style="77"/>
    <col min="6145" max="6145" width="67.42578125" style="77" bestFit="1" customWidth="1"/>
    <col min="6146" max="6147" width="12.5703125" style="77" customWidth="1"/>
    <col min="6148" max="6149" width="9.42578125" style="77"/>
    <col min="6150" max="6150" width="3.42578125" style="77" customWidth="1"/>
    <col min="6151" max="6151" width="12.5703125" style="77" customWidth="1"/>
    <col min="6152" max="6152" width="7.42578125" style="77" customWidth="1"/>
    <col min="6153" max="6400" width="9.42578125" style="77"/>
    <col min="6401" max="6401" width="67.42578125" style="77" bestFit="1" customWidth="1"/>
    <col min="6402" max="6403" width="12.5703125" style="77" customWidth="1"/>
    <col min="6404" max="6405" width="9.42578125" style="77"/>
    <col min="6406" max="6406" width="3.42578125" style="77" customWidth="1"/>
    <col min="6407" max="6407" width="12.5703125" style="77" customWidth="1"/>
    <col min="6408" max="6408" width="7.42578125" style="77" customWidth="1"/>
    <col min="6409" max="6656" width="9.42578125" style="77"/>
    <col min="6657" max="6657" width="67.42578125" style="77" bestFit="1" customWidth="1"/>
    <col min="6658" max="6659" width="12.5703125" style="77" customWidth="1"/>
    <col min="6660" max="6661" width="9.42578125" style="77"/>
    <col min="6662" max="6662" width="3.42578125" style="77" customWidth="1"/>
    <col min="6663" max="6663" width="12.5703125" style="77" customWidth="1"/>
    <col min="6664" max="6664" width="7.42578125" style="77" customWidth="1"/>
    <col min="6665" max="6912" width="9.42578125" style="77"/>
    <col min="6913" max="6913" width="67.42578125" style="77" bestFit="1" customWidth="1"/>
    <col min="6914" max="6915" width="12.5703125" style="77" customWidth="1"/>
    <col min="6916" max="6917" width="9.42578125" style="77"/>
    <col min="6918" max="6918" width="3.42578125" style="77" customWidth="1"/>
    <col min="6919" max="6919" width="12.5703125" style="77" customWidth="1"/>
    <col min="6920" max="6920" width="7.42578125" style="77" customWidth="1"/>
    <col min="6921" max="7168" width="9.42578125" style="77"/>
    <col min="7169" max="7169" width="67.42578125" style="77" bestFit="1" customWidth="1"/>
    <col min="7170" max="7171" width="12.5703125" style="77" customWidth="1"/>
    <col min="7172" max="7173" width="9.42578125" style="77"/>
    <col min="7174" max="7174" width="3.42578125" style="77" customWidth="1"/>
    <col min="7175" max="7175" width="12.5703125" style="77" customWidth="1"/>
    <col min="7176" max="7176" width="7.42578125" style="77" customWidth="1"/>
    <col min="7177" max="7424" width="9.42578125" style="77"/>
    <col min="7425" max="7425" width="67.42578125" style="77" bestFit="1" customWidth="1"/>
    <col min="7426" max="7427" width="12.5703125" style="77" customWidth="1"/>
    <col min="7428" max="7429" width="9.42578125" style="77"/>
    <col min="7430" max="7430" width="3.42578125" style="77" customWidth="1"/>
    <col min="7431" max="7431" width="12.5703125" style="77" customWidth="1"/>
    <col min="7432" max="7432" width="7.42578125" style="77" customWidth="1"/>
    <col min="7433" max="7680" width="9.42578125" style="77"/>
    <col min="7681" max="7681" width="67.42578125" style="77" bestFit="1" customWidth="1"/>
    <col min="7682" max="7683" width="12.5703125" style="77" customWidth="1"/>
    <col min="7684" max="7685" width="9.42578125" style="77"/>
    <col min="7686" max="7686" width="3.42578125" style="77" customWidth="1"/>
    <col min="7687" max="7687" width="12.5703125" style="77" customWidth="1"/>
    <col min="7688" max="7688" width="7.42578125" style="77" customWidth="1"/>
    <col min="7689" max="7936" width="9.42578125" style="77"/>
    <col min="7937" max="7937" width="67.42578125" style="77" bestFit="1" customWidth="1"/>
    <col min="7938" max="7939" width="12.5703125" style="77" customWidth="1"/>
    <col min="7940" max="7941" width="9.42578125" style="77"/>
    <col min="7942" max="7942" width="3.42578125" style="77" customWidth="1"/>
    <col min="7943" max="7943" width="12.5703125" style="77" customWidth="1"/>
    <col min="7944" max="7944" width="7.42578125" style="77" customWidth="1"/>
    <col min="7945" max="8192" width="9.42578125" style="77"/>
    <col min="8193" max="8193" width="67.42578125" style="77" bestFit="1" customWidth="1"/>
    <col min="8194" max="8195" width="12.5703125" style="77" customWidth="1"/>
    <col min="8196" max="8197" width="9.42578125" style="77"/>
    <col min="8198" max="8198" width="3.42578125" style="77" customWidth="1"/>
    <col min="8199" max="8199" width="12.5703125" style="77" customWidth="1"/>
    <col min="8200" max="8200" width="7.42578125" style="77" customWidth="1"/>
    <col min="8201" max="8448" width="9.42578125" style="77"/>
    <col min="8449" max="8449" width="67.42578125" style="77" bestFit="1" customWidth="1"/>
    <col min="8450" max="8451" width="12.5703125" style="77" customWidth="1"/>
    <col min="8452" max="8453" width="9.42578125" style="77"/>
    <col min="8454" max="8454" width="3.42578125" style="77" customWidth="1"/>
    <col min="8455" max="8455" width="12.5703125" style="77" customWidth="1"/>
    <col min="8456" max="8456" width="7.42578125" style="77" customWidth="1"/>
    <col min="8457" max="8704" width="9.42578125" style="77"/>
    <col min="8705" max="8705" width="67.42578125" style="77" bestFit="1" customWidth="1"/>
    <col min="8706" max="8707" width="12.5703125" style="77" customWidth="1"/>
    <col min="8708" max="8709" width="9.42578125" style="77"/>
    <col min="8710" max="8710" width="3.42578125" style="77" customWidth="1"/>
    <col min="8711" max="8711" width="12.5703125" style="77" customWidth="1"/>
    <col min="8712" max="8712" width="7.42578125" style="77" customWidth="1"/>
    <col min="8713" max="8960" width="9.42578125" style="77"/>
    <col min="8961" max="8961" width="67.42578125" style="77" bestFit="1" customWidth="1"/>
    <col min="8962" max="8963" width="12.5703125" style="77" customWidth="1"/>
    <col min="8964" max="8965" width="9.42578125" style="77"/>
    <col min="8966" max="8966" width="3.42578125" style="77" customWidth="1"/>
    <col min="8967" max="8967" width="12.5703125" style="77" customWidth="1"/>
    <col min="8968" max="8968" width="7.42578125" style="77" customWidth="1"/>
    <col min="8969" max="9216" width="9.42578125" style="77"/>
    <col min="9217" max="9217" width="67.42578125" style="77" bestFit="1" customWidth="1"/>
    <col min="9218" max="9219" width="12.5703125" style="77" customWidth="1"/>
    <col min="9220" max="9221" width="9.42578125" style="77"/>
    <col min="9222" max="9222" width="3.42578125" style="77" customWidth="1"/>
    <col min="9223" max="9223" width="12.5703125" style="77" customWidth="1"/>
    <col min="9224" max="9224" width="7.42578125" style="77" customWidth="1"/>
    <col min="9225" max="9472" width="9.42578125" style="77"/>
    <col min="9473" max="9473" width="67.42578125" style="77" bestFit="1" customWidth="1"/>
    <col min="9474" max="9475" width="12.5703125" style="77" customWidth="1"/>
    <col min="9476" max="9477" width="9.42578125" style="77"/>
    <col min="9478" max="9478" width="3.42578125" style="77" customWidth="1"/>
    <col min="9479" max="9479" width="12.5703125" style="77" customWidth="1"/>
    <col min="9480" max="9480" width="7.42578125" style="77" customWidth="1"/>
    <col min="9481" max="9728" width="9.42578125" style="77"/>
    <col min="9729" max="9729" width="67.42578125" style="77" bestFit="1" customWidth="1"/>
    <col min="9730" max="9731" width="12.5703125" style="77" customWidth="1"/>
    <col min="9732" max="9733" width="9.42578125" style="77"/>
    <col min="9734" max="9734" width="3.42578125" style="77" customWidth="1"/>
    <col min="9735" max="9735" width="12.5703125" style="77" customWidth="1"/>
    <col min="9736" max="9736" width="7.42578125" style="77" customWidth="1"/>
    <col min="9737" max="9984" width="9.42578125" style="77"/>
    <col min="9985" max="9985" width="67.42578125" style="77" bestFit="1" customWidth="1"/>
    <col min="9986" max="9987" width="12.5703125" style="77" customWidth="1"/>
    <col min="9988" max="9989" width="9.42578125" style="77"/>
    <col min="9990" max="9990" width="3.42578125" style="77" customWidth="1"/>
    <col min="9991" max="9991" width="12.5703125" style="77" customWidth="1"/>
    <col min="9992" max="9992" width="7.42578125" style="77" customWidth="1"/>
    <col min="9993" max="10240" width="9.42578125" style="77"/>
    <col min="10241" max="10241" width="67.42578125" style="77" bestFit="1" customWidth="1"/>
    <col min="10242" max="10243" width="12.5703125" style="77" customWidth="1"/>
    <col min="10244" max="10245" width="9.42578125" style="77"/>
    <col min="10246" max="10246" width="3.42578125" style="77" customWidth="1"/>
    <col min="10247" max="10247" width="12.5703125" style="77" customWidth="1"/>
    <col min="10248" max="10248" width="7.42578125" style="77" customWidth="1"/>
    <col min="10249" max="10496" width="9.42578125" style="77"/>
    <col min="10497" max="10497" width="67.42578125" style="77" bestFit="1" customWidth="1"/>
    <col min="10498" max="10499" width="12.5703125" style="77" customWidth="1"/>
    <col min="10500" max="10501" width="9.42578125" style="77"/>
    <col min="10502" max="10502" width="3.42578125" style="77" customWidth="1"/>
    <col min="10503" max="10503" width="12.5703125" style="77" customWidth="1"/>
    <col min="10504" max="10504" width="7.42578125" style="77" customWidth="1"/>
    <col min="10505" max="10752" width="9.42578125" style="77"/>
    <col min="10753" max="10753" width="67.42578125" style="77" bestFit="1" customWidth="1"/>
    <col min="10754" max="10755" width="12.5703125" style="77" customWidth="1"/>
    <col min="10756" max="10757" width="9.42578125" style="77"/>
    <col min="10758" max="10758" width="3.42578125" style="77" customWidth="1"/>
    <col min="10759" max="10759" width="12.5703125" style="77" customWidth="1"/>
    <col min="10760" max="10760" width="7.42578125" style="77" customWidth="1"/>
    <col min="10761" max="11008" width="9.42578125" style="77"/>
    <col min="11009" max="11009" width="67.42578125" style="77" bestFit="1" customWidth="1"/>
    <col min="11010" max="11011" width="12.5703125" style="77" customWidth="1"/>
    <col min="11012" max="11013" width="9.42578125" style="77"/>
    <col min="11014" max="11014" width="3.42578125" style="77" customWidth="1"/>
    <col min="11015" max="11015" width="12.5703125" style="77" customWidth="1"/>
    <col min="11016" max="11016" width="7.42578125" style="77" customWidth="1"/>
    <col min="11017" max="11264" width="9.42578125" style="77"/>
    <col min="11265" max="11265" width="67.42578125" style="77" bestFit="1" customWidth="1"/>
    <col min="11266" max="11267" width="12.5703125" style="77" customWidth="1"/>
    <col min="11268" max="11269" width="9.42578125" style="77"/>
    <col min="11270" max="11270" width="3.42578125" style="77" customWidth="1"/>
    <col min="11271" max="11271" width="12.5703125" style="77" customWidth="1"/>
    <col min="11272" max="11272" width="7.42578125" style="77" customWidth="1"/>
    <col min="11273" max="11520" width="9.42578125" style="77"/>
    <col min="11521" max="11521" width="67.42578125" style="77" bestFit="1" customWidth="1"/>
    <col min="11522" max="11523" width="12.5703125" style="77" customWidth="1"/>
    <col min="11524" max="11525" width="9.42578125" style="77"/>
    <col min="11526" max="11526" width="3.42578125" style="77" customWidth="1"/>
    <col min="11527" max="11527" width="12.5703125" style="77" customWidth="1"/>
    <col min="11528" max="11528" width="7.42578125" style="77" customWidth="1"/>
    <col min="11529" max="11776" width="9.42578125" style="77"/>
    <col min="11777" max="11777" width="67.42578125" style="77" bestFit="1" customWidth="1"/>
    <col min="11778" max="11779" width="12.5703125" style="77" customWidth="1"/>
    <col min="11780" max="11781" width="9.42578125" style="77"/>
    <col min="11782" max="11782" width="3.42578125" style="77" customWidth="1"/>
    <col min="11783" max="11783" width="12.5703125" style="77" customWidth="1"/>
    <col min="11784" max="11784" width="7.42578125" style="77" customWidth="1"/>
    <col min="11785" max="12032" width="9.42578125" style="77"/>
    <col min="12033" max="12033" width="67.42578125" style="77" bestFit="1" customWidth="1"/>
    <col min="12034" max="12035" width="12.5703125" style="77" customWidth="1"/>
    <col min="12036" max="12037" width="9.42578125" style="77"/>
    <col min="12038" max="12038" width="3.42578125" style="77" customWidth="1"/>
    <col min="12039" max="12039" width="12.5703125" style="77" customWidth="1"/>
    <col min="12040" max="12040" width="7.42578125" style="77" customWidth="1"/>
    <col min="12041" max="12288" width="9.42578125" style="77"/>
    <col min="12289" max="12289" width="67.42578125" style="77" bestFit="1" customWidth="1"/>
    <col min="12290" max="12291" width="12.5703125" style="77" customWidth="1"/>
    <col min="12292" max="12293" width="9.42578125" style="77"/>
    <col min="12294" max="12294" width="3.42578125" style="77" customWidth="1"/>
    <col min="12295" max="12295" width="12.5703125" style="77" customWidth="1"/>
    <col min="12296" max="12296" width="7.42578125" style="77" customWidth="1"/>
    <col min="12297" max="12544" width="9.42578125" style="77"/>
    <col min="12545" max="12545" width="67.42578125" style="77" bestFit="1" customWidth="1"/>
    <col min="12546" max="12547" width="12.5703125" style="77" customWidth="1"/>
    <col min="12548" max="12549" width="9.42578125" style="77"/>
    <col min="12550" max="12550" width="3.42578125" style="77" customWidth="1"/>
    <col min="12551" max="12551" width="12.5703125" style="77" customWidth="1"/>
    <col min="12552" max="12552" width="7.42578125" style="77" customWidth="1"/>
    <col min="12553" max="12800" width="9.42578125" style="77"/>
    <col min="12801" max="12801" width="67.42578125" style="77" bestFit="1" customWidth="1"/>
    <col min="12802" max="12803" width="12.5703125" style="77" customWidth="1"/>
    <col min="12804" max="12805" width="9.42578125" style="77"/>
    <col min="12806" max="12806" width="3.42578125" style="77" customWidth="1"/>
    <col min="12807" max="12807" width="12.5703125" style="77" customWidth="1"/>
    <col min="12808" max="12808" width="7.42578125" style="77" customWidth="1"/>
    <col min="12809" max="13056" width="9.42578125" style="77"/>
    <col min="13057" max="13057" width="67.42578125" style="77" bestFit="1" customWidth="1"/>
    <col min="13058" max="13059" width="12.5703125" style="77" customWidth="1"/>
    <col min="13060" max="13061" width="9.42578125" style="77"/>
    <col min="13062" max="13062" width="3.42578125" style="77" customWidth="1"/>
    <col min="13063" max="13063" width="12.5703125" style="77" customWidth="1"/>
    <col min="13064" max="13064" width="7.42578125" style="77" customWidth="1"/>
    <col min="13065" max="13312" width="9.42578125" style="77"/>
    <col min="13313" max="13313" width="67.42578125" style="77" bestFit="1" customWidth="1"/>
    <col min="13314" max="13315" width="12.5703125" style="77" customWidth="1"/>
    <col min="13316" max="13317" width="9.42578125" style="77"/>
    <col min="13318" max="13318" width="3.42578125" style="77" customWidth="1"/>
    <col min="13319" max="13319" width="12.5703125" style="77" customWidth="1"/>
    <col min="13320" max="13320" width="7.42578125" style="77" customWidth="1"/>
    <col min="13321" max="13568" width="9.42578125" style="77"/>
    <col min="13569" max="13569" width="67.42578125" style="77" bestFit="1" customWidth="1"/>
    <col min="13570" max="13571" width="12.5703125" style="77" customWidth="1"/>
    <col min="13572" max="13573" width="9.42578125" style="77"/>
    <col min="13574" max="13574" width="3.42578125" style="77" customWidth="1"/>
    <col min="13575" max="13575" width="12.5703125" style="77" customWidth="1"/>
    <col min="13576" max="13576" width="7.42578125" style="77" customWidth="1"/>
    <col min="13577" max="13824" width="9.42578125" style="77"/>
    <col min="13825" max="13825" width="67.42578125" style="77" bestFit="1" customWidth="1"/>
    <col min="13826" max="13827" width="12.5703125" style="77" customWidth="1"/>
    <col min="13828" max="13829" width="9.42578125" style="77"/>
    <col min="13830" max="13830" width="3.42578125" style="77" customWidth="1"/>
    <col min="13831" max="13831" width="12.5703125" style="77" customWidth="1"/>
    <col min="13832" max="13832" width="7.42578125" style="77" customWidth="1"/>
    <col min="13833" max="14080" width="9.42578125" style="77"/>
    <col min="14081" max="14081" width="67.42578125" style="77" bestFit="1" customWidth="1"/>
    <col min="14082" max="14083" width="12.5703125" style="77" customWidth="1"/>
    <col min="14084" max="14085" width="9.42578125" style="77"/>
    <col min="14086" max="14086" width="3.42578125" style="77" customWidth="1"/>
    <col min="14087" max="14087" width="12.5703125" style="77" customWidth="1"/>
    <col min="14088" max="14088" width="7.42578125" style="77" customWidth="1"/>
    <col min="14089" max="14336" width="9.42578125" style="77"/>
    <col min="14337" max="14337" width="67.42578125" style="77" bestFit="1" customWidth="1"/>
    <col min="14338" max="14339" width="12.5703125" style="77" customWidth="1"/>
    <col min="14340" max="14341" width="9.42578125" style="77"/>
    <col min="14342" max="14342" width="3.42578125" style="77" customWidth="1"/>
    <col min="14343" max="14343" width="12.5703125" style="77" customWidth="1"/>
    <col min="14344" max="14344" width="7.42578125" style="77" customWidth="1"/>
    <col min="14345" max="14592" width="9.42578125" style="77"/>
    <col min="14593" max="14593" width="67.42578125" style="77" bestFit="1" customWidth="1"/>
    <col min="14594" max="14595" width="12.5703125" style="77" customWidth="1"/>
    <col min="14596" max="14597" width="9.42578125" style="77"/>
    <col min="14598" max="14598" width="3.42578125" style="77" customWidth="1"/>
    <col min="14599" max="14599" width="12.5703125" style="77" customWidth="1"/>
    <col min="14600" max="14600" width="7.42578125" style="77" customWidth="1"/>
    <col min="14601" max="14848" width="9.42578125" style="77"/>
    <col min="14849" max="14849" width="67.42578125" style="77" bestFit="1" customWidth="1"/>
    <col min="14850" max="14851" width="12.5703125" style="77" customWidth="1"/>
    <col min="14852" max="14853" width="9.42578125" style="77"/>
    <col min="14854" max="14854" width="3.42578125" style="77" customWidth="1"/>
    <col min="14855" max="14855" width="12.5703125" style="77" customWidth="1"/>
    <col min="14856" max="14856" width="7.42578125" style="77" customWidth="1"/>
    <col min="14857" max="15104" width="9.42578125" style="77"/>
    <col min="15105" max="15105" width="67.42578125" style="77" bestFit="1" customWidth="1"/>
    <col min="15106" max="15107" width="12.5703125" style="77" customWidth="1"/>
    <col min="15108" max="15109" width="9.42578125" style="77"/>
    <col min="15110" max="15110" width="3.42578125" style="77" customWidth="1"/>
    <col min="15111" max="15111" width="12.5703125" style="77" customWidth="1"/>
    <col min="15112" max="15112" width="7.42578125" style="77" customWidth="1"/>
    <col min="15113" max="15360" width="9.42578125" style="77"/>
    <col min="15361" max="15361" width="67.42578125" style="77" bestFit="1" customWidth="1"/>
    <col min="15362" max="15363" width="12.5703125" style="77" customWidth="1"/>
    <col min="15364" max="15365" width="9.42578125" style="77"/>
    <col min="15366" max="15366" width="3.42578125" style="77" customWidth="1"/>
    <col min="15367" max="15367" width="12.5703125" style="77" customWidth="1"/>
    <col min="15368" max="15368" width="7.42578125" style="77" customWidth="1"/>
    <col min="15369" max="15616" width="9.42578125" style="77"/>
    <col min="15617" max="15617" width="67.42578125" style="77" bestFit="1" customWidth="1"/>
    <col min="15618" max="15619" width="12.5703125" style="77" customWidth="1"/>
    <col min="15620" max="15621" width="9.42578125" style="77"/>
    <col min="15622" max="15622" width="3.42578125" style="77" customWidth="1"/>
    <col min="15623" max="15623" width="12.5703125" style="77" customWidth="1"/>
    <col min="15624" max="15624" width="7.42578125" style="77" customWidth="1"/>
    <col min="15625" max="15872" width="9.42578125" style="77"/>
    <col min="15873" max="15873" width="67.42578125" style="77" bestFit="1" customWidth="1"/>
    <col min="15874" max="15875" width="12.5703125" style="77" customWidth="1"/>
    <col min="15876" max="15877" width="9.42578125" style="77"/>
    <col min="15878" max="15878" width="3.42578125" style="77" customWidth="1"/>
    <col min="15879" max="15879" width="12.5703125" style="77" customWidth="1"/>
    <col min="15880" max="15880" width="7.42578125" style="77" customWidth="1"/>
    <col min="15881" max="16128" width="9.42578125" style="77"/>
    <col min="16129" max="16129" width="67.42578125" style="77" bestFit="1" customWidth="1"/>
    <col min="16130" max="16131" width="12.5703125" style="77" customWidth="1"/>
    <col min="16132" max="16133" width="9.42578125" style="77"/>
    <col min="16134" max="16134" width="3.42578125" style="77" customWidth="1"/>
    <col min="16135" max="16135" width="12.5703125" style="77" customWidth="1"/>
    <col min="16136" max="16136" width="7.42578125" style="77" customWidth="1"/>
    <col min="16137" max="16384" width="9.42578125" style="77"/>
  </cols>
  <sheetData>
    <row r="1" spans="1:11" ht="20.100000000000001">
      <c r="A1" s="49" t="s">
        <v>0</v>
      </c>
      <c r="B1" s="49"/>
      <c r="C1" s="49"/>
      <c r="D1" s="49"/>
      <c r="E1" s="18"/>
      <c r="F1" s="18"/>
      <c r="G1" s="18"/>
      <c r="H1" s="18"/>
      <c r="I1" s="18"/>
    </row>
    <row r="2" spans="1:11" ht="20.100000000000001">
      <c r="A2" s="18"/>
      <c r="B2" s="18"/>
      <c r="C2" s="18"/>
      <c r="D2" s="18"/>
      <c r="E2" s="18"/>
      <c r="F2" s="18"/>
      <c r="G2" s="18"/>
      <c r="H2" s="18"/>
      <c r="I2" s="18"/>
    </row>
    <row r="3" spans="1:11" ht="20.100000000000001">
      <c r="A3" s="238" t="str">
        <f>"ANNUAL RETURN INFORMATION REQUIREMENTS "&amp;_reportyear</f>
        <v>ANNUAL RETURN INFORMATION REQUIREMENTS 2023-24</v>
      </c>
      <c r="B3" s="19"/>
      <c r="C3" s="19"/>
      <c r="D3" s="19"/>
      <c r="E3" s="21"/>
      <c r="F3" s="21"/>
      <c r="G3" s="21"/>
      <c r="H3" s="21"/>
      <c r="I3" s="21"/>
      <c r="J3" s="21"/>
      <c r="K3" s="21"/>
    </row>
    <row r="4" spans="1:11" ht="15.6" customHeight="1">
      <c r="A4" s="72"/>
      <c r="B4" s="32"/>
      <c r="C4" s="32"/>
      <c r="D4" s="32"/>
      <c r="E4" s="1"/>
      <c r="F4" s="1"/>
      <c r="G4" s="1"/>
      <c r="H4" s="1"/>
      <c r="I4" s="1"/>
    </row>
    <row r="5" spans="1:11" ht="15.95" thickBot="1">
      <c r="A5" s="22"/>
      <c r="B5" s="32"/>
      <c r="C5" s="32"/>
      <c r="D5" s="32"/>
      <c r="E5" s="1"/>
      <c r="F5" s="1"/>
      <c r="G5" s="1"/>
      <c r="H5" s="1"/>
      <c r="I5" s="1"/>
    </row>
    <row r="6" spans="1:11" ht="20.100000000000001">
      <c r="A6" s="51" t="s">
        <v>1</v>
      </c>
      <c r="B6" s="24"/>
      <c r="G6" s="1"/>
      <c r="H6" s="1"/>
      <c r="I6" s="1"/>
    </row>
    <row r="7" spans="1:11" ht="20.45" thickBot="1">
      <c r="A7" s="25" t="s">
        <v>214</v>
      </c>
      <c r="B7" s="26"/>
      <c r="C7" s="62"/>
      <c r="D7" s="62"/>
      <c r="G7" s="1"/>
      <c r="H7" s="1"/>
      <c r="I7" s="1"/>
    </row>
    <row r="8" spans="1:11">
      <c r="A8" s="1"/>
      <c r="B8" s="1"/>
      <c r="C8" s="1"/>
      <c r="D8" s="1"/>
      <c r="E8" s="1"/>
      <c r="F8" s="1"/>
      <c r="G8" s="1"/>
      <c r="H8" s="1"/>
      <c r="I8" s="1"/>
    </row>
    <row r="9" spans="1:11" ht="12.95" thickBot="1">
      <c r="A9" s="1"/>
      <c r="B9" s="1"/>
      <c r="C9" s="1"/>
      <c r="D9" s="1"/>
      <c r="E9" s="1"/>
      <c r="F9" s="1"/>
      <c r="G9" s="1"/>
    </row>
    <row r="10" spans="1:11" ht="16.350000000000001" customHeight="1">
      <c r="A10" s="28" t="s">
        <v>3</v>
      </c>
      <c r="B10" s="29" t="s">
        <v>4</v>
      </c>
      <c r="C10" s="30" t="s">
        <v>5</v>
      </c>
      <c r="D10" s="31" t="s">
        <v>6</v>
      </c>
      <c r="E10" s="32"/>
      <c r="F10" s="1323" t="s">
        <v>7</v>
      </c>
      <c r="G10" s="1324"/>
      <c r="H10" s="797"/>
      <c r="I10" s="1323" t="s">
        <v>8</v>
      </c>
      <c r="J10" s="1324"/>
    </row>
    <row r="11" spans="1:11" ht="15.6">
      <c r="A11" s="33" t="s">
        <v>9</v>
      </c>
      <c r="B11" s="34"/>
      <c r="C11" s="35"/>
      <c r="D11" s="36" t="s">
        <v>10</v>
      </c>
      <c r="E11" s="32"/>
      <c r="F11" s="1325"/>
      <c r="G11" s="1326"/>
      <c r="H11" s="797"/>
      <c r="I11" s="1325"/>
      <c r="J11" s="1326"/>
    </row>
    <row r="12" spans="1:11" ht="21.6" customHeight="1" thickBot="1">
      <c r="A12" s="37"/>
      <c r="B12" s="38"/>
      <c r="C12" s="39"/>
      <c r="D12" s="40"/>
      <c r="E12" s="32"/>
      <c r="F12" s="48" t="str">
        <f>_reportyear</f>
        <v>2023-24</v>
      </c>
      <c r="G12" s="793" t="s">
        <v>11</v>
      </c>
      <c r="H12" s="193"/>
      <c r="I12" s="48" t="str">
        <f>_reportyearplus1</f>
        <v>2024-25</v>
      </c>
      <c r="J12" s="793" t="s">
        <v>11</v>
      </c>
    </row>
    <row r="13" spans="1:11" ht="12.95" thickBot="1">
      <c r="A13" s="1"/>
      <c r="B13" s="41"/>
      <c r="C13" s="1"/>
      <c r="D13" s="1"/>
      <c r="E13" s="1"/>
      <c r="F13" s="1"/>
      <c r="G13" s="1"/>
    </row>
    <row r="14" spans="1:11" ht="15.95" thickBot="1">
      <c r="A14" s="133"/>
      <c r="B14" s="134" t="s">
        <v>150</v>
      </c>
      <c r="C14" s="135"/>
      <c r="D14" s="136"/>
      <c r="E14" s="2"/>
      <c r="F14" s="2"/>
      <c r="G14" s="2"/>
    </row>
    <row r="15" spans="1:11" ht="15.95" thickBot="1">
      <c r="A15" s="137"/>
      <c r="B15" s="138" t="s">
        <v>215</v>
      </c>
      <c r="C15" s="139"/>
      <c r="D15" s="140"/>
      <c r="E15" s="1"/>
      <c r="F15" s="2"/>
      <c r="G15" s="2"/>
    </row>
    <row r="16" spans="1:11">
      <c r="A16" s="1090" t="s">
        <v>216</v>
      </c>
      <c r="B16" s="1091" t="s">
        <v>217</v>
      </c>
      <c r="C16" s="1092" t="s">
        <v>21</v>
      </c>
      <c r="D16" s="1093" t="s">
        <v>16</v>
      </c>
      <c r="F16" s="1094">
        <v>244</v>
      </c>
      <c r="G16" s="1095" t="s">
        <v>218</v>
      </c>
      <c r="I16" s="1096">
        <v>292</v>
      </c>
      <c r="J16" s="1095" t="s">
        <v>158</v>
      </c>
    </row>
    <row r="17" spans="1:10">
      <c r="A17" s="141" t="s">
        <v>219</v>
      </c>
      <c r="B17" s="201" t="s">
        <v>220</v>
      </c>
      <c r="C17" s="142" t="s">
        <v>21</v>
      </c>
      <c r="D17" s="143" t="s">
        <v>16</v>
      </c>
      <c r="F17" s="1097">
        <v>109</v>
      </c>
      <c r="G17" s="1098" t="s">
        <v>218</v>
      </c>
      <c r="I17" s="1099">
        <v>121</v>
      </c>
      <c r="J17" s="1098" t="s">
        <v>158</v>
      </c>
    </row>
    <row r="18" spans="1:10">
      <c r="A18" s="141" t="s">
        <v>221</v>
      </c>
      <c r="B18" s="201" t="s">
        <v>222</v>
      </c>
      <c r="C18" s="142" t="s">
        <v>21</v>
      </c>
      <c r="D18" s="143" t="s">
        <v>16</v>
      </c>
      <c r="F18" s="1097">
        <v>105</v>
      </c>
      <c r="G18" s="1098" t="s">
        <v>218</v>
      </c>
      <c r="I18" s="1099">
        <v>102</v>
      </c>
      <c r="J18" s="1098" t="s">
        <v>158</v>
      </c>
    </row>
    <row r="19" spans="1:10">
      <c r="A19" s="141" t="s">
        <v>223</v>
      </c>
      <c r="B19" s="201" t="s">
        <v>224</v>
      </c>
      <c r="C19" s="142" t="s">
        <v>21</v>
      </c>
      <c r="D19" s="143" t="s">
        <v>16</v>
      </c>
      <c r="F19" s="1097">
        <v>22</v>
      </c>
      <c r="G19" s="1098" t="s">
        <v>218</v>
      </c>
      <c r="I19" s="1099">
        <v>22</v>
      </c>
      <c r="J19" s="1098" t="s">
        <v>158</v>
      </c>
    </row>
    <row r="20" spans="1:10">
      <c r="A20" s="141" t="s">
        <v>225</v>
      </c>
      <c r="B20" s="201" t="s">
        <v>226</v>
      </c>
      <c r="C20" s="142" t="s">
        <v>21</v>
      </c>
      <c r="D20" s="143" t="s">
        <v>27</v>
      </c>
      <c r="F20" s="734">
        <f>SUM(F17:F19)</f>
        <v>236</v>
      </c>
      <c r="G20" s="733" t="s">
        <v>218</v>
      </c>
      <c r="I20" s="734">
        <f>SUM(I17:I19)</f>
        <v>245</v>
      </c>
      <c r="J20" s="733" t="s">
        <v>158</v>
      </c>
    </row>
    <row r="21" spans="1:10" ht="12.95" thickBot="1">
      <c r="A21" s="144" t="s">
        <v>227</v>
      </c>
      <c r="B21" s="1100" t="s">
        <v>228</v>
      </c>
      <c r="C21" s="145" t="s">
        <v>21</v>
      </c>
      <c r="D21" s="146" t="s">
        <v>16</v>
      </c>
      <c r="F21" s="1101" t="s">
        <v>23</v>
      </c>
      <c r="G21" s="1102" t="s">
        <v>229</v>
      </c>
      <c r="I21" s="1103" t="s">
        <v>23</v>
      </c>
      <c r="J21" s="1102" t="s">
        <v>229</v>
      </c>
    </row>
    <row r="22" spans="1:10" ht="13.5" thickBot="1">
      <c r="A22" s="147"/>
      <c r="B22" s="148" t="s">
        <v>230</v>
      </c>
      <c r="C22" s="149"/>
      <c r="D22" s="150"/>
    </row>
    <row r="23" spans="1:10">
      <c r="A23" s="1090" t="s">
        <v>231</v>
      </c>
      <c r="B23" s="1091" t="s">
        <v>232</v>
      </c>
      <c r="C23" s="1092" t="s">
        <v>21</v>
      </c>
      <c r="D23" s="1093" t="s">
        <v>16</v>
      </c>
      <c r="F23" s="1094">
        <v>2225</v>
      </c>
      <c r="G23" s="1095" t="s">
        <v>218</v>
      </c>
      <c r="I23" s="1096">
        <v>3061</v>
      </c>
      <c r="J23" s="1095" t="s">
        <v>158</v>
      </c>
    </row>
    <row r="24" spans="1:10">
      <c r="A24" s="141" t="s">
        <v>233</v>
      </c>
      <c r="B24" s="201" t="s">
        <v>234</v>
      </c>
      <c r="C24" s="142" t="s">
        <v>21</v>
      </c>
      <c r="D24" s="143" t="s">
        <v>16</v>
      </c>
      <c r="F24" s="1097">
        <v>23</v>
      </c>
      <c r="G24" s="1098" t="s">
        <v>218</v>
      </c>
      <c r="I24" s="1099">
        <v>17</v>
      </c>
      <c r="J24" s="1098" t="s">
        <v>158</v>
      </c>
    </row>
    <row r="25" spans="1:10">
      <c r="A25" s="141" t="s">
        <v>235</v>
      </c>
      <c r="B25" s="201" t="s">
        <v>236</v>
      </c>
      <c r="C25" s="142" t="s">
        <v>21</v>
      </c>
      <c r="D25" s="143" t="s">
        <v>16</v>
      </c>
      <c r="F25" s="1097">
        <v>1098</v>
      </c>
      <c r="G25" s="1098" t="s">
        <v>218</v>
      </c>
      <c r="I25" s="1099">
        <v>1374</v>
      </c>
      <c r="J25" s="1098" t="s">
        <v>158</v>
      </c>
    </row>
    <row r="26" spans="1:10" ht="12.95" thickBot="1">
      <c r="A26" s="144" t="s">
        <v>237</v>
      </c>
      <c r="B26" s="262" t="s">
        <v>238</v>
      </c>
      <c r="C26" s="145" t="s">
        <v>21</v>
      </c>
      <c r="D26" s="146" t="s">
        <v>16</v>
      </c>
      <c r="F26" s="1101">
        <v>35</v>
      </c>
      <c r="G26" s="1102" t="s">
        <v>218</v>
      </c>
      <c r="I26" s="1103">
        <v>31</v>
      </c>
      <c r="J26" s="1102" t="s">
        <v>158</v>
      </c>
    </row>
    <row r="27" spans="1:10" ht="12.95" thickBot="1"/>
    <row r="28" spans="1:10" ht="13.5" thickBot="1">
      <c r="A28" s="133"/>
      <c r="B28" s="134" t="s">
        <v>239</v>
      </c>
      <c r="C28" s="135"/>
      <c r="D28" s="136"/>
    </row>
    <row r="29" spans="1:10" ht="13.5" thickBot="1">
      <c r="A29" s="137"/>
      <c r="B29" s="138" t="s">
        <v>240</v>
      </c>
      <c r="C29" s="139"/>
      <c r="D29" s="140"/>
    </row>
    <row r="30" spans="1:10">
      <c r="A30" s="1090" t="s">
        <v>241</v>
      </c>
      <c r="B30" s="1091" t="s">
        <v>242</v>
      </c>
      <c r="C30" s="1092" t="s">
        <v>21</v>
      </c>
      <c r="D30" s="1093" t="s">
        <v>16</v>
      </c>
      <c r="F30" s="1096">
        <v>1747</v>
      </c>
      <c r="G30" s="1104" t="s">
        <v>173</v>
      </c>
      <c r="I30" s="1096">
        <v>1786</v>
      </c>
      <c r="J30" s="1104" t="s">
        <v>158</v>
      </c>
    </row>
    <row r="31" spans="1:10">
      <c r="A31" s="141" t="s">
        <v>243</v>
      </c>
      <c r="B31" s="201" t="s">
        <v>244</v>
      </c>
      <c r="C31" s="142" t="s">
        <v>21</v>
      </c>
      <c r="D31" s="143" t="s">
        <v>16</v>
      </c>
      <c r="F31" s="1099">
        <v>1026</v>
      </c>
      <c r="G31" s="1105" t="s">
        <v>173</v>
      </c>
      <c r="I31" s="1099">
        <v>1120</v>
      </c>
      <c r="J31" s="1105" t="s">
        <v>158</v>
      </c>
    </row>
    <row r="32" spans="1:10">
      <c r="A32" s="141" t="s">
        <v>245</v>
      </c>
      <c r="B32" s="201" t="s">
        <v>198</v>
      </c>
      <c r="C32" s="142" t="s">
        <v>21</v>
      </c>
      <c r="D32" s="143" t="s">
        <v>16</v>
      </c>
      <c r="F32" s="1099">
        <v>147</v>
      </c>
      <c r="G32" s="1105" t="s">
        <v>173</v>
      </c>
      <c r="I32" s="1099">
        <v>121</v>
      </c>
      <c r="J32" s="1105" t="s">
        <v>158</v>
      </c>
    </row>
    <row r="33" spans="1:10" ht="12.95" thickBot="1">
      <c r="A33" s="144" t="s">
        <v>246</v>
      </c>
      <c r="B33" s="262" t="s">
        <v>247</v>
      </c>
      <c r="C33" s="145" t="s">
        <v>21</v>
      </c>
      <c r="D33" s="146" t="s">
        <v>27</v>
      </c>
      <c r="F33" s="737">
        <f>SUM(F30:F32)</f>
        <v>2920</v>
      </c>
      <c r="G33" s="736" t="s">
        <v>173</v>
      </c>
      <c r="I33" s="737">
        <f>SUM(I30:I32)</f>
        <v>3027</v>
      </c>
      <c r="J33" s="736" t="s">
        <v>158</v>
      </c>
    </row>
    <row r="34" spans="1:10" ht="13.5" thickBot="1">
      <c r="A34" s="147"/>
      <c r="B34" s="148" t="s">
        <v>248</v>
      </c>
      <c r="C34" s="149"/>
      <c r="D34" s="150"/>
    </row>
    <row r="35" spans="1:10">
      <c r="A35" s="1090" t="s">
        <v>249</v>
      </c>
      <c r="B35" s="1091" t="s">
        <v>250</v>
      </c>
      <c r="C35" s="1092" t="s">
        <v>21</v>
      </c>
      <c r="D35" s="1093" t="s">
        <v>16</v>
      </c>
      <c r="F35" s="1096">
        <v>242</v>
      </c>
      <c r="G35" s="1104" t="s">
        <v>173</v>
      </c>
      <c r="I35" s="1096">
        <v>219</v>
      </c>
      <c r="J35" s="1104" t="s">
        <v>158</v>
      </c>
    </row>
    <row r="36" spans="1:10" ht="12.95" thickBot="1">
      <c r="A36" s="144" t="s">
        <v>251</v>
      </c>
      <c r="B36" s="262" t="s">
        <v>252</v>
      </c>
      <c r="C36" s="145" t="s">
        <v>21</v>
      </c>
      <c r="D36" s="146" t="s">
        <v>16</v>
      </c>
      <c r="F36" s="1103">
        <v>2678</v>
      </c>
      <c r="G36" s="1106" t="s">
        <v>173</v>
      </c>
      <c r="I36" s="1103">
        <v>2808</v>
      </c>
      <c r="J36" s="1106" t="s">
        <v>158</v>
      </c>
    </row>
    <row r="37" spans="1:10" ht="13.5" thickBot="1">
      <c r="A37" s="147"/>
      <c r="B37" s="148" t="s">
        <v>253</v>
      </c>
      <c r="C37" s="149"/>
      <c r="D37" s="150"/>
    </row>
    <row r="38" spans="1:10">
      <c r="A38" s="1107" t="s">
        <v>254</v>
      </c>
      <c r="B38" s="1091" t="s">
        <v>206</v>
      </c>
      <c r="C38" s="1108" t="s">
        <v>21</v>
      </c>
      <c r="D38" s="1109" t="s">
        <v>16</v>
      </c>
      <c r="F38" s="1096">
        <v>16</v>
      </c>
      <c r="G38" s="1104" t="s">
        <v>173</v>
      </c>
      <c r="I38" s="1096">
        <v>12</v>
      </c>
      <c r="J38" s="1104" t="s">
        <v>158</v>
      </c>
    </row>
    <row r="39" spans="1:10">
      <c r="A39" s="1110" t="s">
        <v>255</v>
      </c>
      <c r="B39" s="201" t="s">
        <v>208</v>
      </c>
      <c r="C39" s="1111" t="s">
        <v>21</v>
      </c>
      <c r="D39" s="1112" t="s">
        <v>16</v>
      </c>
      <c r="F39" s="1113">
        <v>14</v>
      </c>
      <c r="G39" s="1114" t="s">
        <v>173</v>
      </c>
      <c r="I39" s="1113">
        <v>29</v>
      </c>
      <c r="J39" s="1114" t="s">
        <v>158</v>
      </c>
    </row>
    <row r="40" spans="1:10">
      <c r="A40" s="1110" t="s">
        <v>256</v>
      </c>
      <c r="B40" s="201" t="s">
        <v>210</v>
      </c>
      <c r="C40" s="1111" t="s">
        <v>21</v>
      </c>
      <c r="D40" s="1112" t="s">
        <v>16</v>
      </c>
      <c r="F40" s="1099">
        <v>152</v>
      </c>
      <c r="G40" s="1105" t="s">
        <v>173</v>
      </c>
      <c r="I40" s="1099">
        <v>153</v>
      </c>
      <c r="J40" s="1105" t="s">
        <v>158</v>
      </c>
    </row>
    <row r="41" spans="1:10">
      <c r="A41" s="1110" t="s">
        <v>257</v>
      </c>
      <c r="B41" s="201" t="s">
        <v>258</v>
      </c>
      <c r="C41" s="1111" t="s">
        <v>21</v>
      </c>
      <c r="D41" s="1112" t="s">
        <v>16</v>
      </c>
      <c r="F41" s="1099" t="s">
        <v>23</v>
      </c>
      <c r="G41" s="1105" t="s">
        <v>229</v>
      </c>
      <c r="I41" s="1099" t="s">
        <v>23</v>
      </c>
      <c r="J41" s="1105" t="s">
        <v>229</v>
      </c>
    </row>
    <row r="42" spans="1:10" ht="12.95" thickBot="1">
      <c r="A42" s="1115" t="s">
        <v>259</v>
      </c>
      <c r="B42" s="262" t="s">
        <v>260</v>
      </c>
      <c r="C42" s="1116" t="s">
        <v>21</v>
      </c>
      <c r="D42" s="1117" t="s">
        <v>16</v>
      </c>
      <c r="F42" s="1103">
        <v>1</v>
      </c>
      <c r="G42" s="1106" t="s">
        <v>173</v>
      </c>
      <c r="I42" s="1103">
        <v>5</v>
      </c>
      <c r="J42" s="1106" t="s">
        <v>158</v>
      </c>
    </row>
    <row r="45" spans="1:10" ht="12.95" thickBot="1"/>
    <row r="46" spans="1:10">
      <c r="A46" s="13" t="s">
        <v>145</v>
      </c>
      <c r="B46" s="1268"/>
      <c r="C46" s="197" t="s">
        <v>40</v>
      </c>
      <c r="D46" s="3"/>
      <c r="E46" s="3"/>
      <c r="F46" s="14"/>
    </row>
    <row r="47" spans="1:10">
      <c r="A47" s="697"/>
      <c r="B47" s="1269"/>
      <c r="C47" s="1269"/>
      <c r="D47" s="1269"/>
      <c r="E47" s="1269"/>
      <c r="F47" s="15"/>
    </row>
    <row r="48" spans="1:10">
      <c r="A48" s="6" t="s">
        <v>41</v>
      </c>
      <c r="B48" s="1269"/>
      <c r="C48" s="207" t="s">
        <v>40</v>
      </c>
      <c r="D48" s="1269"/>
      <c r="E48" s="1269"/>
      <c r="F48" s="15"/>
    </row>
    <row r="49" spans="1:6">
      <c r="A49" s="697"/>
      <c r="B49"/>
      <c r="C49" s="1269"/>
      <c r="D49" s="1269"/>
      <c r="E49" s="1269"/>
      <c r="F49" s="15"/>
    </row>
    <row r="50" spans="1:6" ht="12.95" thickBot="1">
      <c r="A50" s="9" t="s">
        <v>42</v>
      </c>
      <c r="B50" s="10"/>
      <c r="C50" s="10" t="s">
        <v>43</v>
      </c>
      <c r="D50" s="10"/>
      <c r="E50" s="10"/>
      <c r="F50" s="16"/>
    </row>
    <row r="56" spans="1:6">
      <c r="B56" s="739"/>
      <c r="C56" s="740"/>
    </row>
    <row r="59" spans="1:6" ht="14.85" customHeight="1"/>
  </sheetData>
  <mergeCells count="2">
    <mergeCell ref="F10:G11"/>
    <mergeCell ref="I10:J11"/>
  </mergeCells>
  <conditionalFormatting sqref="L1:P1048576">
    <cfRule type="containsText" dxfId="4" priority="3" operator="containsText" text="Y">
      <formula>NOT(ISERROR(SEARCH("Y",L1)))</formula>
    </cfRule>
    <cfRule type="containsText" dxfId="3" priority="4" operator="containsText" text="N">
      <formula>NOT(ISERROR(SEARCH("N",L1)))</formula>
    </cfRule>
  </conditionalFormatting>
  <pageMargins left="0.7" right="0.7" top="0.75" bottom="0.75" header="0.3" footer="0.3"/>
  <pageSetup paperSize="8" orientation="landscape" r:id="rId1"/>
  <headerFooter>
    <oddFooter>&amp;L&amp;1#&amp;"Arial"&amp;11&amp;K000000SW Private Commercial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167"/>
  <sheetViews>
    <sheetView zoomScaleNormal="100" zoomScalePageLayoutView="70" workbookViewId="0">
      <selection sqref="A1:XFD1048576"/>
    </sheetView>
  </sheetViews>
  <sheetFormatPr defaultColWidth="9.42578125" defaultRowHeight="12.6"/>
  <cols>
    <col min="1" max="1" width="10.42578125" customWidth="1"/>
    <col min="2" max="2" width="75.42578125" bestFit="1" customWidth="1"/>
    <col min="3" max="3" width="9.5703125" customWidth="1"/>
    <col min="4" max="4" width="9.42578125" customWidth="1"/>
    <col min="5" max="5" width="9.42578125" bestFit="1" customWidth="1"/>
    <col min="6" max="6" width="11.42578125" customWidth="1"/>
    <col min="7" max="7" width="5" customWidth="1"/>
    <col min="8" max="8" width="4.42578125" customWidth="1"/>
    <col min="9" max="9" width="11.42578125" customWidth="1"/>
    <col min="10" max="10" width="5" customWidth="1"/>
    <col min="11" max="17" width="9.42578125" customWidth="1"/>
  </cols>
  <sheetData>
    <row r="1" spans="1:21" s="18" customFormat="1" ht="20.100000000000001">
      <c r="A1" s="49" t="s">
        <v>0</v>
      </c>
      <c r="B1" s="50"/>
      <c r="C1" s="50"/>
      <c r="D1" s="50"/>
      <c r="H1"/>
      <c r="I1"/>
      <c r="M1" s="50"/>
      <c r="N1" s="50"/>
      <c r="O1"/>
    </row>
    <row r="2" spans="1:21" s="18" customFormat="1" ht="20.100000000000001">
      <c r="H2"/>
      <c r="I2"/>
      <c r="L2"/>
      <c r="M2"/>
      <c r="N2"/>
      <c r="O2"/>
    </row>
    <row r="3" spans="1:21" s="18" customFormat="1" ht="20.100000000000001">
      <c r="A3" s="238" t="str">
        <f>"ANNUAL RETURN INFORMATION REQUIREMENTS "&amp;_reportyear</f>
        <v>ANNUAL RETURN INFORMATION REQUIREMENTS 2023-24</v>
      </c>
      <c r="B3" s="20"/>
      <c r="C3" s="20"/>
      <c r="D3" s="20"/>
      <c r="E3" s="21"/>
      <c r="F3" s="21"/>
      <c r="G3" s="21"/>
      <c r="H3" s="21"/>
      <c r="I3" s="21"/>
      <c r="J3" s="21"/>
      <c r="K3" s="21"/>
      <c r="L3"/>
      <c r="M3"/>
      <c r="N3"/>
      <c r="O3"/>
    </row>
    <row r="4" spans="1:21" s="1" customFormat="1" ht="15" customHeight="1">
      <c r="A4" s="72"/>
      <c r="B4" s="23"/>
      <c r="C4" s="23"/>
      <c r="D4" s="23"/>
      <c r="H4"/>
      <c r="I4"/>
      <c r="L4"/>
      <c r="M4"/>
      <c r="N4"/>
      <c r="O4"/>
    </row>
    <row r="5" spans="1:21" ht="15.95" thickBot="1">
      <c r="A5" s="22"/>
      <c r="B5" s="23"/>
      <c r="C5" s="23"/>
      <c r="D5" s="23"/>
      <c r="E5" s="1"/>
      <c r="F5" s="1"/>
      <c r="G5" s="1"/>
      <c r="J5" s="1"/>
      <c r="K5" s="1"/>
    </row>
    <row r="6" spans="1:21" ht="20.100000000000001">
      <c r="A6" s="51" t="s">
        <v>1</v>
      </c>
      <c r="B6" s="24"/>
      <c r="G6" s="1"/>
      <c r="J6" s="1"/>
      <c r="K6" s="1"/>
    </row>
    <row r="7" spans="1:21" ht="20.45" thickBot="1">
      <c r="A7" s="25" t="s">
        <v>261</v>
      </c>
      <c r="B7" s="26"/>
      <c r="C7" s="62"/>
      <c r="D7" s="62"/>
      <c r="E7" s="176"/>
      <c r="G7" s="1"/>
      <c r="J7" s="1"/>
      <c r="K7" s="1"/>
    </row>
    <row r="8" spans="1:21">
      <c r="A8" s="1"/>
      <c r="B8" s="1"/>
      <c r="C8" s="1"/>
      <c r="D8" s="1"/>
      <c r="E8" s="1"/>
      <c r="F8" s="1"/>
      <c r="G8" s="1"/>
      <c r="J8" s="1"/>
      <c r="K8" s="1"/>
    </row>
    <row r="9" spans="1:21" ht="12.95" thickBot="1">
      <c r="A9" s="1"/>
      <c r="B9" s="1"/>
      <c r="C9" s="1"/>
      <c r="D9" s="1"/>
      <c r="E9" s="1"/>
      <c r="F9" s="1"/>
      <c r="G9" s="1"/>
      <c r="J9" s="1"/>
    </row>
    <row r="10" spans="1:21" ht="15.6" customHeight="1">
      <c r="A10" s="28" t="s">
        <v>3</v>
      </c>
      <c r="B10" s="29" t="s">
        <v>4</v>
      </c>
      <c r="C10" s="30" t="s">
        <v>5</v>
      </c>
      <c r="D10" s="31" t="s">
        <v>6</v>
      </c>
      <c r="E10" s="78"/>
      <c r="F10" s="1323" t="s">
        <v>7</v>
      </c>
      <c r="G10" s="1324"/>
      <c r="H10" s="797"/>
      <c r="I10" s="1323" t="s">
        <v>8</v>
      </c>
      <c r="J10" s="1324"/>
      <c r="K10" s="32"/>
    </row>
    <row r="11" spans="1:21" ht="15.6">
      <c r="A11" s="33" t="s">
        <v>9</v>
      </c>
      <c r="B11" s="34"/>
      <c r="C11" s="35"/>
      <c r="D11" s="36" t="s">
        <v>10</v>
      </c>
      <c r="E11" s="32"/>
      <c r="F11" s="1325"/>
      <c r="G11" s="1326"/>
      <c r="H11" s="797"/>
      <c r="I11" s="1325"/>
      <c r="J11" s="1326"/>
      <c r="K11" s="83"/>
      <c r="P11" s="324"/>
    </row>
    <row r="12" spans="1:21" ht="15.95" thickBot="1">
      <c r="A12" s="37"/>
      <c r="B12" s="38"/>
      <c r="C12" s="39"/>
      <c r="D12" s="40"/>
      <c r="E12" s="32"/>
      <c r="F12" s="48" t="str">
        <f>_reportyear</f>
        <v>2023-24</v>
      </c>
      <c r="G12" s="793" t="s">
        <v>11</v>
      </c>
      <c r="H12" s="193"/>
      <c r="I12" s="48" t="str">
        <f>_reportyearplus1</f>
        <v>2024-25</v>
      </c>
      <c r="J12" s="793" t="s">
        <v>11</v>
      </c>
      <c r="K12" s="32"/>
      <c r="P12" s="176"/>
    </row>
    <row r="13" spans="1:21">
      <c r="A13" s="61"/>
      <c r="B13" s="1"/>
      <c r="C13" s="61"/>
      <c r="D13" s="61"/>
      <c r="E13" s="1"/>
      <c r="H13" s="1"/>
      <c r="I13" s="1"/>
      <c r="J13" s="1"/>
      <c r="K13" s="1"/>
    </row>
    <row r="14" spans="1:21" ht="12.95" thickBot="1">
      <c r="A14" s="61"/>
      <c r="B14" s="1"/>
      <c r="C14" s="61"/>
      <c r="D14" s="61"/>
      <c r="E14" s="1"/>
      <c r="F14" s="1"/>
      <c r="G14" s="1"/>
      <c r="H14" s="1"/>
      <c r="I14" s="1"/>
      <c r="J14" s="1"/>
    </row>
    <row r="15" spans="1:21" s="42" customFormat="1" ht="15.95" thickBot="1">
      <c r="A15" s="320"/>
      <c r="B15" s="321" t="s">
        <v>262</v>
      </c>
      <c r="C15" s="322"/>
      <c r="D15" s="323"/>
      <c r="E15" s="2"/>
      <c r="F15"/>
      <c r="G15"/>
      <c r="H15" s="1"/>
      <c r="I15"/>
      <c r="J15"/>
      <c r="L15"/>
      <c r="M15"/>
      <c r="N15"/>
      <c r="O15"/>
      <c r="P15"/>
      <c r="U15"/>
    </row>
    <row r="16" spans="1:21">
      <c r="A16" s="435" t="s">
        <v>263</v>
      </c>
      <c r="B16" s="663" t="s">
        <v>264</v>
      </c>
      <c r="C16" s="315" t="s">
        <v>21</v>
      </c>
      <c r="D16" s="332" t="s">
        <v>27</v>
      </c>
      <c r="F16" s="152">
        <f>'B5'!F21+'B6'!J20+'B6'!J52</f>
        <v>539</v>
      </c>
      <c r="G16" s="327" t="s">
        <v>34</v>
      </c>
      <c r="I16" s="152">
        <f>'B5'!I21+'B6'!M20+'B6'!M52</f>
        <v>547</v>
      </c>
      <c r="J16" s="327" t="s">
        <v>265</v>
      </c>
      <c r="P16" s="176"/>
    </row>
    <row r="17" spans="1:21">
      <c r="A17" s="435" t="s">
        <v>266</v>
      </c>
      <c r="B17" s="314" t="s">
        <v>267</v>
      </c>
      <c r="C17" s="315" t="s">
        <v>21</v>
      </c>
      <c r="D17" s="332" t="s">
        <v>27</v>
      </c>
      <c r="F17" s="645">
        <f>'B5'!F22+'B6'!J39+'B6'!J53</f>
        <v>0</v>
      </c>
      <c r="G17" s="329" t="s">
        <v>34</v>
      </c>
      <c r="I17" s="645">
        <f>'B5'!I22+'B6'!M39+'B6'!M53</f>
        <v>0</v>
      </c>
      <c r="J17" s="329" t="s">
        <v>265</v>
      </c>
      <c r="P17" s="176"/>
    </row>
    <row r="18" spans="1:21" ht="12.95" thickBot="1">
      <c r="A18" s="436" t="s">
        <v>268</v>
      </c>
      <c r="B18" s="318" t="s">
        <v>269</v>
      </c>
      <c r="C18" s="319" t="s">
        <v>21</v>
      </c>
      <c r="D18" s="333" t="s">
        <v>16</v>
      </c>
      <c r="F18" s="330">
        <v>539</v>
      </c>
      <c r="G18" s="180" t="s">
        <v>81</v>
      </c>
      <c r="H18" s="1"/>
      <c r="I18" s="330">
        <v>547</v>
      </c>
      <c r="J18" s="180" t="s">
        <v>265</v>
      </c>
    </row>
    <row r="19" spans="1:21" ht="12.95" thickBot="1">
      <c r="A19" s="61"/>
      <c r="B19" s="325"/>
      <c r="C19" s="61"/>
      <c r="D19" s="61"/>
      <c r="E19" s="1"/>
      <c r="F19" s="1"/>
      <c r="G19" s="1"/>
      <c r="I19" s="1"/>
      <c r="J19" s="1"/>
      <c r="K19" s="1"/>
    </row>
    <row r="20" spans="1:21" s="42" customFormat="1" ht="15.95" thickBot="1">
      <c r="A20" s="44"/>
      <c r="B20" s="45" t="s">
        <v>270</v>
      </c>
      <c r="C20" s="46"/>
      <c r="D20" s="47"/>
      <c r="E20" s="2"/>
      <c r="F20" s="2"/>
      <c r="G20" s="2"/>
      <c r="H20"/>
      <c r="I20" s="2"/>
      <c r="J20" s="2"/>
      <c r="L20"/>
      <c r="M20"/>
      <c r="N20"/>
      <c r="O20"/>
      <c r="P20"/>
      <c r="U20"/>
    </row>
    <row r="21" spans="1:21" s="1" customFormat="1">
      <c r="A21" s="434" t="s">
        <v>271</v>
      </c>
      <c r="B21" s="316" t="s">
        <v>272</v>
      </c>
      <c r="C21" s="317" t="s">
        <v>21</v>
      </c>
      <c r="D21" s="331" t="s">
        <v>16</v>
      </c>
      <c r="F21" s="152">
        <f>F27+F22</f>
        <v>290325</v>
      </c>
      <c r="G21" s="82" t="s">
        <v>34</v>
      </c>
      <c r="H21"/>
      <c r="I21" s="152">
        <f>I27+I22</f>
        <v>307340</v>
      </c>
      <c r="J21" s="82" t="s">
        <v>265</v>
      </c>
      <c r="L21"/>
      <c r="M21"/>
      <c r="N21"/>
      <c r="O21"/>
      <c r="P21"/>
      <c r="U21"/>
    </row>
    <row r="22" spans="1:21" s="1" customFormat="1">
      <c r="A22" s="435" t="s">
        <v>273</v>
      </c>
      <c r="B22" s="314" t="s">
        <v>274</v>
      </c>
      <c r="C22" s="315" t="s">
        <v>21</v>
      </c>
      <c r="D22" s="332" t="s">
        <v>16</v>
      </c>
      <c r="F22" s="645">
        <f>F23+F24</f>
        <v>288689</v>
      </c>
      <c r="G22" s="126" t="s">
        <v>34</v>
      </c>
      <c r="I22" s="645">
        <f>I23+I24</f>
        <v>299799</v>
      </c>
      <c r="J22" s="126" t="s">
        <v>265</v>
      </c>
      <c r="K22"/>
      <c r="L22"/>
      <c r="M22"/>
      <c r="N22"/>
      <c r="O22"/>
    </row>
    <row r="23" spans="1:21" s="1" customFormat="1">
      <c r="A23" s="435" t="s">
        <v>275</v>
      </c>
      <c r="B23" s="314" t="s">
        <v>276</v>
      </c>
      <c r="C23" s="315" t="s">
        <v>21</v>
      </c>
      <c r="D23" s="332" t="s">
        <v>16</v>
      </c>
      <c r="F23" s="151">
        <v>272736</v>
      </c>
      <c r="G23" s="126" t="s">
        <v>34</v>
      </c>
      <c r="I23" s="151">
        <v>269494</v>
      </c>
      <c r="J23" s="126" t="s">
        <v>265</v>
      </c>
      <c r="K23"/>
      <c r="L23"/>
      <c r="M23"/>
      <c r="N23"/>
      <c r="O23"/>
    </row>
    <row r="24" spans="1:21" s="1" customFormat="1">
      <c r="A24" s="435" t="s">
        <v>277</v>
      </c>
      <c r="B24" s="314" t="s">
        <v>278</v>
      </c>
      <c r="C24" s="315" t="s">
        <v>21</v>
      </c>
      <c r="D24" s="332" t="s">
        <v>16</v>
      </c>
      <c r="E24" s="61"/>
      <c r="F24" s="102">
        <v>15953</v>
      </c>
      <c r="G24" s="80" t="s">
        <v>34</v>
      </c>
      <c r="I24" s="102">
        <v>30305</v>
      </c>
      <c r="J24" s="80" t="s">
        <v>265</v>
      </c>
      <c r="K24"/>
      <c r="L24"/>
      <c r="M24"/>
      <c r="N24"/>
      <c r="O24"/>
    </row>
    <row r="25" spans="1:21" s="1" customFormat="1">
      <c r="A25" s="435" t="s">
        <v>279</v>
      </c>
      <c r="B25" s="314" t="s">
        <v>280</v>
      </c>
      <c r="C25" s="315" t="s">
        <v>281</v>
      </c>
      <c r="D25" s="332" t="s">
        <v>16</v>
      </c>
      <c r="F25" s="102">
        <v>7</v>
      </c>
      <c r="G25" s="80" t="s">
        <v>34</v>
      </c>
      <c r="I25" s="102">
        <v>34</v>
      </c>
      <c r="J25" s="80" t="s">
        <v>265</v>
      </c>
      <c r="K25"/>
      <c r="L25"/>
      <c r="M25"/>
      <c r="N25"/>
      <c r="O25"/>
    </row>
    <row r="26" spans="1:21" s="1" customFormat="1">
      <c r="A26" s="435" t="s">
        <v>282</v>
      </c>
      <c r="B26" s="314" t="s">
        <v>283</v>
      </c>
      <c r="C26" s="315" t="s">
        <v>21</v>
      </c>
      <c r="D26" s="332" t="s">
        <v>16</v>
      </c>
      <c r="F26" s="102">
        <v>2</v>
      </c>
      <c r="G26" s="80" t="s">
        <v>34</v>
      </c>
      <c r="H26"/>
      <c r="I26" s="102">
        <v>30</v>
      </c>
      <c r="J26" s="80" t="s">
        <v>265</v>
      </c>
      <c r="L26"/>
      <c r="M26"/>
      <c r="N26"/>
      <c r="O26"/>
      <c r="P26"/>
      <c r="U26"/>
    </row>
    <row r="27" spans="1:21" s="1" customFormat="1">
      <c r="A27" s="435" t="s">
        <v>284</v>
      </c>
      <c r="B27" s="314" t="s">
        <v>285</v>
      </c>
      <c r="C27" s="315" t="s">
        <v>21</v>
      </c>
      <c r="D27" s="332" t="s">
        <v>16</v>
      </c>
      <c r="F27" s="102">
        <v>1636</v>
      </c>
      <c r="G27" s="80" t="s">
        <v>34</v>
      </c>
      <c r="H27"/>
      <c r="I27" s="102">
        <v>7541</v>
      </c>
      <c r="J27" s="80" t="s">
        <v>265</v>
      </c>
      <c r="L27"/>
      <c r="M27"/>
      <c r="N27"/>
      <c r="O27"/>
      <c r="P27"/>
      <c r="U27"/>
    </row>
    <row r="28" spans="1:21" s="1" customFormat="1" ht="12.95" thickBot="1">
      <c r="A28" s="436" t="s">
        <v>286</v>
      </c>
      <c r="B28" s="318" t="s">
        <v>287</v>
      </c>
      <c r="C28" s="319" t="s">
        <v>21</v>
      </c>
      <c r="D28" s="333" t="s">
        <v>16</v>
      </c>
      <c r="F28" s="103">
        <v>101662</v>
      </c>
      <c r="G28" s="81" t="s">
        <v>34</v>
      </c>
      <c r="I28" s="103">
        <v>97638</v>
      </c>
      <c r="J28" s="81" t="s">
        <v>265</v>
      </c>
      <c r="K28"/>
      <c r="L28"/>
      <c r="M28"/>
      <c r="N28"/>
      <c r="O28"/>
    </row>
    <row r="29" spans="1:21" s="1" customFormat="1">
      <c r="A29" s="61"/>
      <c r="C29" s="61"/>
      <c r="D29" s="61"/>
      <c r="E29" s="61"/>
      <c r="F29" s="61"/>
      <c r="G29" s="61"/>
      <c r="H29" s="61"/>
      <c r="I29" s="61"/>
      <c r="J29" s="61"/>
      <c r="K29"/>
      <c r="L29"/>
      <c r="M29"/>
      <c r="N29"/>
      <c r="O29"/>
    </row>
    <row r="30" spans="1:21" s="1" customFormat="1">
      <c r="A30" s="61"/>
      <c r="C30" s="61"/>
      <c r="D30" s="61"/>
      <c r="E30" s="61"/>
      <c r="F30"/>
      <c r="G30"/>
      <c r="H30"/>
      <c r="I30"/>
      <c r="J30"/>
      <c r="K30" s="61"/>
      <c r="L30"/>
      <c r="M30"/>
      <c r="N30"/>
      <c r="O30"/>
      <c r="P30"/>
      <c r="Q30"/>
      <c r="R30"/>
      <c r="S30"/>
    </row>
    <row r="31" spans="1:21" ht="12.95" thickBot="1"/>
    <row r="32" spans="1:21" s="1" customFormat="1">
      <c r="A32" s="13" t="s">
        <v>145</v>
      </c>
      <c r="B32" s="1268"/>
      <c r="C32" s="197" t="s">
        <v>40</v>
      </c>
      <c r="D32" s="3"/>
      <c r="E32" s="3"/>
      <c r="F32" s="14"/>
      <c r="G32"/>
      <c r="H32"/>
      <c r="I32"/>
      <c r="J32"/>
      <c r="K32"/>
      <c r="L32"/>
      <c r="M32"/>
      <c r="N32"/>
      <c r="O32"/>
      <c r="P32"/>
    </row>
    <row r="33" spans="1:6">
      <c r="A33" s="8"/>
      <c r="B33" s="1269"/>
      <c r="C33" s="1269"/>
      <c r="D33" s="1269"/>
      <c r="E33" s="1269"/>
      <c r="F33" s="15"/>
    </row>
    <row r="34" spans="1:6">
      <c r="A34" s="6" t="s">
        <v>41</v>
      </c>
      <c r="C34" s="207" t="s">
        <v>40</v>
      </c>
      <c r="D34" s="1269"/>
      <c r="E34" s="1269"/>
      <c r="F34" s="15"/>
    </row>
    <row r="35" spans="1:6">
      <c r="A35" s="8"/>
      <c r="B35" s="1269"/>
      <c r="C35" s="1269"/>
      <c r="D35" s="1269"/>
      <c r="E35" s="1269"/>
      <c r="F35" s="15"/>
    </row>
    <row r="36" spans="1:6" ht="12.95" thickBot="1">
      <c r="A36" s="9" t="s">
        <v>42</v>
      </c>
      <c r="B36" s="10"/>
      <c r="C36" s="10" t="s">
        <v>288</v>
      </c>
      <c r="D36" s="10"/>
      <c r="E36" s="10"/>
      <c r="F36" s="16"/>
    </row>
    <row r="39" spans="1:6">
      <c r="A39" s="77"/>
    </row>
    <row r="40" spans="1:6">
      <c r="A40" s="77"/>
    </row>
    <row r="41" spans="1:6">
      <c r="A41" s="77"/>
    </row>
    <row r="42" spans="1:6">
      <c r="A42" s="77"/>
    </row>
    <row r="43" spans="1:6">
      <c r="A43" s="77"/>
    </row>
    <row r="44" spans="1:6">
      <c r="A44" s="77"/>
    </row>
    <row r="45" spans="1:6">
      <c r="A45" s="77"/>
    </row>
    <row r="46" spans="1:6">
      <c r="A46" s="77"/>
    </row>
    <row r="47" spans="1:6">
      <c r="A47" s="77"/>
    </row>
    <row r="48" spans="1:6">
      <c r="A48" s="77"/>
    </row>
    <row r="49" spans="1:1">
      <c r="A49" s="77"/>
    </row>
    <row r="50" spans="1:1">
      <c r="A50" s="77"/>
    </row>
    <row r="51" spans="1:1">
      <c r="A51" s="77"/>
    </row>
    <row r="52" spans="1:1">
      <c r="A52" s="77"/>
    </row>
    <row r="53" spans="1:1">
      <c r="A53" s="77"/>
    </row>
    <row r="54" spans="1:1">
      <c r="A54" s="77"/>
    </row>
    <row r="55" spans="1:1">
      <c r="A55" s="77"/>
    </row>
    <row r="56" spans="1:1">
      <c r="A56" s="77"/>
    </row>
    <row r="57" spans="1:1">
      <c r="A57" s="77"/>
    </row>
    <row r="58" spans="1:1">
      <c r="A58" s="77"/>
    </row>
    <row r="59" spans="1:1">
      <c r="A59" s="77"/>
    </row>
    <row r="60" spans="1:1">
      <c r="A60" s="77"/>
    </row>
    <row r="61" spans="1:1">
      <c r="A61" s="77"/>
    </row>
    <row r="62" spans="1:1">
      <c r="A62" s="77"/>
    </row>
    <row r="63" spans="1:1">
      <c r="A63" s="77"/>
    </row>
    <row r="64" spans="1:1">
      <c r="A64" s="77"/>
    </row>
    <row r="65" spans="1:1">
      <c r="A65" s="77"/>
    </row>
    <row r="66" spans="1:1">
      <c r="A66" s="77"/>
    </row>
    <row r="67" spans="1:1">
      <c r="A67" s="77"/>
    </row>
    <row r="68" spans="1:1">
      <c r="A68" s="77"/>
    </row>
    <row r="69" spans="1:1">
      <c r="A69" s="77"/>
    </row>
    <row r="70" spans="1:1">
      <c r="A70" s="77"/>
    </row>
    <row r="71" spans="1:1">
      <c r="A71" s="77"/>
    </row>
    <row r="72" spans="1:1">
      <c r="A72" s="77"/>
    </row>
    <row r="73" spans="1:1">
      <c r="A73" s="77"/>
    </row>
    <row r="74" spans="1:1">
      <c r="A74" s="77"/>
    </row>
    <row r="75" spans="1:1">
      <c r="A75" s="77"/>
    </row>
    <row r="76" spans="1:1">
      <c r="A76" s="77"/>
    </row>
    <row r="77" spans="1:1">
      <c r="A77" s="77"/>
    </row>
    <row r="78" spans="1:1">
      <c r="A78" s="77"/>
    </row>
    <row r="79" spans="1:1">
      <c r="A79" s="77"/>
    </row>
    <row r="80" spans="1:1">
      <c r="A80" s="77"/>
    </row>
    <row r="81" spans="1:1">
      <c r="A81" s="77"/>
    </row>
    <row r="82" spans="1:1">
      <c r="A82" s="77"/>
    </row>
    <row r="83" spans="1:1">
      <c r="A83" s="77"/>
    </row>
    <row r="84" spans="1:1">
      <c r="A84" s="77"/>
    </row>
    <row r="85" spans="1:1">
      <c r="A85" s="77"/>
    </row>
    <row r="86" spans="1:1">
      <c r="A86" s="77"/>
    </row>
    <row r="87" spans="1:1">
      <c r="A87" s="77"/>
    </row>
    <row r="88" spans="1:1">
      <c r="A88" s="77"/>
    </row>
    <row r="89" spans="1:1">
      <c r="A89" s="77"/>
    </row>
    <row r="90" spans="1:1">
      <c r="A90" s="77"/>
    </row>
    <row r="91" spans="1:1">
      <c r="A91" s="77"/>
    </row>
    <row r="92" spans="1:1">
      <c r="A92" s="77"/>
    </row>
    <row r="93" spans="1:1">
      <c r="A93" s="77"/>
    </row>
    <row r="94" spans="1:1">
      <c r="A94" s="77"/>
    </row>
    <row r="95" spans="1:1">
      <c r="A95" s="77"/>
    </row>
    <row r="96" spans="1:1">
      <c r="A96" s="77"/>
    </row>
    <row r="97" spans="1:1">
      <c r="A97" s="77"/>
    </row>
    <row r="98" spans="1:1">
      <c r="A98" s="77"/>
    </row>
    <row r="99" spans="1:1">
      <c r="A99" s="77"/>
    </row>
    <row r="100" spans="1:1">
      <c r="A100" s="77"/>
    </row>
    <row r="101" spans="1:1">
      <c r="A101" s="77"/>
    </row>
    <row r="102" spans="1:1">
      <c r="A102" s="77"/>
    </row>
    <row r="103" spans="1:1">
      <c r="A103" s="77"/>
    </row>
    <row r="104" spans="1:1">
      <c r="A104" s="77"/>
    </row>
    <row r="105" spans="1:1">
      <c r="A105" s="77"/>
    </row>
    <row r="106" spans="1:1">
      <c r="A106" s="77"/>
    </row>
    <row r="107" spans="1:1">
      <c r="A107" s="77"/>
    </row>
    <row r="108" spans="1:1">
      <c r="A108" s="77"/>
    </row>
    <row r="109" spans="1:1">
      <c r="A109" s="77"/>
    </row>
    <row r="110" spans="1:1">
      <c r="A110" s="77"/>
    </row>
    <row r="111" spans="1:1">
      <c r="A111" s="77"/>
    </row>
    <row r="112" spans="1:1">
      <c r="A112" s="77"/>
    </row>
    <row r="113" spans="1:1">
      <c r="A113" s="77"/>
    </row>
    <row r="114" spans="1:1">
      <c r="A114" s="77"/>
    </row>
    <row r="115" spans="1:1">
      <c r="A115" s="77"/>
    </row>
    <row r="116" spans="1:1">
      <c r="A116" s="77"/>
    </row>
    <row r="117" spans="1:1">
      <c r="A117" s="77"/>
    </row>
    <row r="118" spans="1:1">
      <c r="A118" s="77"/>
    </row>
    <row r="119" spans="1:1">
      <c r="A119" s="77"/>
    </row>
    <row r="120" spans="1:1">
      <c r="A120" s="77"/>
    </row>
    <row r="121" spans="1:1">
      <c r="A121" s="77"/>
    </row>
    <row r="122" spans="1:1">
      <c r="A122" s="77"/>
    </row>
    <row r="123" spans="1:1">
      <c r="A123" s="77"/>
    </row>
    <row r="124" spans="1:1">
      <c r="A124" s="77"/>
    </row>
    <row r="125" spans="1:1">
      <c r="A125" s="77"/>
    </row>
    <row r="126" spans="1:1">
      <c r="A126" s="77"/>
    </row>
    <row r="127" spans="1:1">
      <c r="A127" s="77"/>
    </row>
    <row r="128" spans="1:1">
      <c r="A128" s="77"/>
    </row>
    <row r="129" spans="1:1">
      <c r="A129" s="77"/>
    </row>
    <row r="130" spans="1:1">
      <c r="A130" s="77"/>
    </row>
    <row r="131" spans="1:1">
      <c r="A131" s="77"/>
    </row>
    <row r="132" spans="1:1">
      <c r="A132" s="77"/>
    </row>
    <row r="133" spans="1:1">
      <c r="A133" s="77"/>
    </row>
    <row r="134" spans="1:1">
      <c r="A134" s="77"/>
    </row>
    <row r="135" spans="1:1">
      <c r="A135" s="77"/>
    </row>
    <row r="136" spans="1:1">
      <c r="A136" s="77"/>
    </row>
    <row r="137" spans="1:1">
      <c r="A137" s="77"/>
    </row>
    <row r="138" spans="1:1">
      <c r="A138" s="77"/>
    </row>
    <row r="139" spans="1:1">
      <c r="A139" s="77"/>
    </row>
    <row r="140" spans="1:1">
      <c r="A140" s="77"/>
    </row>
    <row r="141" spans="1:1">
      <c r="A141" s="77"/>
    </row>
    <row r="142" spans="1:1">
      <c r="A142" s="77"/>
    </row>
    <row r="143" spans="1:1">
      <c r="A143" s="77"/>
    </row>
    <row r="144" spans="1:1">
      <c r="A144" s="77"/>
    </row>
    <row r="145" spans="1:1">
      <c r="A145" s="77"/>
    </row>
    <row r="146" spans="1:1">
      <c r="A146" s="77"/>
    </row>
    <row r="147" spans="1:1">
      <c r="A147" s="77"/>
    </row>
    <row r="148" spans="1:1">
      <c r="A148" s="77"/>
    </row>
    <row r="149" spans="1:1">
      <c r="A149" s="77"/>
    </row>
    <row r="150" spans="1:1">
      <c r="A150" s="77"/>
    </row>
    <row r="151" spans="1:1">
      <c r="A151" s="77"/>
    </row>
    <row r="152" spans="1:1">
      <c r="A152" s="77"/>
    </row>
    <row r="153" spans="1:1">
      <c r="A153" s="77"/>
    </row>
    <row r="154" spans="1:1">
      <c r="A154" s="77"/>
    </row>
    <row r="155" spans="1:1">
      <c r="A155" s="77"/>
    </row>
    <row r="156" spans="1:1">
      <c r="A156" s="77"/>
    </row>
    <row r="157" spans="1:1">
      <c r="A157" s="77"/>
    </row>
    <row r="158" spans="1:1">
      <c r="A158" s="77"/>
    </row>
    <row r="159" spans="1:1">
      <c r="A159" s="77"/>
    </row>
    <row r="160" spans="1:1">
      <c r="A160" s="77"/>
    </row>
    <row r="161" spans="1:1">
      <c r="A161" s="77"/>
    </row>
    <row r="162" spans="1:1">
      <c r="A162" s="77"/>
    </row>
    <row r="163" spans="1:1">
      <c r="A163" s="77"/>
    </row>
    <row r="164" spans="1:1">
      <c r="A164" s="77"/>
    </row>
    <row r="165" spans="1:1">
      <c r="A165" s="77"/>
    </row>
    <row r="166" spans="1:1">
      <c r="A166" s="77"/>
    </row>
    <row r="167" spans="1:1">
      <c r="A167" s="77"/>
    </row>
  </sheetData>
  <mergeCells count="2">
    <mergeCell ref="F10:G11"/>
    <mergeCell ref="I10:J11"/>
  </mergeCells>
  <phoneticPr fontId="0" type="noConversion"/>
  <conditionalFormatting sqref="L1:M1048576">
    <cfRule type="containsText" dxfId="2" priority="13" operator="containsText" text="Y">
      <formula>NOT(ISERROR(SEARCH("Y",L1)))</formula>
    </cfRule>
    <cfRule type="containsText" dxfId="1" priority="14" operator="containsText" text="n">
      <formula>NOT(ISERROR(SEARCH("n",L1)))</formula>
    </cfRule>
  </conditionalFormatting>
  <pageMargins left="0.74803149606299213" right="0.74803149606299213" top="0.98425196850393704" bottom="0.98425196850393704" header="0.51181102362204722" footer="0.51181102362204722"/>
  <pageSetup paperSize="8" orientation="landscape" r:id="rId1"/>
  <headerFooter alignWithMargins="0">
    <oddFooter>&amp;R Date: Feb 2010
Revision 13.0&amp;L&amp;1#&amp;"Arial"&amp;11&amp;K000000SW Private Commercial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DBD6-252E-41D1-92B0-8080F3736A09}">
  <sheetPr>
    <pageSetUpPr fitToPage="1"/>
  </sheetPr>
  <dimension ref="A1:W75"/>
  <sheetViews>
    <sheetView zoomScaleNormal="100" zoomScalePageLayoutView="70" workbookViewId="0">
      <selection sqref="A1:XFD1048576"/>
    </sheetView>
  </sheetViews>
  <sheetFormatPr defaultColWidth="9.42578125" defaultRowHeight="12.6"/>
  <cols>
    <col min="1" max="1" width="10.42578125" style="77" customWidth="1"/>
    <col min="2" max="2" width="71.42578125" style="77" customWidth="1"/>
    <col min="3" max="3" width="12.5703125" style="77" customWidth="1"/>
    <col min="4" max="4" width="17.42578125" style="77" bestFit="1" customWidth="1"/>
    <col min="5" max="5" width="9.42578125" style="77" bestFit="1" customWidth="1"/>
    <col min="6" max="6" width="12.42578125" style="77" customWidth="1"/>
    <col min="7" max="7" width="5.42578125" style="77" customWidth="1"/>
    <col min="8" max="8" width="11.42578125" style="77" customWidth="1"/>
    <col min="9" max="9" width="12" style="77" customWidth="1"/>
    <col min="10" max="10" width="5" style="77" customWidth="1"/>
    <col min="11" max="11" width="8" style="77" customWidth="1"/>
    <col min="12" max="18" width="9.5703125" style="77" customWidth="1"/>
    <col min="19" max="16384" width="9.42578125" style="77"/>
  </cols>
  <sheetData>
    <row r="1" spans="1:23" s="18" customFormat="1" ht="20.100000000000001">
      <c r="A1" s="49" t="s">
        <v>0</v>
      </c>
      <c r="B1" s="49"/>
      <c r="C1" s="49"/>
      <c r="D1" s="49"/>
      <c r="H1" s="77"/>
      <c r="I1" s="77"/>
      <c r="M1" s="77"/>
    </row>
    <row r="2" spans="1:23" s="18" customFormat="1" ht="20.100000000000001">
      <c r="H2" s="77"/>
      <c r="I2" s="77"/>
      <c r="L2" s="61"/>
      <c r="M2" s="77"/>
      <c r="N2" s="61"/>
      <c r="O2" s="61"/>
    </row>
    <row r="3" spans="1:23" s="18" customFormat="1" ht="20.100000000000001">
      <c r="A3" s="238" t="str">
        <f>"ANNUAL RETURN INFORMATION REQUIREMENTS "&amp;_reportyear</f>
        <v>ANNUAL RETURN INFORMATION REQUIREMENTS 2023-24</v>
      </c>
      <c r="B3" s="19"/>
      <c r="C3" s="19"/>
      <c r="D3" s="19"/>
      <c r="E3" s="21"/>
      <c r="F3" s="21"/>
      <c r="G3" s="21"/>
      <c r="H3" s="21"/>
      <c r="I3" s="21"/>
      <c r="J3" s="21"/>
      <c r="K3" s="21"/>
      <c r="L3" s="61"/>
      <c r="M3" s="77"/>
      <c r="N3" s="61"/>
      <c r="O3" s="61"/>
    </row>
    <row r="4" spans="1:23" s="18" customFormat="1" ht="20.100000000000001">
      <c r="A4" s="49"/>
      <c r="B4" s="49"/>
      <c r="C4" s="49"/>
      <c r="D4" s="49"/>
      <c r="L4" s="61"/>
      <c r="M4" s="77"/>
      <c r="N4" s="61"/>
      <c r="O4" s="61"/>
    </row>
    <row r="5" spans="1:23" s="18" customFormat="1" ht="20.45" thickBot="1">
      <c r="A5" s="49"/>
      <c r="B5" s="49"/>
      <c r="C5" s="49"/>
      <c r="D5" s="49"/>
      <c r="H5" s="77"/>
      <c r="I5" s="77"/>
      <c r="L5" s="61"/>
      <c r="M5" s="77"/>
      <c r="N5" s="61"/>
      <c r="O5" s="61"/>
    </row>
    <row r="6" spans="1:23" s="1" customFormat="1" ht="20.100000000000001">
      <c r="A6" s="51" t="s">
        <v>1</v>
      </c>
      <c r="B6" s="24"/>
      <c r="C6" s="32"/>
      <c r="D6" s="32"/>
      <c r="H6" s="77"/>
      <c r="I6" s="77"/>
      <c r="L6" s="61"/>
      <c r="M6" s="77"/>
      <c r="N6" s="61"/>
      <c r="O6" s="61"/>
    </row>
    <row r="7" spans="1:23" ht="20.45" thickBot="1">
      <c r="A7" s="25" t="s">
        <v>289</v>
      </c>
      <c r="B7" s="26"/>
      <c r="C7" s="32"/>
      <c r="D7" s="32"/>
      <c r="F7" s="1"/>
      <c r="G7" s="1"/>
      <c r="J7" s="1"/>
      <c r="K7" s="1"/>
      <c r="L7" s="61"/>
      <c r="N7" s="61"/>
      <c r="O7" s="61"/>
    </row>
    <row r="8" spans="1:23">
      <c r="A8" s="1"/>
      <c r="B8" s="1"/>
      <c r="C8" s="1"/>
      <c r="D8" s="1"/>
      <c r="E8" s="1"/>
      <c r="F8" s="1"/>
      <c r="G8" s="1"/>
      <c r="J8" s="1"/>
      <c r="K8" s="1"/>
      <c r="L8" s="61"/>
      <c r="N8" s="61"/>
      <c r="O8" s="61"/>
    </row>
    <row r="9" spans="1:23" ht="12.95" thickBot="1">
      <c r="A9" s="1"/>
      <c r="B9" s="1"/>
      <c r="C9" s="1"/>
      <c r="D9" s="1"/>
      <c r="E9" s="1"/>
      <c r="F9" s="1"/>
      <c r="G9" s="1"/>
      <c r="J9" s="1"/>
      <c r="L9" s="61"/>
      <c r="N9" s="61"/>
      <c r="O9" s="61"/>
    </row>
    <row r="10" spans="1:23" ht="19.350000000000001" customHeight="1">
      <c r="A10" s="757" t="s">
        <v>3</v>
      </c>
      <c r="B10" s="759" t="s">
        <v>4</v>
      </c>
      <c r="C10" s="759" t="s">
        <v>5</v>
      </c>
      <c r="D10" s="264" t="s">
        <v>6</v>
      </c>
      <c r="E10" s="32"/>
      <c r="F10" s="1323" t="s">
        <v>7</v>
      </c>
      <c r="G10" s="1324"/>
      <c r="H10" s="797"/>
      <c r="I10" s="1323" t="s">
        <v>8</v>
      </c>
      <c r="J10" s="1324"/>
      <c r="K10" s="32"/>
      <c r="L10" s="61"/>
      <c r="N10" s="61"/>
      <c r="O10" s="61"/>
      <c r="U10" s="174"/>
    </row>
    <row r="11" spans="1:23" ht="16.5" customHeight="1">
      <c r="A11" s="758" t="s">
        <v>9</v>
      </c>
      <c r="B11" s="760"/>
      <c r="C11" s="760"/>
      <c r="D11" s="265" t="s">
        <v>10</v>
      </c>
      <c r="E11" s="32"/>
      <c r="F11" s="1325"/>
      <c r="G11" s="1326"/>
      <c r="H11" s="797"/>
      <c r="I11" s="1325"/>
      <c r="J11" s="1326"/>
      <c r="K11" s="687"/>
      <c r="L11" s="61"/>
      <c r="N11" s="61"/>
      <c r="O11" s="61"/>
    </row>
    <row r="12" spans="1:23" ht="15.95" thickBot="1">
      <c r="A12" s="756"/>
      <c r="B12" s="761"/>
      <c r="C12" s="761"/>
      <c r="D12" s="266"/>
      <c r="E12" s="32"/>
      <c r="F12" s="48" t="str">
        <f>_reportyear</f>
        <v>2023-24</v>
      </c>
      <c r="G12" s="793" t="s">
        <v>11</v>
      </c>
      <c r="H12" s="193"/>
      <c r="I12" s="48" t="str">
        <f>_reportyearplus1</f>
        <v>2024-25</v>
      </c>
      <c r="J12" s="793" t="s">
        <v>11</v>
      </c>
      <c r="K12" s="41"/>
      <c r="L12" s="61"/>
      <c r="N12" s="61"/>
      <c r="O12" s="61"/>
    </row>
    <row r="13" spans="1:23" ht="12.95" thickBot="1">
      <c r="A13" s="61"/>
      <c r="B13" s="1"/>
      <c r="C13" s="61"/>
      <c r="D13" s="61"/>
      <c r="E13" s="1"/>
      <c r="H13" s="1"/>
      <c r="I13" s="1"/>
      <c r="J13" s="1"/>
      <c r="L13" s="61"/>
      <c r="N13" s="61"/>
      <c r="O13" s="61"/>
    </row>
    <row r="14" spans="1:23" s="42" customFormat="1" ht="15.95" thickBot="1">
      <c r="A14" s="44"/>
      <c r="B14" s="45" t="s">
        <v>290</v>
      </c>
      <c r="C14" s="46"/>
      <c r="D14" s="47"/>
      <c r="E14" s="2"/>
      <c r="F14" s="2"/>
      <c r="G14" s="2"/>
      <c r="H14" s="2"/>
      <c r="I14" s="77"/>
      <c r="J14" s="77"/>
      <c r="K14" s="41"/>
      <c r="L14" s="61"/>
      <c r="M14" s="77"/>
      <c r="N14" s="61"/>
      <c r="O14" s="61"/>
      <c r="W14" s="77"/>
    </row>
    <row r="15" spans="1:23">
      <c r="A15" s="155" t="s">
        <v>291</v>
      </c>
      <c r="B15" s="63" t="s">
        <v>292</v>
      </c>
      <c r="C15" s="114" t="s">
        <v>21</v>
      </c>
      <c r="D15" s="64" t="s">
        <v>293</v>
      </c>
      <c r="E15" s="1"/>
      <c r="F15" s="877">
        <f>F57</f>
        <v>86.626072530794175</v>
      </c>
      <c r="G15" s="177" t="s">
        <v>18</v>
      </c>
      <c r="H15" s="1"/>
      <c r="I15" s="877">
        <f>I57</f>
        <v>86.892778519063967</v>
      </c>
      <c r="J15" s="177" t="s">
        <v>265</v>
      </c>
      <c r="K15" s="41"/>
      <c r="L15" s="61"/>
      <c r="N15" s="61"/>
      <c r="O15" s="61"/>
    </row>
    <row r="16" spans="1:23">
      <c r="A16" s="263" t="s">
        <v>294</v>
      </c>
      <c r="B16" s="65" t="s">
        <v>295</v>
      </c>
      <c r="C16" s="119" t="s">
        <v>26</v>
      </c>
      <c r="D16" s="120" t="s">
        <v>27</v>
      </c>
      <c r="E16" s="1"/>
      <c r="F16" s="646">
        <f>F49/F48</f>
        <v>0.93873230918108141</v>
      </c>
      <c r="G16" s="178" t="s">
        <v>17</v>
      </c>
      <c r="H16" s="1"/>
      <c r="I16" s="646">
        <f>I49/I48</f>
        <v>0.93773077163777463</v>
      </c>
      <c r="J16" s="178" t="s">
        <v>265</v>
      </c>
      <c r="K16" s="41"/>
      <c r="L16" s="61"/>
      <c r="N16" s="61"/>
      <c r="O16" s="61"/>
    </row>
    <row r="17" spans="1:20">
      <c r="A17" s="263" t="s">
        <v>296</v>
      </c>
      <c r="B17" s="65" t="s">
        <v>297</v>
      </c>
      <c r="C17" s="119" t="s">
        <v>26</v>
      </c>
      <c r="D17" s="120" t="s">
        <v>27</v>
      </c>
      <c r="E17" s="1"/>
      <c r="F17" s="646">
        <f>F51/F50</f>
        <v>0.88392972101500811</v>
      </c>
      <c r="G17" s="178" t="s">
        <v>81</v>
      </c>
      <c r="H17" s="1"/>
      <c r="I17" s="646">
        <f>I51/I50</f>
        <v>0.91249999999999998</v>
      </c>
      <c r="J17" s="178" t="s">
        <v>265</v>
      </c>
      <c r="K17" s="41"/>
      <c r="L17" s="61"/>
      <c r="N17" s="61"/>
      <c r="O17" s="61"/>
    </row>
    <row r="18" spans="1:20">
      <c r="A18" s="263" t="s">
        <v>298</v>
      </c>
      <c r="B18" s="65" t="s">
        <v>299</v>
      </c>
      <c r="C18" s="119" t="s">
        <v>26</v>
      </c>
      <c r="D18" s="120" t="s">
        <v>27</v>
      </c>
      <c r="E18" s="1"/>
      <c r="F18" s="646">
        <f>F53/F52</f>
        <v>0.73111526408975391</v>
      </c>
      <c r="G18" s="178" t="s">
        <v>81</v>
      </c>
      <c r="H18" s="1"/>
      <c r="I18" s="646">
        <f>I53/I52</f>
        <v>0.76</v>
      </c>
      <c r="J18" s="178" t="s">
        <v>265</v>
      </c>
      <c r="K18" s="41"/>
      <c r="L18" s="61"/>
      <c r="N18" s="61"/>
      <c r="O18" s="61"/>
    </row>
    <row r="19" spans="1:20">
      <c r="A19" s="116" t="s">
        <v>300</v>
      </c>
      <c r="B19" s="65" t="s">
        <v>301</v>
      </c>
      <c r="C19" s="115" t="s">
        <v>21</v>
      </c>
      <c r="D19" s="66" t="s">
        <v>16</v>
      </c>
      <c r="E19" s="1"/>
      <c r="F19" s="291">
        <v>434</v>
      </c>
      <c r="G19" s="688" t="s">
        <v>34</v>
      </c>
      <c r="H19" s="1"/>
      <c r="I19" s="291">
        <v>530</v>
      </c>
      <c r="J19" s="179" t="s">
        <v>265</v>
      </c>
      <c r="K19" s="41"/>
      <c r="L19" s="61"/>
      <c r="N19" s="61"/>
      <c r="O19" s="61"/>
    </row>
    <row r="20" spans="1:20">
      <c r="A20" s="116" t="s">
        <v>302</v>
      </c>
      <c r="B20" s="65" t="s">
        <v>303</v>
      </c>
      <c r="C20" s="115" t="s">
        <v>21</v>
      </c>
      <c r="D20" s="66" t="s">
        <v>304</v>
      </c>
      <c r="E20" s="1"/>
      <c r="F20" s="388">
        <f>F45</f>
        <v>284808</v>
      </c>
      <c r="G20" s="179" t="s">
        <v>157</v>
      </c>
      <c r="H20" s="1"/>
      <c r="I20" s="388">
        <f>I45</f>
        <v>312000</v>
      </c>
      <c r="J20" s="179" t="s">
        <v>265</v>
      </c>
      <c r="K20" s="41"/>
      <c r="L20" s="61"/>
      <c r="N20" s="61"/>
      <c r="O20" s="61"/>
    </row>
    <row r="21" spans="1:20">
      <c r="A21" s="116" t="s">
        <v>305</v>
      </c>
      <c r="B21" s="65" t="s">
        <v>306</v>
      </c>
      <c r="C21" s="115" t="s">
        <v>21</v>
      </c>
      <c r="D21" s="66" t="s">
        <v>16</v>
      </c>
      <c r="E21" s="1"/>
      <c r="F21" s="291">
        <v>399</v>
      </c>
      <c r="G21" s="689" t="s">
        <v>34</v>
      </c>
      <c r="H21" s="1"/>
      <c r="I21" s="291">
        <v>387</v>
      </c>
      <c r="J21" s="386" t="s">
        <v>265</v>
      </c>
      <c r="K21" s="41"/>
      <c r="L21" s="61"/>
      <c r="N21" s="61"/>
      <c r="O21" s="61"/>
    </row>
    <row r="22" spans="1:20" ht="12.95" thickBot="1">
      <c r="A22" s="156" t="s">
        <v>307</v>
      </c>
      <c r="B22" s="127" t="s">
        <v>308</v>
      </c>
      <c r="C22" s="128" t="s">
        <v>21</v>
      </c>
      <c r="D22" s="67" t="s">
        <v>16</v>
      </c>
      <c r="E22" s="1"/>
      <c r="F22" s="292">
        <v>0</v>
      </c>
      <c r="G22" s="293" t="s">
        <v>34</v>
      </c>
      <c r="H22" s="1"/>
      <c r="I22" s="292">
        <v>0</v>
      </c>
      <c r="J22" s="387" t="s">
        <v>265</v>
      </c>
      <c r="K22" s="41"/>
      <c r="L22" s="61"/>
      <c r="N22" s="61"/>
      <c r="O22" s="61"/>
    </row>
    <row r="23" spans="1:20" s="1" customFormat="1" ht="12.95" thickBot="1">
      <c r="A23" s="61"/>
      <c r="C23" s="61"/>
      <c r="D23" s="61"/>
      <c r="E23" s="61"/>
      <c r="F23" s="61"/>
      <c r="G23" s="61"/>
      <c r="H23" s="77"/>
      <c r="I23" s="77"/>
      <c r="J23" s="77"/>
      <c r="K23" s="41"/>
      <c r="L23" s="61"/>
      <c r="M23" s="77"/>
      <c r="N23" s="61"/>
      <c r="O23" s="61"/>
      <c r="P23" s="77"/>
      <c r="T23" s="77"/>
    </row>
    <row r="24" spans="1:20" s="42" customFormat="1" ht="15.95" thickBot="1">
      <c r="A24" s="68"/>
      <c r="B24" s="69" t="s">
        <v>309</v>
      </c>
      <c r="C24" s="70"/>
      <c r="D24" s="71"/>
      <c r="E24" s="2"/>
      <c r="F24" s="2"/>
      <c r="G24" s="2"/>
      <c r="H24" s="77"/>
      <c r="I24" s="2"/>
      <c r="J24" s="2"/>
      <c r="K24" s="175"/>
      <c r="L24" s="61"/>
      <c r="M24" s="77"/>
      <c r="N24" s="61"/>
      <c r="O24" s="61"/>
      <c r="P24" s="77"/>
    </row>
    <row r="25" spans="1:20" s="1" customFormat="1" ht="25.5" thickBot="1">
      <c r="A25" s="751" t="s">
        <v>310</v>
      </c>
      <c r="B25" s="752" t="s">
        <v>311</v>
      </c>
      <c r="C25" s="753" t="s">
        <v>21</v>
      </c>
      <c r="D25" s="754" t="s">
        <v>16</v>
      </c>
      <c r="F25" s="880" t="s">
        <v>23</v>
      </c>
      <c r="G25" s="690" t="s">
        <v>229</v>
      </c>
      <c r="I25" s="880" t="s">
        <v>23</v>
      </c>
      <c r="J25" s="690" t="s">
        <v>229</v>
      </c>
      <c r="K25" s="41"/>
      <c r="L25" s="61"/>
      <c r="M25" s="77"/>
      <c r="N25" s="61"/>
      <c r="O25" s="61"/>
      <c r="P25" s="77"/>
      <c r="T25" s="77"/>
    </row>
    <row r="26" spans="1:20" s="1" customFormat="1" ht="12.95" thickBot="1">
      <c r="A26" s="61"/>
      <c r="C26" s="61"/>
      <c r="D26" s="61"/>
      <c r="E26" s="61"/>
      <c r="F26" s="77"/>
      <c r="G26" s="77"/>
      <c r="H26" s="77"/>
      <c r="I26" s="61"/>
      <c r="J26" s="61"/>
      <c r="K26" s="41"/>
      <c r="L26" s="61"/>
      <c r="M26" s="77"/>
      <c r="N26" s="61"/>
      <c r="O26" s="61"/>
      <c r="P26" s="77"/>
    </row>
    <row r="27" spans="1:20" s="1" customFormat="1" ht="15.95" thickBot="1">
      <c r="A27" s="441"/>
      <c r="B27" s="334" t="s">
        <v>312</v>
      </c>
      <c r="C27" s="335"/>
      <c r="D27" s="336"/>
      <c r="E27" s="2"/>
      <c r="F27" s="2"/>
      <c r="G27" s="2"/>
      <c r="H27" s="77"/>
      <c r="I27" s="2"/>
      <c r="J27" s="2"/>
      <c r="K27" s="41"/>
      <c r="L27" s="61"/>
      <c r="M27" s="77"/>
      <c r="N27" s="61"/>
      <c r="O27" s="61"/>
      <c r="P27" s="77"/>
    </row>
    <row r="28" spans="1:20" s="1" customFormat="1">
      <c r="A28" s="155" t="s">
        <v>313</v>
      </c>
      <c r="B28" s="200" t="s">
        <v>314</v>
      </c>
      <c r="C28" s="114" t="s">
        <v>21</v>
      </c>
      <c r="D28" s="64" t="s">
        <v>16</v>
      </c>
      <c r="F28" s="290">
        <v>2</v>
      </c>
      <c r="G28" s="691" t="s">
        <v>229</v>
      </c>
      <c r="H28" s="77"/>
      <c r="I28" s="290">
        <v>2</v>
      </c>
      <c r="J28" s="691" t="s">
        <v>229</v>
      </c>
      <c r="K28" s="41"/>
      <c r="L28" s="61"/>
      <c r="M28" s="77"/>
      <c r="N28" s="61"/>
      <c r="O28" s="61"/>
      <c r="P28" s="77"/>
    </row>
    <row r="29" spans="1:20" s="1" customFormat="1">
      <c r="A29" s="116" t="s">
        <v>315</v>
      </c>
      <c r="B29" s="171" t="s">
        <v>316</v>
      </c>
      <c r="C29" s="115" t="s">
        <v>21</v>
      </c>
      <c r="D29" s="66" t="s">
        <v>16</v>
      </c>
      <c r="F29" s="291">
        <v>1</v>
      </c>
      <c r="G29" s="688" t="s">
        <v>229</v>
      </c>
      <c r="I29" s="291">
        <v>1</v>
      </c>
      <c r="J29" s="688" t="s">
        <v>229</v>
      </c>
      <c r="K29" s="41"/>
      <c r="L29" s="61"/>
      <c r="M29" s="77"/>
      <c r="N29" s="61"/>
      <c r="O29" s="61"/>
      <c r="P29" s="77"/>
    </row>
    <row r="30" spans="1:20" s="1" customFormat="1">
      <c r="A30" s="116" t="s">
        <v>317</v>
      </c>
      <c r="B30" s="171" t="s">
        <v>318</v>
      </c>
      <c r="C30" s="115" t="s">
        <v>21</v>
      </c>
      <c r="D30" s="66" t="s">
        <v>16</v>
      </c>
      <c r="F30" s="291">
        <v>1</v>
      </c>
      <c r="G30" s="688" t="s">
        <v>229</v>
      </c>
      <c r="I30" s="291">
        <v>1</v>
      </c>
      <c r="J30" s="688" t="s">
        <v>229</v>
      </c>
      <c r="K30" s="41"/>
      <c r="L30" s="61"/>
      <c r="M30" s="77"/>
      <c r="N30" s="61"/>
      <c r="O30" s="61"/>
      <c r="P30" s="77"/>
    </row>
    <row r="31" spans="1:20" s="1" customFormat="1">
      <c r="A31" s="116" t="s">
        <v>319</v>
      </c>
      <c r="B31" s="171" t="s">
        <v>320</v>
      </c>
      <c r="C31" s="122" t="s">
        <v>21</v>
      </c>
      <c r="D31" s="66" t="s">
        <v>16</v>
      </c>
      <c r="E31" s="61"/>
      <c r="F31" s="291">
        <v>1</v>
      </c>
      <c r="G31" s="688" t="s">
        <v>229</v>
      </c>
      <c r="I31" s="291">
        <v>1</v>
      </c>
      <c r="J31" s="688" t="s">
        <v>229</v>
      </c>
      <c r="K31" s="41"/>
      <c r="L31" s="61"/>
      <c r="M31" s="77"/>
      <c r="N31" s="61"/>
      <c r="O31" s="61"/>
      <c r="P31" s="77"/>
    </row>
    <row r="32" spans="1:20" s="1" customFormat="1">
      <c r="A32" s="116" t="s">
        <v>321</v>
      </c>
      <c r="B32" s="171" t="s">
        <v>322</v>
      </c>
      <c r="C32" s="122" t="s">
        <v>21</v>
      </c>
      <c r="D32" s="66" t="s">
        <v>16</v>
      </c>
      <c r="E32" s="61"/>
      <c r="F32" s="291">
        <v>1</v>
      </c>
      <c r="G32" s="689" t="s">
        <v>229</v>
      </c>
      <c r="H32" s="77"/>
      <c r="I32" s="291">
        <v>1</v>
      </c>
      <c r="J32" s="689" t="s">
        <v>229</v>
      </c>
      <c r="K32" s="41"/>
      <c r="L32" s="61"/>
      <c r="M32" s="77"/>
      <c r="N32" s="61"/>
      <c r="O32" s="61"/>
      <c r="P32" s="77"/>
    </row>
    <row r="33" spans="1:16" s="1" customFormat="1">
      <c r="A33" s="116" t="s">
        <v>323</v>
      </c>
      <c r="B33" s="171" t="s">
        <v>324</v>
      </c>
      <c r="C33" s="122" t="s">
        <v>21</v>
      </c>
      <c r="D33" s="66" t="s">
        <v>16</v>
      </c>
      <c r="E33" s="61"/>
      <c r="F33" s="291">
        <v>1</v>
      </c>
      <c r="G33" s="689" t="s">
        <v>229</v>
      </c>
      <c r="H33" s="77"/>
      <c r="I33" s="291">
        <v>1</v>
      </c>
      <c r="J33" s="689" t="s">
        <v>229</v>
      </c>
      <c r="K33" s="41"/>
      <c r="L33" s="61"/>
      <c r="M33" s="77"/>
      <c r="N33" s="61"/>
      <c r="O33" s="61"/>
      <c r="P33" s="77"/>
    </row>
    <row r="34" spans="1:16" s="1" customFormat="1" ht="12.95" thickBot="1">
      <c r="A34" s="156" t="s">
        <v>325</v>
      </c>
      <c r="B34" s="172" t="s">
        <v>326</v>
      </c>
      <c r="C34" s="128" t="s">
        <v>21</v>
      </c>
      <c r="D34" s="67" t="s">
        <v>16</v>
      </c>
      <c r="E34" s="61"/>
      <c r="F34" s="292">
        <v>1</v>
      </c>
      <c r="G34" s="293" t="s">
        <v>229</v>
      </c>
      <c r="H34" s="77"/>
      <c r="I34" s="292">
        <v>1</v>
      </c>
      <c r="J34" s="293" t="s">
        <v>229</v>
      </c>
      <c r="K34" s="41"/>
      <c r="L34" s="61"/>
      <c r="M34" s="77"/>
      <c r="N34" s="61"/>
      <c r="O34" s="61"/>
      <c r="P34" s="77"/>
    </row>
    <row r="35" spans="1:16" s="1" customFormat="1" ht="12.95" thickBot="1">
      <c r="A35" s="61"/>
      <c r="C35" s="61"/>
      <c r="D35" s="61"/>
      <c r="E35" s="61"/>
      <c r="F35" s="61"/>
      <c r="G35" s="61"/>
      <c r="H35" s="61"/>
      <c r="I35" s="61"/>
      <c r="J35" s="61"/>
      <c r="K35" s="41"/>
      <c r="L35" s="61"/>
      <c r="M35" s="77"/>
      <c r="N35" s="61"/>
      <c r="O35" s="61"/>
      <c r="P35" s="77"/>
    </row>
    <row r="36" spans="1:16" s="1" customFormat="1" ht="15.95" thickBot="1">
      <c r="A36" s="44"/>
      <c r="B36" s="45" t="s">
        <v>327</v>
      </c>
      <c r="C36" s="46"/>
      <c r="D36" s="47"/>
      <c r="E36" s="61"/>
      <c r="H36" s="77"/>
      <c r="I36" s="61"/>
      <c r="J36" s="61"/>
      <c r="K36" s="41"/>
      <c r="L36" s="61"/>
      <c r="M36" s="77"/>
      <c r="N36" s="61"/>
      <c r="O36" s="61"/>
      <c r="P36" s="77"/>
    </row>
    <row r="37" spans="1:16" s="1" customFormat="1">
      <c r="A37" s="428" t="s">
        <v>328</v>
      </c>
      <c r="B37" s="389" t="s">
        <v>329</v>
      </c>
      <c r="C37" s="390" t="s">
        <v>21</v>
      </c>
      <c r="D37" s="391" t="s">
        <v>16</v>
      </c>
      <c r="E37" s="61"/>
      <c r="F37" s="290">
        <v>285819</v>
      </c>
      <c r="G37" s="691" t="s">
        <v>34</v>
      </c>
      <c r="H37" s="77"/>
      <c r="I37" s="290">
        <v>296636</v>
      </c>
      <c r="J37" s="691" t="s">
        <v>265</v>
      </c>
      <c r="K37" s="41"/>
      <c r="L37" s="61"/>
      <c r="M37" s="77"/>
      <c r="N37" s="61"/>
      <c r="O37" s="61"/>
      <c r="P37" s="77"/>
    </row>
    <row r="38" spans="1:16" s="1" customFormat="1">
      <c r="A38" s="337" t="s">
        <v>330</v>
      </c>
      <c r="B38" s="171" t="s">
        <v>331</v>
      </c>
      <c r="C38" s="115" t="s">
        <v>21</v>
      </c>
      <c r="D38" s="338" t="s">
        <v>16</v>
      </c>
      <c r="E38" s="61"/>
      <c r="F38" s="291">
        <v>11724</v>
      </c>
      <c r="G38" s="688" t="s">
        <v>34</v>
      </c>
      <c r="H38" s="77"/>
      <c r="I38" s="291">
        <v>14260</v>
      </c>
      <c r="J38" s="688" t="s">
        <v>265</v>
      </c>
      <c r="K38" s="41"/>
      <c r="L38" s="61"/>
      <c r="M38" s="77"/>
      <c r="N38" s="61"/>
      <c r="O38" s="61"/>
      <c r="P38" s="77"/>
    </row>
    <row r="39" spans="1:16" s="1" customFormat="1">
      <c r="A39" s="337" t="s">
        <v>332</v>
      </c>
      <c r="B39" s="171" t="s">
        <v>333</v>
      </c>
      <c r="C39" s="115" t="s">
        <v>21</v>
      </c>
      <c r="D39" s="338" t="s">
        <v>16</v>
      </c>
      <c r="E39" s="61"/>
      <c r="F39" s="291">
        <v>11029</v>
      </c>
      <c r="G39" s="688" t="s">
        <v>157</v>
      </c>
      <c r="H39" s="77"/>
      <c r="I39" s="291">
        <v>16035</v>
      </c>
      <c r="J39" s="688" t="s">
        <v>265</v>
      </c>
      <c r="K39" s="41"/>
      <c r="L39" s="61"/>
      <c r="M39" s="77"/>
      <c r="N39" s="61"/>
      <c r="O39" s="61"/>
      <c r="P39" s="77"/>
    </row>
    <row r="40" spans="1:16" s="1" customFormat="1">
      <c r="A40" s="337" t="s">
        <v>334</v>
      </c>
      <c r="B40" s="171" t="s">
        <v>335</v>
      </c>
      <c r="C40" s="115" t="s">
        <v>21</v>
      </c>
      <c r="D40" s="338" t="s">
        <v>16</v>
      </c>
      <c r="E40" s="61"/>
      <c r="F40" s="291">
        <v>25863</v>
      </c>
      <c r="G40" s="688" t="s">
        <v>157</v>
      </c>
      <c r="H40" s="77"/>
      <c r="I40" s="291">
        <v>25863</v>
      </c>
      <c r="J40" s="688" t="s">
        <v>265</v>
      </c>
      <c r="K40" s="41"/>
      <c r="L40" s="61"/>
      <c r="M40" s="77"/>
      <c r="N40" s="61"/>
      <c r="O40" s="61"/>
      <c r="P40" s="77"/>
    </row>
    <row r="41" spans="1:16" s="1" customFormat="1">
      <c r="A41" s="337" t="s">
        <v>336</v>
      </c>
      <c r="B41" s="171" t="s">
        <v>337</v>
      </c>
      <c r="C41" s="122" t="s">
        <v>21</v>
      </c>
      <c r="D41" s="339" t="s">
        <v>16</v>
      </c>
      <c r="E41" s="61"/>
      <c r="F41" s="291">
        <v>42779</v>
      </c>
      <c r="G41" s="688" t="s">
        <v>34</v>
      </c>
      <c r="H41" s="77"/>
      <c r="I41" s="291">
        <v>42044</v>
      </c>
      <c r="J41" s="688" t="s">
        <v>265</v>
      </c>
      <c r="K41" s="41"/>
      <c r="L41" s="61"/>
      <c r="M41" s="77"/>
      <c r="N41" s="61"/>
      <c r="O41" s="61"/>
      <c r="P41" s="77"/>
    </row>
    <row r="42" spans="1:16" s="1" customFormat="1">
      <c r="A42" s="337" t="s">
        <v>338</v>
      </c>
      <c r="B42" s="171" t="s">
        <v>339</v>
      </c>
      <c r="C42" s="122" t="s">
        <v>21</v>
      </c>
      <c r="D42" s="339" t="s">
        <v>27</v>
      </c>
      <c r="E42" s="61"/>
      <c r="F42" s="405">
        <f>SUM(F37:F39,F41)</f>
        <v>351351</v>
      </c>
      <c r="G42" s="689" t="s">
        <v>157</v>
      </c>
      <c r="H42" s="77"/>
      <c r="I42" s="405">
        <f>SUM(I37:I39,I41)</f>
        <v>368975</v>
      </c>
      <c r="J42" s="689" t="s">
        <v>265</v>
      </c>
      <c r="K42" s="41"/>
      <c r="L42" s="61"/>
      <c r="M42" s="77"/>
      <c r="N42" s="61"/>
      <c r="O42" s="61"/>
      <c r="P42" s="77"/>
    </row>
    <row r="43" spans="1:16" s="1" customFormat="1">
      <c r="A43" s="337" t="s">
        <v>340</v>
      </c>
      <c r="B43" s="171" t="s">
        <v>341</v>
      </c>
      <c r="C43" s="122" t="s">
        <v>21</v>
      </c>
      <c r="D43" s="339" t="s">
        <v>16</v>
      </c>
      <c r="E43" s="61"/>
      <c r="F43" s="406">
        <v>46062</v>
      </c>
      <c r="G43" s="688" t="s">
        <v>157</v>
      </c>
      <c r="H43" s="77"/>
      <c r="I43" s="291">
        <v>37625</v>
      </c>
      <c r="J43" s="688" t="s">
        <v>265</v>
      </c>
      <c r="K43" s="61"/>
      <c r="L43" s="61"/>
      <c r="M43" s="77"/>
      <c r="N43" s="61"/>
      <c r="O43" s="61"/>
      <c r="P43" s="77"/>
    </row>
    <row r="44" spans="1:16" s="1" customFormat="1">
      <c r="A44" s="337" t="s">
        <v>342</v>
      </c>
      <c r="B44" s="171" t="s">
        <v>343</v>
      </c>
      <c r="C44" s="122" t="s">
        <v>21</v>
      </c>
      <c r="D44" s="339" t="s">
        <v>16</v>
      </c>
      <c r="E44" s="61"/>
      <c r="F44" s="291">
        <v>20481</v>
      </c>
      <c r="G44" s="688" t="s">
        <v>157</v>
      </c>
      <c r="H44" s="77"/>
      <c r="I44" s="291">
        <v>19350</v>
      </c>
      <c r="J44" s="688" t="s">
        <v>265</v>
      </c>
      <c r="K44" s="61"/>
      <c r="L44" s="61"/>
      <c r="M44" s="77"/>
      <c r="N44" s="61"/>
      <c r="O44" s="61"/>
      <c r="P44" s="77"/>
    </row>
    <row r="45" spans="1:16" s="1" customFormat="1" ht="12.95" thickBot="1">
      <c r="A45" s="430" t="s">
        <v>344</v>
      </c>
      <c r="B45" s="392" t="s">
        <v>345</v>
      </c>
      <c r="C45" s="340" t="s">
        <v>21</v>
      </c>
      <c r="D45" s="341" t="s">
        <v>27</v>
      </c>
      <c r="E45" s="61"/>
      <c r="F45" s="404">
        <f>F42-F43-F44</f>
        <v>284808</v>
      </c>
      <c r="G45" s="293" t="s">
        <v>157</v>
      </c>
      <c r="H45" s="77"/>
      <c r="I45" s="404">
        <f>I42-I43-I44</f>
        <v>312000</v>
      </c>
      <c r="J45" s="293" t="s">
        <v>265</v>
      </c>
      <c r="K45" s="61"/>
      <c r="L45" s="61"/>
      <c r="M45" s="77"/>
      <c r="N45" s="61"/>
      <c r="O45" s="61"/>
      <c r="P45" s="77"/>
    </row>
    <row r="46" spans="1:16" s="1" customFormat="1" ht="12.95" thickBot="1">
      <c r="A46" s="61"/>
      <c r="C46" s="61"/>
      <c r="D46" s="61"/>
      <c r="E46" s="61"/>
      <c r="F46" s="77"/>
      <c r="G46" s="77"/>
      <c r="H46" s="77"/>
      <c r="I46" s="61"/>
      <c r="J46" s="61"/>
      <c r="K46" s="61"/>
      <c r="L46" s="61"/>
      <c r="M46" s="77"/>
      <c r="N46" s="61"/>
      <c r="O46" s="61"/>
      <c r="P46" s="77"/>
    </row>
    <row r="47" spans="1:16" s="1" customFormat="1" ht="15.95" thickBot="1">
      <c r="A47" s="44"/>
      <c r="B47" s="45" t="s">
        <v>346</v>
      </c>
      <c r="C47" s="46"/>
      <c r="D47" s="47"/>
      <c r="E47" s="61"/>
      <c r="F47" s="77"/>
      <c r="G47" s="77"/>
      <c r="H47" s="77"/>
      <c r="I47" s="61"/>
      <c r="J47" s="61"/>
      <c r="K47" s="61"/>
      <c r="L47" s="61"/>
      <c r="M47" s="77"/>
      <c r="N47" s="61"/>
      <c r="O47" s="61"/>
      <c r="P47" s="77"/>
    </row>
    <row r="48" spans="1:16" s="1" customFormat="1">
      <c r="A48" s="116" t="s">
        <v>347</v>
      </c>
      <c r="B48" s="171" t="s">
        <v>348</v>
      </c>
      <c r="C48" s="122" t="s">
        <v>21</v>
      </c>
      <c r="D48" s="123" t="s">
        <v>16</v>
      </c>
      <c r="E48" s="61"/>
      <c r="F48" s="290">
        <v>16534</v>
      </c>
      <c r="G48" s="691" t="s">
        <v>17</v>
      </c>
      <c r="H48" s="77"/>
      <c r="I48" s="290">
        <v>15979</v>
      </c>
      <c r="J48" s="691" t="s">
        <v>265</v>
      </c>
      <c r="K48" s="61"/>
      <c r="L48" s="61"/>
      <c r="M48" s="77"/>
      <c r="N48" s="61"/>
      <c r="O48" s="61"/>
      <c r="P48" s="77"/>
    </row>
    <row r="49" spans="1:21" s="1" customFormat="1">
      <c r="A49" s="116" t="s">
        <v>349</v>
      </c>
      <c r="B49" s="171" t="s">
        <v>350</v>
      </c>
      <c r="C49" s="122" t="s">
        <v>21</v>
      </c>
      <c r="D49" s="123" t="s">
        <v>16</v>
      </c>
      <c r="E49" s="61"/>
      <c r="F49" s="291">
        <v>15521</v>
      </c>
      <c r="G49" s="688" t="s">
        <v>17</v>
      </c>
      <c r="H49" s="77"/>
      <c r="I49" s="291">
        <v>14984</v>
      </c>
      <c r="J49" s="688" t="s">
        <v>265</v>
      </c>
      <c r="K49" s="61"/>
      <c r="L49" s="61"/>
      <c r="M49" s="77"/>
      <c r="N49" s="61"/>
      <c r="O49" s="61"/>
      <c r="P49" s="77"/>
    </row>
    <row r="50" spans="1:21" s="1" customFormat="1">
      <c r="A50" s="116" t="s">
        <v>351</v>
      </c>
      <c r="B50" s="171" t="s">
        <v>352</v>
      </c>
      <c r="C50" s="122" t="s">
        <v>21</v>
      </c>
      <c r="D50" s="123" t="s">
        <v>16</v>
      </c>
      <c r="E50" s="61"/>
      <c r="F50" s="291">
        <v>4243.0322984025506</v>
      </c>
      <c r="G50" s="688" t="s">
        <v>81</v>
      </c>
      <c r="H50" s="77"/>
      <c r="I50" s="291">
        <v>4268.518741781194</v>
      </c>
      <c r="J50" s="688" t="s">
        <v>265</v>
      </c>
      <c r="K50" s="61"/>
      <c r="L50" s="61"/>
      <c r="M50" s="77"/>
      <c r="N50" s="61"/>
      <c r="O50" s="61"/>
      <c r="P50" s="77"/>
    </row>
    <row r="51" spans="1:21" s="1" customFormat="1">
      <c r="A51" s="116" t="s">
        <v>353</v>
      </c>
      <c r="B51" s="171" t="s">
        <v>354</v>
      </c>
      <c r="C51" s="122" t="s">
        <v>21</v>
      </c>
      <c r="D51" s="123" t="s">
        <v>16</v>
      </c>
      <c r="E51" s="61"/>
      <c r="F51" s="291">
        <v>3750.5423557846352</v>
      </c>
      <c r="G51" s="688" t="s">
        <v>81</v>
      </c>
      <c r="H51" s="77"/>
      <c r="I51" s="291">
        <v>3895.0233518753394</v>
      </c>
      <c r="J51" s="688" t="s">
        <v>265</v>
      </c>
      <c r="K51" s="61"/>
      <c r="L51" s="61"/>
      <c r="M51" s="77"/>
      <c r="N51" s="61"/>
      <c r="O51" s="61"/>
      <c r="P51" s="77"/>
    </row>
    <row r="52" spans="1:21" s="1" customFormat="1">
      <c r="A52" s="116" t="s">
        <v>355</v>
      </c>
      <c r="B52" s="171" t="s">
        <v>356</v>
      </c>
      <c r="C52" s="122" t="s">
        <v>21</v>
      </c>
      <c r="D52" s="123" t="s">
        <v>16</v>
      </c>
      <c r="E52" s="61"/>
      <c r="F52" s="291">
        <v>1170.6546408480444</v>
      </c>
      <c r="G52" s="689" t="s">
        <v>81</v>
      </c>
      <c r="H52" s="77"/>
      <c r="I52" s="291">
        <v>1279.6065365396721</v>
      </c>
      <c r="J52" s="689" t="s">
        <v>265</v>
      </c>
      <c r="K52" s="61"/>
      <c r="L52" s="61"/>
      <c r="M52" s="77"/>
      <c r="N52" s="61"/>
      <c r="O52" s="61"/>
      <c r="P52" s="77"/>
    </row>
    <row r="53" spans="1:21" s="1" customFormat="1" ht="12.95" thickBot="1">
      <c r="A53" s="156" t="s">
        <v>357</v>
      </c>
      <c r="B53" s="172" t="s">
        <v>358</v>
      </c>
      <c r="C53" s="128" t="s">
        <v>21</v>
      </c>
      <c r="D53" s="67" t="s">
        <v>16</v>
      </c>
      <c r="E53" s="61"/>
      <c r="F53" s="292">
        <v>855.88347690151409</v>
      </c>
      <c r="G53" s="293" t="s">
        <v>81</v>
      </c>
      <c r="H53" s="77"/>
      <c r="I53" s="292">
        <v>972.50096777015085</v>
      </c>
      <c r="J53" s="293" t="s">
        <v>265</v>
      </c>
      <c r="K53" s="61"/>
      <c r="L53" s="61"/>
      <c r="M53" s="77"/>
      <c r="N53" s="61"/>
      <c r="O53" s="61"/>
      <c r="P53" s="77"/>
    </row>
    <row r="54" spans="1:21" s="1" customFormat="1" ht="12.95" thickBot="1">
      <c r="A54" s="61"/>
      <c r="C54" s="61"/>
      <c r="D54" s="61"/>
      <c r="E54" s="61"/>
      <c r="F54" s="77"/>
      <c r="G54" s="77"/>
      <c r="H54" s="77"/>
      <c r="I54" s="61"/>
      <c r="J54" s="61"/>
      <c r="L54" s="61"/>
      <c r="M54" s="77"/>
      <c r="N54" s="61"/>
      <c r="O54" s="61"/>
      <c r="P54" s="77"/>
    </row>
    <row r="55" spans="1:21" s="1" customFormat="1" ht="15.95" thickBot="1">
      <c r="A55" s="44"/>
      <c r="B55" s="45" t="s">
        <v>359</v>
      </c>
      <c r="C55" s="46"/>
      <c r="D55" s="47"/>
      <c r="E55" s="61"/>
      <c r="G55" s="77"/>
      <c r="H55" s="77"/>
      <c r="I55" s="61"/>
      <c r="J55" s="61"/>
      <c r="L55" s="61"/>
      <c r="M55" s="77"/>
      <c r="N55" s="61"/>
      <c r="O55" s="61"/>
      <c r="P55" s="77"/>
      <c r="U55" s="77"/>
    </row>
    <row r="56" spans="1:21" s="1" customFormat="1">
      <c r="A56" s="428" t="s">
        <v>360</v>
      </c>
      <c r="B56" s="389" t="s">
        <v>361</v>
      </c>
      <c r="C56" s="393" t="s">
        <v>21</v>
      </c>
      <c r="D56" s="394" t="s">
        <v>16</v>
      </c>
      <c r="E56" s="61"/>
      <c r="F56" s="664" t="s">
        <v>362</v>
      </c>
      <c r="G56" s="692" t="s">
        <v>34</v>
      </c>
      <c r="H56" s="77"/>
      <c r="I56" s="664" t="s">
        <v>362</v>
      </c>
      <c r="J56" s="692" t="s">
        <v>265</v>
      </c>
      <c r="K56" s="61"/>
      <c r="L56" s="61"/>
      <c r="M56" s="77"/>
      <c r="N56" s="61"/>
      <c r="O56" s="61"/>
      <c r="P56" s="77"/>
    </row>
    <row r="57" spans="1:21" s="1" customFormat="1">
      <c r="A57" s="337" t="s">
        <v>363</v>
      </c>
      <c r="B57" s="171" t="s">
        <v>364</v>
      </c>
      <c r="C57" s="122" t="s">
        <v>21</v>
      </c>
      <c r="D57" s="339" t="s">
        <v>27</v>
      </c>
      <c r="E57" s="61"/>
      <c r="F57" s="693">
        <f>F59+F64</f>
        <v>86.626072530794175</v>
      </c>
      <c r="G57" s="694" t="s">
        <v>18</v>
      </c>
      <c r="H57" s="77"/>
      <c r="I57" s="693">
        <f>I59+I64</f>
        <v>86.892778519063967</v>
      </c>
      <c r="J57" s="694" t="s">
        <v>265</v>
      </c>
      <c r="K57" s="61"/>
      <c r="L57" s="61"/>
      <c r="M57" s="77"/>
      <c r="N57" s="61"/>
      <c r="O57" s="61"/>
      <c r="P57" s="77"/>
    </row>
    <row r="58" spans="1:21" s="1" customFormat="1">
      <c r="A58" s="337" t="s">
        <v>365</v>
      </c>
      <c r="B58" s="171" t="s">
        <v>366</v>
      </c>
      <c r="C58" s="122" t="s">
        <v>21</v>
      </c>
      <c r="D58" s="339" t="s">
        <v>16</v>
      </c>
      <c r="E58" s="61"/>
      <c r="F58" s="665">
        <v>2648549</v>
      </c>
      <c r="G58" s="694" t="s">
        <v>34</v>
      </c>
      <c r="H58" s="77"/>
      <c r="I58" s="665">
        <v>2648549</v>
      </c>
      <c r="J58" s="694" t="s">
        <v>265</v>
      </c>
      <c r="K58" s="41"/>
      <c r="L58" s="61"/>
      <c r="M58" s="77"/>
      <c r="N58" s="61"/>
      <c r="O58" s="61"/>
      <c r="P58" s="77"/>
    </row>
    <row r="59" spans="1:21" s="1" customFormat="1">
      <c r="A59" s="337" t="s">
        <v>367</v>
      </c>
      <c r="B59" s="171" t="s">
        <v>368</v>
      </c>
      <c r="C59" s="122" t="s">
        <v>21</v>
      </c>
      <c r="D59" s="339" t="s">
        <v>27</v>
      </c>
      <c r="E59" s="61"/>
      <c r="F59" s="693">
        <f>(1-((((F20*0.5)+(F19*50)+(F21*100)+(F22*1000))/(F$58/1000))-0)/(600-0))*(50)</f>
        <v>43.581265314202852</v>
      </c>
      <c r="G59" s="694" t="s">
        <v>157</v>
      </c>
      <c r="H59" s="77"/>
      <c r="I59" s="693">
        <f>(1-((((I20*0.5)+(I19*50)+(I21*100)+(I22*1000))/(I$58/1000))-0)/(600-0))*(50)</f>
        <v>43.040214346295528</v>
      </c>
      <c r="J59" s="694" t="s">
        <v>265</v>
      </c>
      <c r="K59" s="61"/>
      <c r="L59" s="61"/>
      <c r="M59" s="77"/>
      <c r="N59" s="61"/>
      <c r="O59" s="61"/>
      <c r="P59" s="77"/>
    </row>
    <row r="60" spans="1:21" s="1" customFormat="1">
      <c r="A60" s="337" t="s">
        <v>369</v>
      </c>
      <c r="B60" s="171" t="s">
        <v>370</v>
      </c>
      <c r="C60" s="122" t="s">
        <v>21</v>
      </c>
      <c r="D60" s="339" t="s">
        <v>16</v>
      </c>
      <c r="E60" s="61"/>
      <c r="F60" s="992">
        <v>4.4800000000000004</v>
      </c>
      <c r="G60" s="694" t="s">
        <v>157</v>
      </c>
      <c r="H60" s="77"/>
      <c r="I60" s="992">
        <v>4.9083479293756689</v>
      </c>
      <c r="J60" s="694" t="s">
        <v>265</v>
      </c>
      <c r="K60" s="61"/>
      <c r="L60" s="61"/>
      <c r="M60" s="77"/>
      <c r="N60" s="61"/>
      <c r="O60" s="61"/>
      <c r="P60" s="77"/>
    </row>
    <row r="61" spans="1:21" s="1" customFormat="1">
      <c r="A61" s="337" t="s">
        <v>371</v>
      </c>
      <c r="B61" s="171" t="s">
        <v>372</v>
      </c>
      <c r="C61" s="122" t="s">
        <v>21</v>
      </c>
      <c r="D61" s="339" t="s">
        <v>16</v>
      </c>
      <c r="E61" s="61"/>
      <c r="F61" s="992">
        <v>0.68</v>
      </c>
      <c r="G61" s="694" t="s">
        <v>34</v>
      </c>
      <c r="H61" s="77"/>
      <c r="I61" s="992">
        <v>0.83378987261830284</v>
      </c>
      <c r="J61" s="694" t="s">
        <v>265</v>
      </c>
      <c r="K61" s="695"/>
      <c r="L61" s="61"/>
      <c r="M61" s="77"/>
      <c r="N61" s="61"/>
      <c r="O61" s="61"/>
    </row>
    <row r="62" spans="1:21" s="1" customFormat="1">
      <c r="A62" s="337" t="s">
        <v>373</v>
      </c>
      <c r="B62" s="171" t="s">
        <v>374</v>
      </c>
      <c r="C62" s="122" t="s">
        <v>21</v>
      </c>
      <c r="D62" s="339" t="s">
        <v>16</v>
      </c>
      <c r="E62" s="61"/>
      <c r="F62" s="992">
        <v>1.26</v>
      </c>
      <c r="G62" s="694" t="s">
        <v>34</v>
      </c>
      <c r="H62" s="77"/>
      <c r="I62" s="992">
        <v>1.2176478517105027</v>
      </c>
      <c r="J62" s="694" t="s">
        <v>265</v>
      </c>
      <c r="K62" s="41"/>
      <c r="L62" s="61"/>
      <c r="M62" s="77"/>
      <c r="N62" s="61"/>
      <c r="O62" s="61"/>
      <c r="P62" s="77"/>
    </row>
    <row r="63" spans="1:21" s="1" customFormat="1">
      <c r="A63" s="337" t="s">
        <v>375</v>
      </c>
      <c r="B63" s="171" t="s">
        <v>376</v>
      </c>
      <c r="C63" s="122" t="s">
        <v>21</v>
      </c>
      <c r="D63" s="339" t="s">
        <v>16</v>
      </c>
      <c r="E63" s="61"/>
      <c r="F63" s="992">
        <v>0</v>
      </c>
      <c r="G63" s="694" t="s">
        <v>34</v>
      </c>
      <c r="H63" s="77"/>
      <c r="I63" s="992">
        <v>0</v>
      </c>
      <c r="J63" s="694" t="s">
        <v>265</v>
      </c>
      <c r="K63" s="41"/>
      <c r="L63" s="61"/>
      <c r="M63" s="77"/>
      <c r="N63" s="61"/>
      <c r="O63" s="61"/>
      <c r="P63" s="77"/>
    </row>
    <row r="64" spans="1:21" s="1" customFormat="1" ht="14.45">
      <c r="A64" s="337" t="s">
        <v>377</v>
      </c>
      <c r="B64" s="171" t="s">
        <v>378</v>
      </c>
      <c r="C64" s="122" t="s">
        <v>21</v>
      </c>
      <c r="D64" s="339" t="s">
        <v>27</v>
      </c>
      <c r="E64" s="61"/>
      <c r="F64" s="693">
        <f>((((F49/F48*7)-1)/(7-1))*25)+((((F51/F50*7)-1)/(7-1))*15)+((((F53/F52*7)-1)/(7-1))*10)</f>
        <v>43.044807216591316</v>
      </c>
      <c r="G64" s="694" t="s">
        <v>17</v>
      </c>
      <c r="H64" s="696"/>
      <c r="I64" s="693">
        <f>((((I49/I48*7)-1)/(7-1))*25)+((((I51/I50*7)-1)/(7-1))*15)+((((I53/I52*7)-1)/(7-1))*10)</f>
        <v>43.852564172768432</v>
      </c>
      <c r="J64" s="694" t="s">
        <v>265</v>
      </c>
      <c r="K64" s="41"/>
      <c r="L64" s="61"/>
      <c r="M64" s="77"/>
      <c r="N64" s="61"/>
      <c r="O64" s="61"/>
      <c r="P64" s="77"/>
    </row>
    <row r="65" spans="1:16" s="1" customFormat="1">
      <c r="A65" s="337" t="s">
        <v>379</v>
      </c>
      <c r="B65" s="171" t="s">
        <v>380</v>
      </c>
      <c r="C65" s="122" t="s">
        <v>21</v>
      </c>
      <c r="D65" s="339" t="s">
        <v>16</v>
      </c>
      <c r="E65" s="61"/>
      <c r="F65" s="992">
        <v>1.7869743155517916</v>
      </c>
      <c r="G65" s="694" t="s">
        <v>17</v>
      </c>
      <c r="H65" s="77"/>
      <c r="I65" s="992">
        <v>1.8161858272315712</v>
      </c>
      <c r="J65" s="694" t="s">
        <v>265</v>
      </c>
      <c r="K65" s="61"/>
      <c r="L65" s="61"/>
      <c r="M65" s="77"/>
      <c r="N65" s="61"/>
      <c r="O65" s="61"/>
      <c r="P65" s="77"/>
    </row>
    <row r="66" spans="1:16" s="1" customFormat="1">
      <c r="A66" s="337" t="s">
        <v>381</v>
      </c>
      <c r="B66" s="171" t="s">
        <v>382</v>
      </c>
      <c r="C66" s="122" t="s">
        <v>21</v>
      </c>
      <c r="D66" s="339" t="s">
        <v>16</v>
      </c>
      <c r="E66" s="61"/>
      <c r="F66" s="992">
        <v>2.0312298822373567</v>
      </c>
      <c r="G66" s="694" t="s">
        <v>81</v>
      </c>
      <c r="H66" s="77"/>
      <c r="I66" s="992">
        <v>1.53125</v>
      </c>
      <c r="J66" s="694" t="s">
        <v>265</v>
      </c>
      <c r="K66" s="61"/>
      <c r="L66" s="61"/>
      <c r="M66" s="77"/>
      <c r="N66" s="61"/>
      <c r="O66" s="61"/>
      <c r="P66" s="77"/>
    </row>
    <row r="67" spans="1:16" s="1" customFormat="1" ht="12.95" thickBot="1">
      <c r="A67" s="430" t="s">
        <v>383</v>
      </c>
      <c r="B67" s="392" t="s">
        <v>384</v>
      </c>
      <c r="C67" s="340" t="s">
        <v>21</v>
      </c>
      <c r="D67" s="341" t="s">
        <v>16</v>
      </c>
      <c r="E67" s="61"/>
      <c r="F67" s="993">
        <v>3.1369885856195365</v>
      </c>
      <c r="G67" s="293" t="s">
        <v>81</v>
      </c>
      <c r="H67" s="77"/>
      <c r="I67" s="993">
        <v>2.799999999999998</v>
      </c>
      <c r="J67" s="293" t="s">
        <v>265</v>
      </c>
      <c r="K67" s="61"/>
      <c r="L67" s="61"/>
      <c r="M67" s="77"/>
      <c r="N67" s="61"/>
      <c r="O67" s="61"/>
      <c r="P67" s="77"/>
    </row>
    <row r="68" spans="1:16">
      <c r="L68" s="61"/>
      <c r="N68" s="61"/>
      <c r="O68" s="61"/>
    </row>
    <row r="69" spans="1:16" s="1" customFormat="1">
      <c r="A69" s="7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</row>
    <row r="70" spans="1:16" ht="12.95" thickBot="1"/>
    <row r="71" spans="1:16">
      <c r="A71" s="13" t="s">
        <v>145</v>
      </c>
      <c r="B71" s="1268"/>
      <c r="C71" s="197" t="s">
        <v>40</v>
      </c>
      <c r="D71" s="3"/>
      <c r="E71" s="3"/>
      <c r="F71" s="14"/>
    </row>
    <row r="72" spans="1:16">
      <c r="A72" s="697"/>
      <c r="B72" s="1269"/>
      <c r="C72" s="1269"/>
      <c r="D72" s="1269"/>
      <c r="E72" s="1269"/>
      <c r="F72" s="15"/>
    </row>
    <row r="73" spans="1:16">
      <c r="A73" s="6" t="s">
        <v>41</v>
      </c>
      <c r="B73" s="1269"/>
      <c r="C73" s="207" t="s">
        <v>40</v>
      </c>
      <c r="D73" s="1269"/>
      <c r="E73" s="1269"/>
      <c r="F73" s="15"/>
    </row>
    <row r="74" spans="1:16">
      <c r="A74" s="697"/>
      <c r="B74" s="1269"/>
      <c r="C74" s="1269"/>
      <c r="D74" s="1269"/>
      <c r="E74" s="1269"/>
      <c r="F74" s="15"/>
    </row>
    <row r="75" spans="1:16" ht="12.95" thickBot="1">
      <c r="A75" s="9" t="s">
        <v>42</v>
      </c>
      <c r="B75" s="10"/>
      <c r="C75" s="10" t="s">
        <v>288</v>
      </c>
      <c r="D75" s="10"/>
      <c r="E75" s="10"/>
      <c r="F75" s="16"/>
    </row>
  </sheetData>
  <mergeCells count="2">
    <mergeCell ref="F10:G11"/>
    <mergeCell ref="I10:J11"/>
  </mergeCells>
  <pageMargins left="0.74803149606299213" right="0.74803149606299213" top="0.98425196850393704" bottom="0.98425196850393704" header="0.51181102362204722" footer="0.51181102362204722"/>
  <pageSetup paperSize="8" scale="68" orientation="landscape" r:id="rId1"/>
  <headerFooter alignWithMargins="0">
    <oddFooter>&amp;R Date: Feb 2010
Revision 13.0&amp;L&amp;1#&amp;"Arial"&amp;11&amp;K000000SW Private Commercial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8B362-418E-4CB5-B6C7-D5D43963B921}">
  <sheetPr>
    <pageSetUpPr fitToPage="1"/>
  </sheetPr>
  <dimension ref="A1:HU97"/>
  <sheetViews>
    <sheetView zoomScaleNormal="100" zoomScalePageLayoutView="85" workbookViewId="0">
      <selection sqref="A1:XFD1048576"/>
    </sheetView>
  </sheetViews>
  <sheetFormatPr defaultColWidth="9.42578125" defaultRowHeight="12.6"/>
  <cols>
    <col min="1" max="1" width="10.42578125" style="192" customWidth="1"/>
    <col min="2" max="2" width="67.5703125" style="192" customWidth="1"/>
    <col min="3" max="3" width="10.42578125" style="192" customWidth="1"/>
    <col min="4" max="4" width="13.42578125" style="192" customWidth="1"/>
    <col min="5" max="5" width="12.42578125" style="192" bestFit="1" customWidth="1"/>
    <col min="6" max="6" width="10.42578125" style="192" customWidth="1"/>
    <col min="7" max="7" width="13.42578125" style="192" customWidth="1"/>
    <col min="8" max="8" width="7" style="192" customWidth="1"/>
    <col min="9" max="9" width="5.5703125" style="192" customWidth="1"/>
    <col min="10" max="10" width="13.5703125" style="192" customWidth="1"/>
    <col min="11" max="12" width="6.42578125" style="192" customWidth="1"/>
    <col min="13" max="13" width="12.5703125" style="192" customWidth="1"/>
    <col min="14" max="14" width="8.42578125" style="192" customWidth="1"/>
    <col min="15" max="15" width="10.42578125" style="192" customWidth="1"/>
    <col min="16" max="16384" width="9.42578125" style="192"/>
  </cols>
  <sheetData>
    <row r="1" spans="1:229" s="191" customFormat="1" ht="20.100000000000001">
      <c r="A1" s="239" t="s">
        <v>0</v>
      </c>
      <c r="B1" s="239"/>
      <c r="C1"/>
      <c r="D1" s="239"/>
      <c r="E1" s="239"/>
      <c r="K1" s="192"/>
      <c r="L1" s="192"/>
      <c r="M1" s="192"/>
    </row>
    <row r="2" spans="1:229" s="191" customFormat="1" ht="20.100000000000001">
      <c r="C2"/>
      <c r="K2" s="192"/>
      <c r="L2" s="192"/>
      <c r="M2" s="192"/>
    </row>
    <row r="3" spans="1:229" s="191" customFormat="1" ht="20.100000000000001">
      <c r="A3" s="238" t="str">
        <f>"ANNUAL RETURN INFORMATION REQUIREMENTS "&amp;_reportyear</f>
        <v>ANNUAL RETURN INFORMATION REQUIREMENTS 2023-24</v>
      </c>
      <c r="B3" s="238"/>
      <c r="C3" s="169"/>
      <c r="D3" s="238"/>
      <c r="E3" s="238"/>
      <c r="F3" s="237"/>
      <c r="G3" s="237"/>
      <c r="H3" s="237"/>
      <c r="I3" s="237"/>
      <c r="J3" s="237"/>
      <c r="K3" s="237"/>
      <c r="L3" s="237"/>
      <c r="M3" s="237"/>
      <c r="N3" s="237"/>
      <c r="O3" s="237"/>
    </row>
    <row r="4" spans="1:229" s="193" customFormat="1" ht="15.6">
      <c r="A4" s="232"/>
      <c r="B4" s="218"/>
      <c r="C4"/>
      <c r="D4" s="218"/>
      <c r="E4" s="218"/>
      <c r="K4" s="192"/>
      <c r="L4" s="192"/>
      <c r="M4" s="192"/>
    </row>
    <row r="5" spans="1:229" s="193" customFormat="1" ht="15.95" thickBot="1">
      <c r="A5" s="232"/>
      <c r="B5" s="218"/>
      <c r="C5"/>
      <c r="D5" s="218"/>
      <c r="E5" s="218"/>
      <c r="K5" s="192"/>
      <c r="L5" s="192"/>
      <c r="M5" s="192"/>
    </row>
    <row r="6" spans="1:229" s="193" customFormat="1" ht="20.100000000000001">
      <c r="A6" s="236" t="s">
        <v>1</v>
      </c>
      <c r="B6" s="235"/>
      <c r="C6"/>
      <c r="K6" s="192"/>
      <c r="L6" s="192"/>
      <c r="M6" s="192"/>
    </row>
    <row r="7" spans="1:229" s="193" customFormat="1" ht="20.45" thickBot="1">
      <c r="A7" s="234" t="s">
        <v>385</v>
      </c>
      <c r="B7" s="233"/>
      <c r="C7"/>
      <c r="K7" s="192"/>
      <c r="L7" s="192"/>
      <c r="M7" s="192"/>
    </row>
    <row r="8" spans="1:229" s="193" customFormat="1" ht="15.6">
      <c r="A8" s="232"/>
      <c r="C8"/>
      <c r="K8" s="192"/>
      <c r="L8" s="192"/>
      <c r="M8" s="192"/>
    </row>
    <row r="9" spans="1:229" s="193" customFormat="1" ht="17.850000000000001" customHeight="1" thickBot="1">
      <c r="G9" s="192"/>
      <c r="H9" s="192"/>
      <c r="I9" s="192"/>
      <c r="K9" s="192"/>
      <c r="L9" s="192"/>
      <c r="M9" s="192"/>
      <c r="O9" s="192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  <c r="BM9" s="194"/>
      <c r="BN9" s="194"/>
      <c r="BO9" s="194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4"/>
      <c r="CF9" s="194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4"/>
      <c r="CT9" s="194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4"/>
      <c r="FB9" s="194"/>
      <c r="FC9" s="194"/>
      <c r="FD9" s="194"/>
      <c r="FE9" s="194"/>
      <c r="FF9" s="194"/>
      <c r="FG9" s="194"/>
      <c r="FH9" s="194"/>
      <c r="FI9" s="194"/>
      <c r="FJ9" s="194"/>
      <c r="FK9" s="194"/>
      <c r="FL9" s="194"/>
      <c r="FM9" s="194"/>
      <c r="FN9" s="194"/>
      <c r="FO9" s="194"/>
      <c r="FP9" s="194"/>
      <c r="FQ9" s="194"/>
      <c r="FR9" s="194"/>
      <c r="FS9" s="194"/>
      <c r="FT9" s="194"/>
      <c r="FU9" s="194"/>
      <c r="FV9" s="194"/>
      <c r="FW9" s="194"/>
      <c r="FX9" s="194"/>
      <c r="FY9" s="194"/>
      <c r="FZ9" s="194"/>
      <c r="GA9" s="194"/>
      <c r="GB9" s="194"/>
      <c r="GC9" s="194"/>
      <c r="GD9" s="194"/>
      <c r="GE9" s="194"/>
      <c r="GF9" s="194"/>
      <c r="GG9" s="194"/>
      <c r="GH9" s="194"/>
      <c r="GI9" s="194"/>
      <c r="GJ9" s="194"/>
      <c r="GK9" s="194"/>
      <c r="GL9" s="194"/>
      <c r="GM9" s="194"/>
      <c r="GN9" s="194"/>
      <c r="GO9" s="194"/>
      <c r="GP9" s="194"/>
      <c r="GQ9" s="194"/>
      <c r="GR9" s="194"/>
      <c r="GS9" s="194"/>
      <c r="GT9" s="194"/>
      <c r="GU9" s="194"/>
      <c r="GV9" s="194"/>
      <c r="GW9" s="194"/>
      <c r="GX9" s="194"/>
      <c r="GY9" s="194"/>
      <c r="GZ9" s="194"/>
      <c r="HA9" s="194"/>
      <c r="HB9" s="194"/>
      <c r="HC9" s="194"/>
      <c r="HD9" s="194"/>
      <c r="HE9" s="194"/>
      <c r="HF9" s="194"/>
      <c r="HG9" s="194"/>
      <c r="HH9" s="194"/>
      <c r="HI9" s="194"/>
      <c r="HJ9" s="194"/>
      <c r="HK9" s="194"/>
      <c r="HL9" s="194"/>
      <c r="HM9" s="194"/>
      <c r="HN9" s="194"/>
      <c r="HO9" s="194"/>
      <c r="HP9" s="194"/>
      <c r="HQ9" s="194"/>
      <c r="HR9" s="194"/>
      <c r="HS9" s="194"/>
      <c r="HT9" s="194"/>
      <c r="HU9" s="194"/>
    </row>
    <row r="10" spans="1:229" s="195" customFormat="1" ht="15.75" customHeight="1">
      <c r="A10" s="231" t="s">
        <v>3</v>
      </c>
      <c r="B10" s="230" t="s">
        <v>4</v>
      </c>
      <c r="C10" s="229" t="s">
        <v>45</v>
      </c>
      <c r="D10" s="229" t="s">
        <v>5</v>
      </c>
      <c r="E10" s="228" t="s">
        <v>6</v>
      </c>
      <c r="F10" s="192"/>
      <c r="G10" s="1327" t="s">
        <v>386</v>
      </c>
      <c r="H10" s="1328"/>
      <c r="I10" s="218"/>
      <c r="J10" s="1323" t="s">
        <v>7</v>
      </c>
      <c r="K10" s="1324"/>
      <c r="L10" s="797"/>
      <c r="M10" s="1323" t="s">
        <v>8</v>
      </c>
      <c r="N10" s="1324"/>
      <c r="O10" s="192"/>
    </row>
    <row r="11" spans="1:229" s="195" customFormat="1" ht="15.6" customHeight="1">
      <c r="A11" s="227" t="s">
        <v>9</v>
      </c>
      <c r="B11" s="226"/>
      <c r="C11" s="225" t="s">
        <v>9</v>
      </c>
      <c r="D11" s="225"/>
      <c r="E11" s="224" t="s">
        <v>10</v>
      </c>
      <c r="F11" s="192"/>
      <c r="G11" s="1329"/>
      <c r="H11" s="1330"/>
      <c r="I11" s="223"/>
      <c r="J11" s="1325"/>
      <c r="K11" s="1326"/>
      <c r="L11" s="797"/>
      <c r="M11" s="1325"/>
      <c r="N11" s="1326"/>
      <c r="O11" s="192"/>
    </row>
    <row r="12" spans="1:229" s="193" customFormat="1" ht="16.350000000000001" customHeight="1" thickBot="1">
      <c r="A12" s="222"/>
      <c r="B12" s="221"/>
      <c r="C12" s="220"/>
      <c r="D12" s="220"/>
      <c r="E12" s="219"/>
      <c r="F12" s="192"/>
      <c r="G12" s="794" t="str">
        <f>_Reportyearminus1</f>
        <v>2022-23</v>
      </c>
      <c r="H12" s="795" t="s">
        <v>11</v>
      </c>
      <c r="I12" s="218"/>
      <c r="J12" s="48" t="str">
        <f>_reportyear</f>
        <v>2023-24</v>
      </c>
      <c r="K12" s="793" t="s">
        <v>11</v>
      </c>
      <c r="M12" s="48" t="str">
        <f>_reportyearplus1</f>
        <v>2024-25</v>
      </c>
      <c r="N12" s="796" t="s">
        <v>11</v>
      </c>
      <c r="O12" s="192"/>
    </row>
    <row r="13" spans="1:229" s="193" customFormat="1">
      <c r="B13" s="217"/>
      <c r="F13" s="192"/>
      <c r="J13" s="192"/>
      <c r="K13" s="192"/>
      <c r="O13" s="192"/>
    </row>
    <row r="14" spans="1:229" s="193" customFormat="1" ht="12.95" thickBot="1">
      <c r="B14" s="217"/>
      <c r="F14" s="192"/>
      <c r="J14" s="192"/>
      <c r="K14" s="192"/>
      <c r="O14" s="192"/>
    </row>
    <row r="15" spans="1:229" s="211" customFormat="1" ht="15.95" thickBot="1">
      <c r="A15" s="216"/>
      <c r="B15" s="215" t="s">
        <v>387</v>
      </c>
      <c r="C15" s="214"/>
      <c r="D15" s="214"/>
      <c r="E15" s="213"/>
      <c r="F15" s="195"/>
      <c r="G15" s="195"/>
      <c r="H15" s="195"/>
      <c r="J15" s="195"/>
      <c r="K15" s="195"/>
      <c r="L15" s="192"/>
      <c r="M15" s="195"/>
      <c r="N15" s="195"/>
      <c r="O15" s="192"/>
    </row>
    <row r="16" spans="1:229" s="193" customFormat="1">
      <c r="A16" s="268" t="s">
        <v>388</v>
      </c>
      <c r="B16" s="269" t="s">
        <v>389</v>
      </c>
      <c r="C16" s="261" t="s">
        <v>388</v>
      </c>
      <c r="D16" s="261" t="s">
        <v>21</v>
      </c>
      <c r="E16" s="270" t="s">
        <v>390</v>
      </c>
      <c r="G16" s="711">
        <f>G63</f>
        <v>86.72</v>
      </c>
      <c r="H16" s="271" t="s">
        <v>18</v>
      </c>
      <c r="J16" s="711">
        <f>J63</f>
        <v>89.79</v>
      </c>
      <c r="K16" s="271" t="s">
        <v>18</v>
      </c>
      <c r="L16" s="192"/>
      <c r="M16" s="711">
        <f>M63</f>
        <v>88.03</v>
      </c>
      <c r="N16" s="271" t="s">
        <v>265</v>
      </c>
      <c r="O16" s="192"/>
    </row>
    <row r="17" spans="1:15" s="193" customFormat="1">
      <c r="A17" s="268" t="s">
        <v>391</v>
      </c>
      <c r="B17" s="269" t="s">
        <v>392</v>
      </c>
      <c r="C17" s="261" t="s">
        <v>391</v>
      </c>
      <c r="D17" s="261" t="s">
        <v>26</v>
      </c>
      <c r="E17" s="270" t="s">
        <v>27</v>
      </c>
      <c r="F17" s="272"/>
      <c r="G17" s="712">
        <f>G41/G40</f>
        <v>0.98406374501992033</v>
      </c>
      <c r="H17" s="273" t="s">
        <v>81</v>
      </c>
      <c r="I17" s="192"/>
      <c r="J17" s="712">
        <f>J41/J40</f>
        <v>0.99336149668074836</v>
      </c>
      <c r="K17" s="273" t="s">
        <v>81</v>
      </c>
      <c r="L17" s="272"/>
      <c r="M17" s="712">
        <f>M41/M40</f>
        <v>0.97745901639344257</v>
      </c>
      <c r="N17" s="273" t="s">
        <v>265</v>
      </c>
      <c r="O17" s="192"/>
    </row>
    <row r="18" spans="1:15" s="193" customFormat="1">
      <c r="A18" s="268" t="s">
        <v>393</v>
      </c>
      <c r="B18" s="269" t="s">
        <v>394</v>
      </c>
      <c r="C18" s="261" t="s">
        <v>393</v>
      </c>
      <c r="D18" s="261" t="s">
        <v>26</v>
      </c>
      <c r="E18" s="270" t="s">
        <v>27</v>
      </c>
      <c r="F18" s="272"/>
      <c r="G18" s="712">
        <f>G45/G44</f>
        <v>0.87948207171314741</v>
      </c>
      <c r="H18" s="273" t="s">
        <v>17</v>
      </c>
      <c r="I18" s="192"/>
      <c r="J18" s="712">
        <f>J45/J44</f>
        <v>0.90990990990990994</v>
      </c>
      <c r="K18" s="273" t="s">
        <v>17</v>
      </c>
      <c r="M18" s="712">
        <f>M45/M44</f>
        <v>0.91498405951115835</v>
      </c>
      <c r="N18" s="273" t="s">
        <v>265</v>
      </c>
      <c r="O18" s="192"/>
    </row>
    <row r="19" spans="1:15" s="193" customFormat="1">
      <c r="A19" s="268" t="s">
        <v>395</v>
      </c>
      <c r="B19" s="269" t="s">
        <v>396</v>
      </c>
      <c r="C19" s="261" t="s">
        <v>395</v>
      </c>
      <c r="D19" s="261" t="s">
        <v>21</v>
      </c>
      <c r="E19" s="274" t="s">
        <v>397</v>
      </c>
      <c r="F19" s="698"/>
      <c r="G19" s="388">
        <v>30586</v>
      </c>
      <c r="H19" s="713" t="s">
        <v>157</v>
      </c>
      <c r="I19" s="192"/>
      <c r="J19" s="388">
        <f>J34</f>
        <v>28091</v>
      </c>
      <c r="K19" s="713" t="s">
        <v>157</v>
      </c>
      <c r="L19" s="272"/>
      <c r="M19" s="388">
        <f>M34</f>
        <v>31345</v>
      </c>
      <c r="N19" s="713" t="s">
        <v>265</v>
      </c>
      <c r="O19" s="192"/>
    </row>
    <row r="20" spans="1:15" s="193" customFormat="1">
      <c r="A20" s="268" t="s">
        <v>398</v>
      </c>
      <c r="B20" s="276" t="s">
        <v>306</v>
      </c>
      <c r="C20" s="261" t="s">
        <v>398</v>
      </c>
      <c r="D20" s="261" t="s">
        <v>21</v>
      </c>
      <c r="E20" s="274" t="s">
        <v>399</v>
      </c>
      <c r="F20" s="698"/>
      <c r="G20" s="388">
        <v>163</v>
      </c>
      <c r="H20" s="713" t="s">
        <v>34</v>
      </c>
      <c r="I20" s="192"/>
      <c r="J20" s="388">
        <f>J38</f>
        <v>138</v>
      </c>
      <c r="K20" s="713" t="s">
        <v>34</v>
      </c>
      <c r="M20" s="388">
        <f>M38</f>
        <v>155</v>
      </c>
      <c r="N20" s="713" t="s">
        <v>265</v>
      </c>
      <c r="O20" s="192"/>
    </row>
    <row r="21" spans="1:15" s="193" customFormat="1">
      <c r="A21" s="277" t="s">
        <v>400</v>
      </c>
      <c r="B21" s="269" t="s">
        <v>301</v>
      </c>
      <c r="C21" s="278" t="s">
        <v>400</v>
      </c>
      <c r="D21" s="278" t="s">
        <v>21</v>
      </c>
      <c r="E21" s="270" t="s">
        <v>401</v>
      </c>
      <c r="F21" s="698"/>
      <c r="G21" s="388">
        <v>101</v>
      </c>
      <c r="H21" s="713" t="s">
        <v>34</v>
      </c>
      <c r="I21" s="212"/>
      <c r="J21" s="388">
        <f>J37</f>
        <v>67</v>
      </c>
      <c r="K21" s="713" t="s">
        <v>34</v>
      </c>
      <c r="M21" s="388">
        <f>M37</f>
        <v>75</v>
      </c>
      <c r="N21" s="713" t="s">
        <v>265</v>
      </c>
      <c r="O21" s="192"/>
    </row>
    <row r="22" spans="1:15" s="193" customFormat="1" ht="12.95" thickBot="1">
      <c r="A22" s="279" t="s">
        <v>402</v>
      </c>
      <c r="B22" s="280" t="s">
        <v>403</v>
      </c>
      <c r="C22" s="281" t="s">
        <v>402</v>
      </c>
      <c r="D22" s="281" t="s">
        <v>21</v>
      </c>
      <c r="E22" s="282" t="s">
        <v>404</v>
      </c>
      <c r="F22" s="212"/>
      <c r="G22" s="714">
        <v>0</v>
      </c>
      <c r="H22" s="715" t="s">
        <v>34</v>
      </c>
      <c r="I22" s="192"/>
      <c r="J22" s="714">
        <f>J39</f>
        <v>0</v>
      </c>
      <c r="K22" s="715" t="s">
        <v>34</v>
      </c>
      <c r="M22" s="714">
        <f>M39</f>
        <v>0</v>
      </c>
      <c r="N22" s="715" t="s">
        <v>265</v>
      </c>
    </row>
    <row r="23" spans="1:15" s="193" customFormat="1" ht="15.95" thickBot="1">
      <c r="A23" s="283"/>
      <c r="B23" s="284"/>
      <c r="C23" s="212"/>
      <c r="D23" s="212"/>
      <c r="E23" s="212"/>
      <c r="F23" s="192"/>
      <c r="G23" s="192"/>
      <c r="H23" s="192"/>
      <c r="I23" s="192"/>
      <c r="J23" s="192"/>
      <c r="K23" s="192"/>
      <c r="L23" s="211"/>
      <c r="M23" s="192"/>
      <c r="N23" s="192"/>
    </row>
    <row r="24" spans="1:15" s="193" customFormat="1" ht="15.95" thickBot="1">
      <c r="A24" s="216"/>
      <c r="B24" s="215" t="s">
        <v>405</v>
      </c>
      <c r="C24" s="214"/>
      <c r="D24" s="214"/>
      <c r="E24" s="213"/>
      <c r="F24" s="212"/>
      <c r="G24" s="212"/>
      <c r="H24" s="212"/>
      <c r="I24" s="212"/>
      <c r="J24" s="212"/>
      <c r="K24" s="192"/>
      <c r="L24" s="192"/>
      <c r="M24" s="212"/>
      <c r="N24" s="212"/>
      <c r="O24" s="192"/>
    </row>
    <row r="25" spans="1:15" s="193" customFormat="1">
      <c r="A25" s="643" t="s">
        <v>406</v>
      </c>
      <c r="B25" s="409" t="s">
        <v>407</v>
      </c>
      <c r="C25" s="408" t="s">
        <v>406</v>
      </c>
      <c r="D25" s="408" t="s">
        <v>21</v>
      </c>
      <c r="E25" s="410" t="s">
        <v>16</v>
      </c>
      <c r="F25" s="285"/>
      <c r="G25" s="286">
        <v>3720</v>
      </c>
      <c r="H25" s="287" t="s">
        <v>34</v>
      </c>
      <c r="I25" s="212"/>
      <c r="J25" s="286">
        <v>2941</v>
      </c>
      <c r="K25" s="287" t="s">
        <v>34</v>
      </c>
      <c r="L25" s="192"/>
      <c r="M25" s="286">
        <v>3583</v>
      </c>
      <c r="N25" s="287" t="s">
        <v>265</v>
      </c>
      <c r="O25" s="192"/>
    </row>
    <row r="26" spans="1:15" s="193" customFormat="1" ht="15.75" customHeight="1">
      <c r="A26" s="643" t="s">
        <v>408</v>
      </c>
      <c r="B26" s="409" t="s">
        <v>409</v>
      </c>
      <c r="C26" s="408" t="s">
        <v>408</v>
      </c>
      <c r="D26" s="408" t="s">
        <v>21</v>
      </c>
      <c r="E26" s="410" t="s">
        <v>16</v>
      </c>
      <c r="F26" s="285"/>
      <c r="G26" s="288">
        <v>4597</v>
      </c>
      <c r="H26" s="275" t="s">
        <v>34</v>
      </c>
      <c r="I26" s="212"/>
      <c r="J26" s="288">
        <v>3164</v>
      </c>
      <c r="K26" s="275" t="s">
        <v>34</v>
      </c>
      <c r="L26" s="192"/>
      <c r="M26" s="288">
        <v>3772</v>
      </c>
      <c r="N26" s="275" t="s">
        <v>265</v>
      </c>
      <c r="O26" s="192"/>
    </row>
    <row r="27" spans="1:15" s="193" customFormat="1">
      <c r="A27" s="643" t="s">
        <v>410</v>
      </c>
      <c r="B27" s="409" t="s">
        <v>411</v>
      </c>
      <c r="C27" s="408" t="s">
        <v>410</v>
      </c>
      <c r="D27" s="408" t="s">
        <v>21</v>
      </c>
      <c r="E27" s="410" t="s">
        <v>16</v>
      </c>
      <c r="F27" s="285"/>
      <c r="G27" s="288">
        <v>24418</v>
      </c>
      <c r="H27" s="275" t="s">
        <v>34</v>
      </c>
      <c r="I27" s="212"/>
      <c r="J27" s="288">
        <v>19384</v>
      </c>
      <c r="K27" s="275" t="s">
        <v>34</v>
      </c>
      <c r="L27" s="192"/>
      <c r="M27" s="288">
        <v>21803</v>
      </c>
      <c r="N27" s="275" t="s">
        <v>265</v>
      </c>
      <c r="O27" s="192"/>
    </row>
    <row r="28" spans="1:15" s="193" customFormat="1">
      <c r="A28" s="643" t="s">
        <v>412</v>
      </c>
      <c r="B28" s="409" t="s">
        <v>413</v>
      </c>
      <c r="C28" s="408" t="s">
        <v>412</v>
      </c>
      <c r="D28" s="408" t="s">
        <v>21</v>
      </c>
      <c r="E28" s="410" t="s">
        <v>16</v>
      </c>
      <c r="F28" s="285"/>
      <c r="G28" s="288">
        <v>1093</v>
      </c>
      <c r="H28" s="275" t="s">
        <v>34</v>
      </c>
      <c r="I28" s="212"/>
      <c r="J28" s="288">
        <v>506</v>
      </c>
      <c r="K28" s="275" t="s">
        <v>34</v>
      </c>
      <c r="L28" s="192"/>
      <c r="M28" s="288">
        <v>1521</v>
      </c>
      <c r="N28" s="275" t="s">
        <v>265</v>
      </c>
      <c r="O28" s="192"/>
    </row>
    <row r="29" spans="1:15" s="193" customFormat="1" ht="17.100000000000001" customHeight="1">
      <c r="A29" s="643" t="s">
        <v>414</v>
      </c>
      <c r="B29" s="409" t="s">
        <v>415</v>
      </c>
      <c r="C29" s="408" t="s">
        <v>414</v>
      </c>
      <c r="D29" s="408" t="s">
        <v>21</v>
      </c>
      <c r="E29" s="410" t="s">
        <v>16</v>
      </c>
      <c r="F29" s="285"/>
      <c r="G29" s="288">
        <v>17953</v>
      </c>
      <c r="H29" s="275" t="s">
        <v>34</v>
      </c>
      <c r="I29" s="212"/>
      <c r="J29" s="288">
        <v>13223</v>
      </c>
      <c r="K29" s="275" t="s">
        <v>34</v>
      </c>
      <c r="L29" s="192"/>
      <c r="M29" s="288">
        <v>16213</v>
      </c>
      <c r="N29" s="275" t="s">
        <v>265</v>
      </c>
      <c r="O29" s="192"/>
    </row>
    <row r="30" spans="1:15" s="193" customFormat="1" ht="24.95">
      <c r="A30" s="643" t="s">
        <v>416</v>
      </c>
      <c r="B30" s="409" t="s">
        <v>417</v>
      </c>
      <c r="C30" s="408" t="s">
        <v>416</v>
      </c>
      <c r="D30" s="408" t="s">
        <v>21</v>
      </c>
      <c r="E30" s="410" t="s">
        <v>27</v>
      </c>
      <c r="F30" s="285"/>
      <c r="G30" s="699">
        <f>SUM(G25:G28)-G29</f>
        <v>15875</v>
      </c>
      <c r="H30" s="688" t="s">
        <v>34</v>
      </c>
      <c r="I30" s="212"/>
      <c r="J30" s="699">
        <f>SUM(J25:J28)-J29</f>
        <v>12772</v>
      </c>
      <c r="K30" s="688" t="s">
        <v>34</v>
      </c>
      <c r="L30" s="192"/>
      <c r="M30" s="699">
        <f>SUM(M25:M28)-M29</f>
        <v>14466</v>
      </c>
      <c r="N30" s="688" t="s">
        <v>265</v>
      </c>
      <c r="O30" s="192"/>
    </row>
    <row r="31" spans="1:15" s="193" customFormat="1" ht="24.95">
      <c r="A31" s="643" t="s">
        <v>418</v>
      </c>
      <c r="B31" s="409" t="s">
        <v>419</v>
      </c>
      <c r="C31" s="408" t="s">
        <v>418</v>
      </c>
      <c r="D31" s="408" t="s">
        <v>21</v>
      </c>
      <c r="E31" s="410" t="s">
        <v>16</v>
      </c>
      <c r="F31" s="285"/>
      <c r="G31" s="288">
        <v>19916</v>
      </c>
      <c r="H31" s="275" t="s">
        <v>157</v>
      </c>
      <c r="I31" s="212"/>
      <c r="J31" s="288">
        <v>20481</v>
      </c>
      <c r="K31" s="275" t="s">
        <v>157</v>
      </c>
      <c r="L31" s="192"/>
      <c r="M31" s="288">
        <v>19350</v>
      </c>
      <c r="N31" s="275" t="s">
        <v>265</v>
      </c>
      <c r="O31" s="192"/>
    </row>
    <row r="32" spans="1:15" s="193" customFormat="1" ht="24.95">
      <c r="A32" s="643" t="s">
        <v>420</v>
      </c>
      <c r="B32" s="409" t="s">
        <v>421</v>
      </c>
      <c r="C32" s="408" t="s">
        <v>420</v>
      </c>
      <c r="D32" s="408" t="s">
        <v>21</v>
      </c>
      <c r="E32" s="410" t="s">
        <v>16</v>
      </c>
      <c r="F32" s="285"/>
      <c r="G32" s="288">
        <v>5205</v>
      </c>
      <c r="H32" s="275" t="s">
        <v>157</v>
      </c>
      <c r="I32" s="212"/>
      <c r="J32" s="288">
        <v>5162</v>
      </c>
      <c r="K32" s="275" t="s">
        <v>157</v>
      </c>
      <c r="L32" s="192"/>
      <c r="M32" s="288">
        <v>2471</v>
      </c>
      <c r="N32" s="275" t="s">
        <v>265</v>
      </c>
      <c r="O32" s="192"/>
    </row>
    <row r="33" spans="1:15" s="193" customFormat="1" ht="24.95">
      <c r="A33" s="643" t="s">
        <v>422</v>
      </c>
      <c r="B33" s="409" t="s">
        <v>423</v>
      </c>
      <c r="C33" s="408" t="s">
        <v>422</v>
      </c>
      <c r="D33" s="408" t="s">
        <v>21</v>
      </c>
      <c r="E33" s="410" t="s">
        <v>27</v>
      </c>
      <c r="F33" s="285"/>
      <c r="G33" s="699">
        <f>G31-G32</f>
        <v>14711</v>
      </c>
      <c r="H33" s="688" t="s">
        <v>157</v>
      </c>
      <c r="I33" s="212"/>
      <c r="J33" s="699">
        <f>J31-J32</f>
        <v>15319</v>
      </c>
      <c r="K33" s="688" t="s">
        <v>157</v>
      </c>
      <c r="L33" s="192"/>
      <c r="M33" s="699">
        <f>M31-M32</f>
        <v>16879</v>
      </c>
      <c r="N33" s="688" t="s">
        <v>265</v>
      </c>
      <c r="O33" s="192"/>
    </row>
    <row r="34" spans="1:15" s="193" customFormat="1" ht="12.95" thickBot="1">
      <c r="A34" s="647" t="s">
        <v>424</v>
      </c>
      <c r="B34" s="411" t="s">
        <v>425</v>
      </c>
      <c r="C34" s="412" t="s">
        <v>424</v>
      </c>
      <c r="D34" s="412" t="s">
        <v>21</v>
      </c>
      <c r="E34" s="413" t="s">
        <v>27</v>
      </c>
      <c r="F34" s="285"/>
      <c r="G34" s="700">
        <f>G30+G33</f>
        <v>30586</v>
      </c>
      <c r="H34" s="701" t="s">
        <v>157</v>
      </c>
      <c r="I34" s="212"/>
      <c r="J34" s="700">
        <f>J30+J33</f>
        <v>28091</v>
      </c>
      <c r="K34" s="701" t="s">
        <v>157</v>
      </c>
      <c r="L34" s="192"/>
      <c r="M34" s="700">
        <f>M30+M33</f>
        <v>31345</v>
      </c>
      <c r="N34" s="701" t="s">
        <v>265</v>
      </c>
      <c r="O34" s="192"/>
    </row>
    <row r="35" spans="1:15" s="193" customFormat="1" ht="12.95" thickBot="1">
      <c r="A35" s="212"/>
      <c r="B35" s="284"/>
      <c r="C35" s="212"/>
      <c r="D35" s="212"/>
      <c r="E35" s="212"/>
      <c r="F35" s="285"/>
      <c r="O35" s="192"/>
    </row>
    <row r="36" spans="1:15" s="193" customFormat="1" ht="15.95" thickBot="1">
      <c r="A36" s="216"/>
      <c r="B36" s="215" t="s">
        <v>426</v>
      </c>
      <c r="C36" s="214"/>
      <c r="D36" s="214"/>
      <c r="E36" s="213"/>
      <c r="F36" s="212"/>
      <c r="G36" s="212"/>
      <c r="H36" s="212"/>
      <c r="I36" s="212"/>
      <c r="J36" s="212"/>
      <c r="K36" s="192"/>
      <c r="L36" s="192"/>
      <c r="M36" s="212"/>
      <c r="N36" s="212"/>
      <c r="O36" s="192"/>
    </row>
    <row r="37" spans="1:15" s="193" customFormat="1">
      <c r="A37" s="648" t="s">
        <v>427</v>
      </c>
      <c r="B37" s="414" t="s">
        <v>301</v>
      </c>
      <c r="C37" s="415" t="s">
        <v>427</v>
      </c>
      <c r="D37" s="415" t="s">
        <v>21</v>
      </c>
      <c r="E37" s="416" t="s">
        <v>16</v>
      </c>
      <c r="F37" s="289"/>
      <c r="G37" s="290">
        <v>101</v>
      </c>
      <c r="H37" s="691" t="s">
        <v>34</v>
      </c>
      <c r="I37" s="212"/>
      <c r="J37" s="290">
        <v>67</v>
      </c>
      <c r="K37" s="691" t="s">
        <v>34</v>
      </c>
      <c r="L37" s="192"/>
      <c r="M37" s="290">
        <v>75</v>
      </c>
      <c r="N37" s="691" t="s">
        <v>265</v>
      </c>
      <c r="O37" s="192"/>
    </row>
    <row r="38" spans="1:15" s="193" customFormat="1">
      <c r="A38" s="649" t="s">
        <v>428</v>
      </c>
      <c r="B38" s="269" t="s">
        <v>429</v>
      </c>
      <c r="C38" s="278" t="s">
        <v>428</v>
      </c>
      <c r="D38" s="278" t="s">
        <v>21</v>
      </c>
      <c r="E38" s="417" t="s">
        <v>16</v>
      </c>
      <c r="F38" s="289"/>
      <c r="G38" s="291">
        <v>163</v>
      </c>
      <c r="H38" s="688" t="s">
        <v>34</v>
      </c>
      <c r="I38" s="212"/>
      <c r="J38" s="291">
        <v>138</v>
      </c>
      <c r="K38" s="688" t="s">
        <v>34</v>
      </c>
      <c r="L38" s="192"/>
      <c r="M38" s="291">
        <v>155</v>
      </c>
      <c r="N38" s="688" t="s">
        <v>265</v>
      </c>
      <c r="O38" s="192"/>
    </row>
    <row r="39" spans="1:15" s="193" customFormat="1">
      <c r="A39" s="649" t="s">
        <v>430</v>
      </c>
      <c r="B39" s="269" t="s">
        <v>267</v>
      </c>
      <c r="C39" s="278" t="s">
        <v>430</v>
      </c>
      <c r="D39" s="278" t="s">
        <v>21</v>
      </c>
      <c r="E39" s="417" t="s">
        <v>16</v>
      </c>
      <c r="F39" s="289"/>
      <c r="G39" s="291">
        <v>0</v>
      </c>
      <c r="H39" s="688" t="s">
        <v>34</v>
      </c>
      <c r="I39" s="212"/>
      <c r="J39" s="291">
        <v>0</v>
      </c>
      <c r="K39" s="688" t="s">
        <v>34</v>
      </c>
      <c r="L39" s="192"/>
      <c r="M39" s="291">
        <v>0</v>
      </c>
      <c r="N39" s="688" t="s">
        <v>265</v>
      </c>
      <c r="O39" s="192"/>
    </row>
    <row r="40" spans="1:15" s="193" customFormat="1">
      <c r="A40" s="649" t="s">
        <v>431</v>
      </c>
      <c r="B40" s="269" t="s">
        <v>432</v>
      </c>
      <c r="C40" s="278" t="s">
        <v>431</v>
      </c>
      <c r="D40" s="278" t="s">
        <v>21</v>
      </c>
      <c r="E40" s="417" t="s">
        <v>16</v>
      </c>
      <c r="F40" s="289"/>
      <c r="G40" s="291">
        <v>1255</v>
      </c>
      <c r="H40" s="688" t="s">
        <v>81</v>
      </c>
      <c r="I40" s="212"/>
      <c r="J40" s="291">
        <v>1657</v>
      </c>
      <c r="K40" s="688" t="s">
        <v>81</v>
      </c>
      <c r="L40" s="192"/>
      <c r="M40" s="291">
        <v>1464</v>
      </c>
      <c r="N40" s="688" t="s">
        <v>265</v>
      </c>
      <c r="O40" s="192"/>
    </row>
    <row r="41" spans="1:15" s="193" customFormat="1">
      <c r="A41" s="649" t="s">
        <v>433</v>
      </c>
      <c r="B41" s="269" t="s">
        <v>434</v>
      </c>
      <c r="C41" s="278" t="s">
        <v>433</v>
      </c>
      <c r="D41" s="278" t="s">
        <v>21</v>
      </c>
      <c r="E41" s="417" t="s">
        <v>16</v>
      </c>
      <c r="F41" s="289"/>
      <c r="G41" s="291">
        <v>1235</v>
      </c>
      <c r="H41" s="689" t="s">
        <v>81</v>
      </c>
      <c r="I41" s="212"/>
      <c r="J41" s="291">
        <v>1646</v>
      </c>
      <c r="K41" s="689" t="s">
        <v>81</v>
      </c>
      <c r="L41" s="192"/>
      <c r="M41" s="291">
        <v>1431</v>
      </c>
      <c r="N41" s="689" t="s">
        <v>265</v>
      </c>
      <c r="O41" s="192"/>
    </row>
    <row r="42" spans="1:15" s="193" customFormat="1">
      <c r="A42" s="649" t="s">
        <v>435</v>
      </c>
      <c r="B42" s="269" t="s">
        <v>436</v>
      </c>
      <c r="C42" s="278" t="s">
        <v>435</v>
      </c>
      <c r="D42" s="278" t="s">
        <v>21</v>
      </c>
      <c r="E42" s="417" t="s">
        <v>16</v>
      </c>
      <c r="F42" s="289"/>
      <c r="G42" s="291">
        <v>1255</v>
      </c>
      <c r="H42" s="689" t="s">
        <v>81</v>
      </c>
      <c r="I42" s="212"/>
      <c r="J42" s="291">
        <v>1656</v>
      </c>
      <c r="K42" s="689" t="s">
        <v>81</v>
      </c>
      <c r="L42" s="192"/>
      <c r="M42" s="291">
        <v>1463</v>
      </c>
      <c r="N42" s="689" t="s">
        <v>265</v>
      </c>
      <c r="O42" s="192"/>
    </row>
    <row r="43" spans="1:15" s="193" customFormat="1">
      <c r="A43" s="649" t="s">
        <v>437</v>
      </c>
      <c r="B43" s="269" t="s">
        <v>438</v>
      </c>
      <c r="C43" s="278" t="s">
        <v>437</v>
      </c>
      <c r="D43" s="278" t="s">
        <v>21</v>
      </c>
      <c r="E43" s="417" t="s">
        <v>16</v>
      </c>
      <c r="F43" s="289"/>
      <c r="G43" s="291">
        <v>1241</v>
      </c>
      <c r="H43" s="689" t="s">
        <v>81</v>
      </c>
      <c r="I43" s="212"/>
      <c r="J43" s="291">
        <v>1650</v>
      </c>
      <c r="K43" s="689" t="s">
        <v>81</v>
      </c>
      <c r="L43" s="192"/>
      <c r="M43" s="291">
        <v>1434</v>
      </c>
      <c r="N43" s="689" t="s">
        <v>265</v>
      </c>
      <c r="O43" s="192"/>
    </row>
    <row r="44" spans="1:15" s="193" customFormat="1">
      <c r="A44" s="649" t="s">
        <v>439</v>
      </c>
      <c r="B44" s="269" t="s">
        <v>440</v>
      </c>
      <c r="C44" s="278" t="s">
        <v>439</v>
      </c>
      <c r="D44" s="278" t="s">
        <v>21</v>
      </c>
      <c r="E44" s="417" t="s">
        <v>16</v>
      </c>
      <c r="F44" s="289"/>
      <c r="G44" s="291">
        <v>1004</v>
      </c>
      <c r="H44" s="689" t="s">
        <v>17</v>
      </c>
      <c r="I44" s="212"/>
      <c r="J44" s="291">
        <v>888</v>
      </c>
      <c r="K44" s="689" t="s">
        <v>17</v>
      </c>
      <c r="L44" s="192"/>
      <c r="M44" s="291">
        <v>941</v>
      </c>
      <c r="N44" s="689" t="s">
        <v>265</v>
      </c>
      <c r="O44" s="192"/>
    </row>
    <row r="45" spans="1:15" s="193" customFormat="1" ht="12.95" thickBot="1">
      <c r="A45" s="650" t="s">
        <v>441</v>
      </c>
      <c r="B45" s="418" t="s">
        <v>442</v>
      </c>
      <c r="C45" s="419" t="s">
        <v>441</v>
      </c>
      <c r="D45" s="419" t="s">
        <v>21</v>
      </c>
      <c r="E45" s="420" t="s">
        <v>16</v>
      </c>
      <c r="F45" s="289"/>
      <c r="G45" s="292">
        <v>883</v>
      </c>
      <c r="H45" s="293" t="s">
        <v>17</v>
      </c>
      <c r="I45" s="212"/>
      <c r="J45" s="292">
        <v>808</v>
      </c>
      <c r="K45" s="293" t="s">
        <v>17</v>
      </c>
      <c r="L45" s="192"/>
      <c r="M45" s="292">
        <v>861</v>
      </c>
      <c r="N45" s="701" t="s">
        <v>265</v>
      </c>
      <c r="O45" s="192"/>
    </row>
    <row r="46" spans="1:15" s="193" customFormat="1" ht="12.95" thickBot="1">
      <c r="B46" s="217"/>
      <c r="F46" s="192"/>
      <c r="K46" s="192"/>
      <c r="O46" s="192"/>
    </row>
    <row r="47" spans="1:15" s="193" customFormat="1" ht="15.95" thickBot="1">
      <c r="A47" s="216"/>
      <c r="B47" s="215" t="s">
        <v>443</v>
      </c>
      <c r="C47" s="214"/>
      <c r="D47" s="214"/>
      <c r="E47" s="213"/>
      <c r="F47" s="212"/>
      <c r="G47" s="212"/>
      <c r="H47" s="212"/>
      <c r="I47" s="212"/>
      <c r="J47" s="212"/>
      <c r="K47" s="192"/>
      <c r="L47" s="192"/>
      <c r="M47" s="212"/>
      <c r="N47" s="212"/>
      <c r="O47" s="192"/>
    </row>
    <row r="48" spans="1:15" s="193" customFormat="1" ht="17.850000000000001" customHeight="1">
      <c r="A48" s="648" t="s">
        <v>444</v>
      </c>
      <c r="B48" s="414" t="s">
        <v>445</v>
      </c>
      <c r="C48" s="421" t="s">
        <v>444</v>
      </c>
      <c r="D48" s="421" t="s">
        <v>21</v>
      </c>
      <c r="E48" s="422" t="s">
        <v>16</v>
      </c>
      <c r="F48" s="212"/>
      <c r="G48" s="989">
        <v>128132</v>
      </c>
      <c r="H48" s="691" t="s">
        <v>34</v>
      </c>
      <c r="I48" s="212"/>
      <c r="J48" s="989">
        <v>122164</v>
      </c>
      <c r="K48" s="691" t="s">
        <v>34</v>
      </c>
      <c r="L48" s="192"/>
      <c r="M48" s="989">
        <v>116824</v>
      </c>
      <c r="N48" s="691" t="s">
        <v>265</v>
      </c>
      <c r="O48" s="192"/>
    </row>
    <row r="49" spans="1:15" s="193" customFormat="1" ht="24.95">
      <c r="A49" s="649" t="s">
        <v>446</v>
      </c>
      <c r="B49" s="269" t="s">
        <v>447</v>
      </c>
      <c r="C49" s="261" t="s">
        <v>446</v>
      </c>
      <c r="D49" s="261" t="s">
        <v>21</v>
      </c>
      <c r="E49" s="423" t="s">
        <v>16</v>
      </c>
      <c r="F49" s="212"/>
      <c r="G49" s="294">
        <v>61538</v>
      </c>
      <c r="H49" s="688" t="s">
        <v>34</v>
      </c>
      <c r="I49" s="212"/>
      <c r="J49" s="294">
        <v>59123</v>
      </c>
      <c r="K49" s="688" t="s">
        <v>34</v>
      </c>
      <c r="L49" s="192"/>
      <c r="M49" s="294">
        <v>56169</v>
      </c>
      <c r="N49" s="688" t="s">
        <v>265</v>
      </c>
      <c r="O49" s="192"/>
    </row>
    <row r="50" spans="1:15" s="193" customFormat="1" ht="24.95">
      <c r="A50" s="649" t="s">
        <v>448</v>
      </c>
      <c r="B50" s="269" t="s">
        <v>449</v>
      </c>
      <c r="C50" s="261" t="s">
        <v>448</v>
      </c>
      <c r="D50" s="261" t="s">
        <v>21</v>
      </c>
      <c r="E50" s="423" t="s">
        <v>27</v>
      </c>
      <c r="F50" s="212"/>
      <c r="G50" s="991">
        <f>G48-G49</f>
        <v>66594</v>
      </c>
      <c r="H50" s="688" t="s">
        <v>34</v>
      </c>
      <c r="I50" s="212"/>
      <c r="J50" s="991">
        <f>J48-J49</f>
        <v>63041</v>
      </c>
      <c r="K50" s="688" t="s">
        <v>34</v>
      </c>
      <c r="L50" s="702"/>
      <c r="M50" s="991">
        <f>M48-M49</f>
        <v>60655</v>
      </c>
      <c r="N50" s="688" t="s">
        <v>265</v>
      </c>
      <c r="O50" s="192"/>
    </row>
    <row r="51" spans="1:15" s="193" customFormat="1">
      <c r="A51" s="649" t="s">
        <v>450</v>
      </c>
      <c r="B51" s="269" t="s">
        <v>451</v>
      </c>
      <c r="C51" s="261" t="s">
        <v>450</v>
      </c>
      <c r="D51" s="261" t="s">
        <v>21</v>
      </c>
      <c r="E51" s="423" t="s">
        <v>16</v>
      </c>
      <c r="G51" s="294">
        <v>22</v>
      </c>
      <c r="H51" s="689" t="s">
        <v>34</v>
      </c>
      <c r="I51" s="212"/>
      <c r="J51" s="294">
        <v>6</v>
      </c>
      <c r="K51" s="689" t="s">
        <v>34</v>
      </c>
      <c r="M51" s="294">
        <v>18</v>
      </c>
      <c r="N51" s="689" t="s">
        <v>265</v>
      </c>
      <c r="O51" s="192"/>
    </row>
    <row r="52" spans="1:15" s="193" customFormat="1">
      <c r="A52" s="649" t="s">
        <v>452</v>
      </c>
      <c r="B52" s="269" t="s">
        <v>453</v>
      </c>
      <c r="C52" s="261" t="s">
        <v>452</v>
      </c>
      <c r="D52" s="261" t="s">
        <v>21</v>
      </c>
      <c r="E52" s="423" t="s">
        <v>16</v>
      </c>
      <c r="G52" s="294">
        <v>6</v>
      </c>
      <c r="H52" s="689" t="s">
        <v>34</v>
      </c>
      <c r="I52" s="212"/>
      <c r="J52" s="294">
        <v>2</v>
      </c>
      <c r="K52" s="689" t="s">
        <v>34</v>
      </c>
      <c r="M52" s="294">
        <v>5</v>
      </c>
      <c r="N52" s="689" t="s">
        <v>265</v>
      </c>
      <c r="O52" s="192"/>
    </row>
    <row r="53" spans="1:15" s="193" customFormat="1">
      <c r="A53" s="649" t="s">
        <v>454</v>
      </c>
      <c r="B53" s="269" t="s">
        <v>455</v>
      </c>
      <c r="C53" s="261" t="s">
        <v>454</v>
      </c>
      <c r="D53" s="261" t="s">
        <v>21</v>
      </c>
      <c r="E53" s="423" t="s">
        <v>16</v>
      </c>
      <c r="F53" s="212"/>
      <c r="G53" s="294">
        <v>0</v>
      </c>
      <c r="H53" s="689" t="s">
        <v>34</v>
      </c>
      <c r="I53" s="212"/>
      <c r="J53" s="294">
        <v>0</v>
      </c>
      <c r="K53" s="689" t="s">
        <v>34</v>
      </c>
      <c r="L53" s="192"/>
      <c r="M53" s="294">
        <v>0</v>
      </c>
      <c r="N53" s="689" t="s">
        <v>265</v>
      </c>
      <c r="O53" s="192"/>
    </row>
    <row r="54" spans="1:15" s="193" customFormat="1">
      <c r="A54" s="649" t="s">
        <v>456</v>
      </c>
      <c r="B54" s="269" t="s">
        <v>457</v>
      </c>
      <c r="C54" s="261" t="s">
        <v>456</v>
      </c>
      <c r="D54" s="261" t="s">
        <v>21</v>
      </c>
      <c r="E54" s="423" t="s">
        <v>16</v>
      </c>
      <c r="F54" s="212"/>
      <c r="G54" s="294">
        <v>347</v>
      </c>
      <c r="H54" s="689" t="s">
        <v>17</v>
      </c>
      <c r="I54" s="212"/>
      <c r="J54" s="294">
        <v>295</v>
      </c>
      <c r="K54" s="689" t="s">
        <v>17</v>
      </c>
      <c r="L54" s="192"/>
      <c r="M54" s="294">
        <v>308</v>
      </c>
      <c r="N54" s="689" t="s">
        <v>265</v>
      </c>
      <c r="O54" s="192"/>
    </row>
    <row r="55" spans="1:15" s="193" customFormat="1">
      <c r="A55" s="649" t="s">
        <v>458</v>
      </c>
      <c r="B55" s="269" t="s">
        <v>459</v>
      </c>
      <c r="C55" s="261" t="s">
        <v>458</v>
      </c>
      <c r="D55" s="261" t="s">
        <v>21</v>
      </c>
      <c r="E55" s="423" t="s">
        <v>16</v>
      </c>
      <c r="F55" s="212"/>
      <c r="G55" s="294">
        <v>283</v>
      </c>
      <c r="H55" s="689" t="s">
        <v>17</v>
      </c>
      <c r="I55" s="212"/>
      <c r="J55" s="294">
        <v>250</v>
      </c>
      <c r="K55" s="689" t="s">
        <v>17</v>
      </c>
      <c r="L55" s="192"/>
      <c r="M55" s="294">
        <v>265</v>
      </c>
      <c r="N55" s="689" t="s">
        <v>265</v>
      </c>
      <c r="O55" s="192"/>
    </row>
    <row r="56" spans="1:15" s="193" customFormat="1">
      <c r="A56" s="649" t="s">
        <v>460</v>
      </c>
      <c r="B56" s="269" t="s">
        <v>461</v>
      </c>
      <c r="C56" s="261" t="s">
        <v>460</v>
      </c>
      <c r="D56" s="261" t="s">
        <v>21</v>
      </c>
      <c r="E56" s="423" t="s">
        <v>16</v>
      </c>
      <c r="F56" s="212"/>
      <c r="G56" s="294">
        <v>571</v>
      </c>
      <c r="H56" s="689" t="s">
        <v>17</v>
      </c>
      <c r="I56" s="212"/>
      <c r="J56" s="294">
        <v>539</v>
      </c>
      <c r="K56" s="689" t="s">
        <v>17</v>
      </c>
      <c r="L56" s="192"/>
      <c r="M56" s="294">
        <v>567</v>
      </c>
      <c r="N56" s="689" t="s">
        <v>265</v>
      </c>
      <c r="O56" s="192"/>
    </row>
    <row r="57" spans="1:15" s="193" customFormat="1">
      <c r="A57" s="649" t="s">
        <v>462</v>
      </c>
      <c r="B57" s="269" t="s">
        <v>463</v>
      </c>
      <c r="C57" s="261" t="s">
        <v>462</v>
      </c>
      <c r="D57" s="261" t="s">
        <v>21</v>
      </c>
      <c r="E57" s="423" t="s">
        <v>16</v>
      </c>
      <c r="F57" s="212"/>
      <c r="G57" s="294">
        <v>458</v>
      </c>
      <c r="H57" s="689" t="s">
        <v>17</v>
      </c>
      <c r="I57" s="212"/>
      <c r="J57" s="294">
        <v>430</v>
      </c>
      <c r="K57" s="689" t="s">
        <v>17</v>
      </c>
      <c r="L57" s="192"/>
      <c r="M57" s="294">
        <v>448</v>
      </c>
      <c r="N57" s="689" t="s">
        <v>265</v>
      </c>
      <c r="O57" s="192"/>
    </row>
    <row r="58" spans="1:15" s="193" customFormat="1">
      <c r="A58" s="649" t="s">
        <v>464</v>
      </c>
      <c r="B58" s="269" t="s">
        <v>465</v>
      </c>
      <c r="C58" s="278" t="s">
        <v>464</v>
      </c>
      <c r="D58" s="278" t="s">
        <v>21</v>
      </c>
      <c r="E58" s="417" t="s">
        <v>16</v>
      </c>
      <c r="F58" s="212"/>
      <c r="G58" s="294">
        <v>367</v>
      </c>
      <c r="H58" s="689" t="s">
        <v>17</v>
      </c>
      <c r="I58" s="212"/>
      <c r="J58" s="294">
        <v>407</v>
      </c>
      <c r="K58" s="689" t="s">
        <v>17</v>
      </c>
      <c r="L58" s="192"/>
      <c r="M58" s="294">
        <v>424</v>
      </c>
      <c r="N58" s="689" t="s">
        <v>265</v>
      </c>
      <c r="O58" s="192"/>
    </row>
    <row r="59" spans="1:15" s="193" customFormat="1" ht="12.95" thickBot="1">
      <c r="A59" s="650" t="s">
        <v>466</v>
      </c>
      <c r="B59" s="418" t="s">
        <v>467</v>
      </c>
      <c r="C59" s="419" t="s">
        <v>466</v>
      </c>
      <c r="D59" s="419" t="s">
        <v>21</v>
      </c>
      <c r="E59" s="420" t="s">
        <v>16</v>
      </c>
      <c r="F59" s="212"/>
      <c r="G59" s="990">
        <v>286</v>
      </c>
      <c r="H59" s="293" t="s">
        <v>17</v>
      </c>
      <c r="I59" s="212"/>
      <c r="J59" s="990">
        <v>301</v>
      </c>
      <c r="K59" s="293" t="s">
        <v>17</v>
      </c>
      <c r="L59" s="192"/>
      <c r="M59" s="990">
        <v>317</v>
      </c>
      <c r="N59" s="293" t="s">
        <v>265</v>
      </c>
      <c r="O59" s="192"/>
    </row>
    <row r="60" spans="1:15" ht="12.95" thickBot="1"/>
    <row r="61" spans="1:15" s="193" customFormat="1" ht="15.95" thickBot="1">
      <c r="A61" s="216"/>
      <c r="B61" s="215" t="s">
        <v>468</v>
      </c>
      <c r="C61" s="214"/>
      <c r="D61" s="214"/>
      <c r="E61" s="213"/>
      <c r="F61" s="212"/>
      <c r="G61" s="212"/>
      <c r="H61" s="212"/>
      <c r="I61" s="212"/>
      <c r="J61" s="212"/>
      <c r="K61" s="192"/>
      <c r="L61" s="192"/>
      <c r="M61" s="212"/>
      <c r="N61" s="212"/>
      <c r="O61" s="192"/>
    </row>
    <row r="62" spans="1:15" s="193" customFormat="1">
      <c r="A62" s="787" t="s">
        <v>469</v>
      </c>
      <c r="B62" s="788" t="s">
        <v>470</v>
      </c>
      <c r="C62" s="789" t="s">
        <v>469</v>
      </c>
      <c r="D62" s="789" t="s">
        <v>21</v>
      </c>
      <c r="E62" s="790" t="s">
        <v>16</v>
      </c>
      <c r="F62" s="212"/>
      <c r="G62" s="295" t="s">
        <v>471</v>
      </c>
      <c r="H62" s="691" t="s">
        <v>34</v>
      </c>
      <c r="I62" s="212"/>
      <c r="J62" s="295" t="s">
        <v>472</v>
      </c>
      <c r="K62" s="691" t="s">
        <v>34</v>
      </c>
      <c r="L62" s="192"/>
      <c r="M62" s="295" t="s">
        <v>473</v>
      </c>
      <c r="N62" s="691" t="s">
        <v>265</v>
      </c>
      <c r="O62" s="192"/>
    </row>
    <row r="63" spans="1:15" s="193" customFormat="1">
      <c r="A63" s="268" t="s">
        <v>474</v>
      </c>
      <c r="B63" s="269" t="s">
        <v>475</v>
      </c>
      <c r="C63" s="261" t="s">
        <v>474</v>
      </c>
      <c r="D63" s="261" t="s">
        <v>21</v>
      </c>
      <c r="E63" s="270" t="s">
        <v>27</v>
      </c>
      <c r="F63" s="212"/>
      <c r="G63" s="296">
        <f>ROUNDDOWN(G65+G72,2)</f>
        <v>86.72</v>
      </c>
      <c r="H63" s="688" t="s">
        <v>18</v>
      </c>
      <c r="I63" s="212"/>
      <c r="J63" s="296">
        <f>ROUNDDOWN(J65+J72,2)</f>
        <v>89.79</v>
      </c>
      <c r="K63" s="688" t="s">
        <v>18</v>
      </c>
      <c r="L63" s="192"/>
      <c r="M63" s="296">
        <f>ROUNDDOWN(M65+M72,2)</f>
        <v>88.03</v>
      </c>
      <c r="N63" s="688" t="s">
        <v>265</v>
      </c>
      <c r="O63" s="192"/>
    </row>
    <row r="64" spans="1:15" s="193" customFormat="1">
      <c r="A64" s="268" t="s">
        <v>476</v>
      </c>
      <c r="B64" s="269" t="s">
        <v>477</v>
      </c>
      <c r="C64" s="261" t="s">
        <v>476</v>
      </c>
      <c r="D64" s="261" t="s">
        <v>21</v>
      </c>
      <c r="E64" s="270" t="s">
        <v>16</v>
      </c>
      <c r="F64" s="212"/>
      <c r="G64" s="291">
        <v>159219</v>
      </c>
      <c r="H64" s="126" t="s">
        <v>81</v>
      </c>
      <c r="I64" s="212"/>
      <c r="J64" s="291">
        <v>160736</v>
      </c>
      <c r="K64" s="126" t="s">
        <v>81</v>
      </c>
      <c r="L64" s="192"/>
      <c r="M64" s="291">
        <v>160736</v>
      </c>
      <c r="N64" s="126" t="s">
        <v>265</v>
      </c>
      <c r="O64" s="192"/>
    </row>
    <row r="65" spans="1:15" s="193" customFormat="1">
      <c r="A65" s="268" t="s">
        <v>478</v>
      </c>
      <c r="B65" s="269" t="s">
        <v>479</v>
      </c>
      <c r="C65" s="261" t="s">
        <v>478</v>
      </c>
      <c r="D65" s="261" t="s">
        <v>21</v>
      </c>
      <c r="E65" s="270" t="s">
        <v>27</v>
      </c>
      <c r="F65" s="212"/>
      <c r="G65" s="297">
        <f>(1-((((G19*0.5)+(G21*50)+(G20*100)+(G22*1000))/(G$64/1000))-0)/(2400-0))*(50)</f>
        <v>45.205372265035372</v>
      </c>
      <c r="H65" s="688" t="s">
        <v>157</v>
      </c>
      <c r="I65" s="212"/>
      <c r="J65" s="297">
        <f>(1-((((J19*0.5)+(J21*50)+(J20*100)+(J22*1000))/(J$64/1000))-0)/(2400-0))*(50)</f>
        <v>45.95668518564603</v>
      </c>
      <c r="K65" s="688" t="s">
        <v>157</v>
      </c>
      <c r="L65" s="192"/>
      <c r="M65" s="297">
        <f>(1-((((M19*0.5)+(M21*50)+(M20*100)+(M22*1000))/(M$64/1000))-0)/(2400-0))*(50)</f>
        <v>45.473620823379122</v>
      </c>
      <c r="N65" s="688" t="s">
        <v>265</v>
      </c>
      <c r="O65" s="192"/>
    </row>
    <row r="66" spans="1:15" s="193" customFormat="1">
      <c r="A66" s="268" t="s">
        <v>480</v>
      </c>
      <c r="B66" s="269" t="s">
        <v>481</v>
      </c>
      <c r="C66" s="261" t="s">
        <v>480</v>
      </c>
      <c r="D66" s="261" t="s">
        <v>21</v>
      </c>
      <c r="E66" s="270" t="s">
        <v>16</v>
      </c>
      <c r="F66" s="212"/>
      <c r="G66" s="883">
        <v>2</v>
      </c>
      <c r="H66" s="688" t="s">
        <v>157</v>
      </c>
      <c r="I66" s="212"/>
      <c r="J66" s="883">
        <v>1.8204669976441703</v>
      </c>
      <c r="K66" s="688" t="s">
        <v>157</v>
      </c>
      <c r="L66" s="192"/>
      <c r="M66" s="883">
        <v>2.0312999999999999</v>
      </c>
      <c r="N66" s="688" t="s">
        <v>265</v>
      </c>
      <c r="O66" s="192"/>
    </row>
    <row r="67" spans="1:15" s="193" customFormat="1">
      <c r="A67" s="268" t="s">
        <v>482</v>
      </c>
      <c r="B67" s="269" t="s">
        <v>483</v>
      </c>
      <c r="C67" s="261" t="s">
        <v>482</v>
      </c>
      <c r="D67" s="261" t="s">
        <v>21</v>
      </c>
      <c r="E67" s="270" t="s">
        <v>16</v>
      </c>
      <c r="F67" s="212"/>
      <c r="G67" s="883">
        <v>0.66</v>
      </c>
      <c r="H67" s="688" t="s">
        <v>34</v>
      </c>
      <c r="I67" s="212"/>
      <c r="J67" s="883">
        <v>0.43</v>
      </c>
      <c r="K67" s="688" t="s">
        <v>34</v>
      </c>
      <c r="L67" s="192"/>
      <c r="M67" s="883">
        <v>0.48599999999999999</v>
      </c>
      <c r="N67" s="688" t="s">
        <v>265</v>
      </c>
      <c r="O67" s="192"/>
    </row>
    <row r="68" spans="1:15" s="193" customFormat="1">
      <c r="A68" s="268" t="s">
        <v>484</v>
      </c>
      <c r="B68" s="269" t="s">
        <v>485</v>
      </c>
      <c r="C68" s="261" t="s">
        <v>484</v>
      </c>
      <c r="D68" s="261" t="s">
        <v>21</v>
      </c>
      <c r="E68" s="270" t="s">
        <v>16</v>
      </c>
      <c r="F68" s="212"/>
      <c r="G68" s="883">
        <v>2.13</v>
      </c>
      <c r="H68" s="688" t="s">
        <v>34</v>
      </c>
      <c r="I68" s="212"/>
      <c r="J68" s="883">
        <v>1.7886472227752339</v>
      </c>
      <c r="K68" s="688" t="s">
        <v>34</v>
      </c>
      <c r="L68" s="192"/>
      <c r="M68" s="883">
        <v>2.0089999999999999</v>
      </c>
      <c r="N68" s="688" t="s">
        <v>265</v>
      </c>
      <c r="O68" s="192"/>
    </row>
    <row r="69" spans="1:15" s="193" customFormat="1" ht="12.95">
      <c r="A69" s="268" t="s">
        <v>486</v>
      </c>
      <c r="B69" s="269" t="s">
        <v>376</v>
      </c>
      <c r="C69" s="261" t="s">
        <v>486</v>
      </c>
      <c r="D69" s="261" t="s">
        <v>21</v>
      </c>
      <c r="E69" s="270" t="s">
        <v>16</v>
      </c>
      <c r="F69" s="212"/>
      <c r="G69" s="883">
        <v>0</v>
      </c>
      <c r="H69" s="688" t="s">
        <v>34</v>
      </c>
      <c r="I69" s="212"/>
      <c r="J69" s="883">
        <v>0</v>
      </c>
      <c r="K69" s="688" t="s">
        <v>34</v>
      </c>
      <c r="L69" s="703"/>
      <c r="M69" s="883">
        <v>0</v>
      </c>
      <c r="N69" s="688" t="s">
        <v>265</v>
      </c>
      <c r="O69" s="192"/>
    </row>
    <row r="70" spans="1:15" s="193" customFormat="1">
      <c r="A70" s="268" t="s">
        <v>487</v>
      </c>
      <c r="B70" s="269" t="s">
        <v>488</v>
      </c>
      <c r="C70" s="261"/>
      <c r="D70" s="261" t="s">
        <v>21</v>
      </c>
      <c r="E70" s="270" t="s">
        <v>16</v>
      </c>
      <c r="F70" s="212"/>
      <c r="G70" s="883">
        <v>6.8127962085308056</v>
      </c>
      <c r="H70" s="688" t="s">
        <v>81</v>
      </c>
      <c r="I70" s="212"/>
      <c r="J70" s="883">
        <v>6.91</v>
      </c>
      <c r="K70" s="688" t="s">
        <v>81</v>
      </c>
      <c r="L70" s="192"/>
      <c r="M70" s="883">
        <v>6.7659000000000002</v>
      </c>
      <c r="N70" s="688" t="s">
        <v>265</v>
      </c>
      <c r="O70" s="192"/>
    </row>
    <row r="71" spans="1:15" s="193" customFormat="1">
      <c r="A71" s="268" t="s">
        <v>489</v>
      </c>
      <c r="B71" s="269" t="s">
        <v>490</v>
      </c>
      <c r="C71" s="261"/>
      <c r="D71" s="261" t="s">
        <v>21</v>
      </c>
      <c r="E71" s="270" t="s">
        <v>16</v>
      </c>
      <c r="F71" s="212"/>
      <c r="G71" s="786">
        <v>5.1530612244897958</v>
      </c>
      <c r="H71" s="273" t="s">
        <v>17</v>
      </c>
      <c r="I71" s="212"/>
      <c r="J71" s="786">
        <v>5.61</v>
      </c>
      <c r="K71" s="273" t="s">
        <v>17</v>
      </c>
      <c r="L71" s="192"/>
      <c r="M71" s="786">
        <v>5.4489000000000001</v>
      </c>
      <c r="N71" s="273" t="s">
        <v>265</v>
      </c>
      <c r="O71" s="192"/>
    </row>
    <row r="72" spans="1:15" s="193" customFormat="1">
      <c r="A72" s="268" t="s">
        <v>491</v>
      </c>
      <c r="B72" s="269" t="s">
        <v>492</v>
      </c>
      <c r="C72" s="261" t="s">
        <v>487</v>
      </c>
      <c r="D72" s="261" t="s">
        <v>21</v>
      </c>
      <c r="E72" s="270" t="s">
        <v>27</v>
      </c>
      <c r="F72" s="212"/>
      <c r="G72" s="297">
        <f>IF(ISBLANK(G70),"", (G70-1)/(7-1)*25+(G71-1)/(7-1)*25)</f>
        <v>41.524405970919169</v>
      </c>
      <c r="H72" s="688" t="s">
        <v>17</v>
      </c>
      <c r="I72" s="212"/>
      <c r="J72" s="297">
        <f>IF(ISBLANK(J70),"", (J70-1)/(7-1)*25+(J71-1)/(7-1)*25)</f>
        <v>43.833333333333336</v>
      </c>
      <c r="K72" s="688" t="s">
        <v>17</v>
      </c>
      <c r="L72" s="192"/>
      <c r="M72" s="297">
        <f>IF(ISBLANK(M70),"", (M70-1)/(7-1)*25+(M71-1)/(7-1)*25)</f>
        <v>42.561666666666667</v>
      </c>
      <c r="N72" s="688" t="s">
        <v>265</v>
      </c>
      <c r="O72" s="192"/>
    </row>
    <row r="73" spans="1:15" s="193" customFormat="1" ht="12.95">
      <c r="A73" s="268" t="s">
        <v>493</v>
      </c>
      <c r="B73" s="269" t="s">
        <v>494</v>
      </c>
      <c r="C73" s="261" t="s">
        <v>489</v>
      </c>
      <c r="D73" s="261" t="s">
        <v>21</v>
      </c>
      <c r="E73" s="270" t="s">
        <v>16</v>
      </c>
      <c r="F73" s="212"/>
      <c r="G73" s="883">
        <v>0.78</v>
      </c>
      <c r="H73" s="688" t="s">
        <v>81</v>
      </c>
      <c r="I73" s="212"/>
      <c r="J73" s="883">
        <v>0.39</v>
      </c>
      <c r="K73" s="688" t="s">
        <v>81</v>
      </c>
      <c r="L73" s="703"/>
      <c r="M73" s="883">
        <v>0.97550000000000003</v>
      </c>
      <c r="N73" s="688" t="s">
        <v>265</v>
      </c>
      <c r="O73" s="192"/>
    </row>
    <row r="74" spans="1:15" s="193" customFormat="1" ht="13.5" thickBot="1">
      <c r="A74" s="279" t="s">
        <v>495</v>
      </c>
      <c r="B74" s="791" t="s">
        <v>496</v>
      </c>
      <c r="C74" s="281" t="s">
        <v>493</v>
      </c>
      <c r="D74" s="281" t="s">
        <v>21</v>
      </c>
      <c r="E74" s="792" t="s">
        <v>16</v>
      </c>
      <c r="F74" s="212"/>
      <c r="G74" s="884">
        <v>7.7</v>
      </c>
      <c r="H74" s="701" t="s">
        <v>17</v>
      </c>
      <c r="I74" s="212"/>
      <c r="J74" s="884">
        <v>5.78</v>
      </c>
      <c r="K74" s="701" t="s">
        <v>17</v>
      </c>
      <c r="L74" s="703"/>
      <c r="M74" s="884">
        <v>6.4630000000000001</v>
      </c>
      <c r="N74" s="701" t="s">
        <v>265</v>
      </c>
      <c r="O74" s="192"/>
    </row>
    <row r="75" spans="1:15" s="193" customFormat="1" ht="12.95" thickBot="1">
      <c r="A75" s="212"/>
      <c r="B75" s="284"/>
      <c r="C75" s="212"/>
      <c r="D75" s="212"/>
      <c r="E75" s="212"/>
      <c r="F75" s="212"/>
      <c r="G75" s="704"/>
      <c r="H75" s="705"/>
      <c r="I75" s="212"/>
      <c r="J75" s="704"/>
      <c r="K75" s="705"/>
      <c r="L75" s="192"/>
      <c r="M75" s="704"/>
      <c r="N75" s="705"/>
      <c r="O75" s="192"/>
    </row>
    <row r="76" spans="1:15" s="193" customFormat="1" ht="15.95" thickBot="1">
      <c r="A76" s="216"/>
      <c r="B76" s="215" t="s">
        <v>497</v>
      </c>
      <c r="C76" s="214"/>
      <c r="D76" s="214"/>
      <c r="E76" s="213"/>
      <c r="F76" s="212"/>
      <c r="G76" s="212"/>
      <c r="H76" s="192"/>
      <c r="I76" s="212"/>
      <c r="J76" s="212"/>
      <c r="K76" s="192"/>
      <c r="L76" s="192"/>
      <c r="M76" s="212"/>
      <c r="N76" s="212"/>
      <c r="O76" s="192"/>
    </row>
    <row r="77" spans="1:15" s="193" customFormat="1">
      <c r="A77" s="648" t="s">
        <v>498</v>
      </c>
      <c r="B77" s="414" t="s">
        <v>499</v>
      </c>
      <c r="C77" s="415" t="s">
        <v>495</v>
      </c>
      <c r="D77" s="415" t="s">
        <v>21</v>
      </c>
      <c r="E77" s="416" t="s">
        <v>16</v>
      </c>
      <c r="F77" s="212"/>
      <c r="G77" s="881" t="s">
        <v>23</v>
      </c>
      <c r="H77" s="691" t="s">
        <v>229</v>
      </c>
      <c r="I77" s="212"/>
      <c r="J77" s="881" t="s">
        <v>500</v>
      </c>
      <c r="K77" s="691" t="s">
        <v>34</v>
      </c>
      <c r="L77" s="192"/>
      <c r="M77" s="881" t="s">
        <v>500</v>
      </c>
      <c r="N77" s="691" t="s">
        <v>265</v>
      </c>
      <c r="O77" s="192"/>
    </row>
    <row r="78" spans="1:15" s="193" customFormat="1">
      <c r="A78" s="649" t="s">
        <v>501</v>
      </c>
      <c r="B78" s="269" t="s">
        <v>502</v>
      </c>
      <c r="C78" s="278" t="s">
        <v>498</v>
      </c>
      <c r="D78" s="278" t="s">
        <v>21</v>
      </c>
      <c r="E78" s="417" t="s">
        <v>27</v>
      </c>
      <c r="F78" s="212"/>
      <c r="G78" s="297">
        <f>ROUNDDOWN((G80+G85),2)</f>
        <v>77.11</v>
      </c>
      <c r="H78" s="689" t="s">
        <v>17</v>
      </c>
      <c r="I78" s="212"/>
      <c r="J78" s="297">
        <f>ROUNDDOWN((J80+J85),2)</f>
        <v>75.92</v>
      </c>
      <c r="K78" s="689" t="s">
        <v>18</v>
      </c>
      <c r="L78" s="803"/>
      <c r="M78" s="297">
        <f>ROUNDDOWN((M80+M85),2)</f>
        <v>75.69</v>
      </c>
      <c r="N78" s="689" t="s">
        <v>265</v>
      </c>
      <c r="O78" s="192"/>
    </row>
    <row r="79" spans="1:15" s="193" customFormat="1">
      <c r="A79" s="649" t="s">
        <v>503</v>
      </c>
      <c r="B79" s="269" t="s">
        <v>504</v>
      </c>
      <c r="C79" s="278" t="s">
        <v>501</v>
      </c>
      <c r="D79" s="278" t="s">
        <v>21</v>
      </c>
      <c r="E79" s="417" t="s">
        <v>16</v>
      </c>
      <c r="F79" s="212"/>
      <c r="G79" s="294">
        <v>44355</v>
      </c>
      <c r="H79" s="689" t="s">
        <v>34</v>
      </c>
      <c r="I79" s="212"/>
      <c r="J79" s="294">
        <v>37252</v>
      </c>
      <c r="K79" s="689" t="s">
        <v>157</v>
      </c>
      <c r="L79" s="803"/>
      <c r="M79" s="294">
        <v>37252</v>
      </c>
      <c r="N79" s="689" t="s">
        <v>265</v>
      </c>
      <c r="O79" s="192"/>
    </row>
    <row r="80" spans="1:15" s="193" customFormat="1">
      <c r="A80" s="649" t="s">
        <v>505</v>
      </c>
      <c r="B80" s="269" t="s">
        <v>506</v>
      </c>
      <c r="C80" s="278" t="s">
        <v>503</v>
      </c>
      <c r="D80" s="278" t="s">
        <v>21</v>
      </c>
      <c r="E80" s="417" t="s">
        <v>27</v>
      </c>
      <c r="F80" s="212"/>
      <c r="G80" s="297">
        <f>(1-((((G50*0.5)+(G51*50)+(G52*100)+(G53*1000))/(G$79/1000))-0)/(3600-0))*(50)</f>
        <v>39.041383283858764</v>
      </c>
      <c r="H80" s="689" t="s">
        <v>34</v>
      </c>
      <c r="I80" s="212"/>
      <c r="J80" s="297">
        <f>(1-((((J50*0.5)+(J51*50)+(J52*100)+(J53*1000))/(J$79/1000))-0)/(3600-0))*(50)</f>
        <v>38.061602956440822</v>
      </c>
      <c r="K80" s="689" t="s">
        <v>157</v>
      </c>
      <c r="L80" s="803"/>
      <c r="M80" s="297">
        <f>(1-((((M50*0.5)+(M51*50)+(M52*100)+(M53*1000))/(M$79/1000))-0)/(3600-0))*(50)</f>
        <v>38.17084392187742</v>
      </c>
      <c r="N80" s="689" t="s">
        <v>265</v>
      </c>
      <c r="O80" s="192"/>
    </row>
    <row r="81" spans="1:15" s="193" customFormat="1">
      <c r="A81" s="649" t="s">
        <v>507</v>
      </c>
      <c r="B81" s="269" t="s">
        <v>508</v>
      </c>
      <c r="C81" s="278" t="s">
        <v>505</v>
      </c>
      <c r="D81" s="278" t="s">
        <v>21</v>
      </c>
      <c r="E81" s="417" t="s">
        <v>16</v>
      </c>
      <c r="F81" s="212"/>
      <c r="G81" s="882">
        <v>10.43</v>
      </c>
      <c r="H81" s="689" t="s">
        <v>34</v>
      </c>
      <c r="I81" s="212"/>
      <c r="J81" s="882">
        <v>11.75</v>
      </c>
      <c r="K81" s="689" t="s">
        <v>157</v>
      </c>
      <c r="L81" s="803"/>
      <c r="M81" s="882">
        <v>11.31</v>
      </c>
      <c r="N81" s="689" t="s">
        <v>265</v>
      </c>
      <c r="O81" s="192"/>
    </row>
    <row r="82" spans="1:15" s="193" customFormat="1">
      <c r="A82" s="649" t="s">
        <v>509</v>
      </c>
      <c r="B82" s="269" t="s">
        <v>510</v>
      </c>
      <c r="C82" s="278" t="s">
        <v>507</v>
      </c>
      <c r="D82" s="278" t="s">
        <v>21</v>
      </c>
      <c r="E82" s="417" t="s">
        <v>16</v>
      </c>
      <c r="F82" s="212"/>
      <c r="G82" s="882">
        <v>0.34</v>
      </c>
      <c r="H82" s="689" t="s">
        <v>34</v>
      </c>
      <c r="I82" s="212"/>
      <c r="J82" s="882">
        <v>0.11</v>
      </c>
      <c r="K82" s="689" t="s">
        <v>157</v>
      </c>
      <c r="L82" s="803"/>
      <c r="M82" s="882">
        <v>0.34</v>
      </c>
      <c r="N82" s="689" t="s">
        <v>265</v>
      </c>
      <c r="O82" s="192"/>
    </row>
    <row r="83" spans="1:15" s="193" customFormat="1">
      <c r="A83" s="649" t="s">
        <v>511</v>
      </c>
      <c r="B83" s="269" t="s">
        <v>512</v>
      </c>
      <c r="C83" s="278" t="s">
        <v>509</v>
      </c>
      <c r="D83" s="278" t="s">
        <v>21</v>
      </c>
      <c r="E83" s="417" t="s">
        <v>16</v>
      </c>
      <c r="F83" s="212"/>
      <c r="G83" s="882">
        <v>0.19</v>
      </c>
      <c r="H83" s="689" t="s">
        <v>34</v>
      </c>
      <c r="I83" s="212"/>
      <c r="J83" s="882">
        <v>7.0000000000000007E-2</v>
      </c>
      <c r="K83" s="689" t="s">
        <v>157</v>
      </c>
      <c r="L83" s="803"/>
      <c r="M83" s="882">
        <v>0.19</v>
      </c>
      <c r="N83" s="689" t="s">
        <v>265</v>
      </c>
      <c r="O83" s="192"/>
    </row>
    <row r="84" spans="1:15" s="193" customFormat="1">
      <c r="A84" s="649" t="s">
        <v>513</v>
      </c>
      <c r="B84" s="269" t="s">
        <v>514</v>
      </c>
      <c r="C84" s="278" t="s">
        <v>511</v>
      </c>
      <c r="D84" s="278" t="s">
        <v>21</v>
      </c>
      <c r="E84" s="417" t="s">
        <v>16</v>
      </c>
      <c r="F84" s="212"/>
      <c r="G84" s="882">
        <v>0</v>
      </c>
      <c r="H84" s="689" t="s">
        <v>34</v>
      </c>
      <c r="I84" s="212"/>
      <c r="J84" s="882">
        <v>0</v>
      </c>
      <c r="K84" s="689" t="s">
        <v>34</v>
      </c>
      <c r="L84" s="803"/>
      <c r="M84" s="882">
        <v>0</v>
      </c>
      <c r="N84" s="689" t="s">
        <v>265</v>
      </c>
      <c r="O84" s="192"/>
    </row>
    <row r="85" spans="1:15" s="193" customFormat="1">
      <c r="A85" s="649" t="s">
        <v>515</v>
      </c>
      <c r="B85" s="424" t="s">
        <v>516</v>
      </c>
      <c r="C85" s="278" t="s">
        <v>513</v>
      </c>
      <c r="D85" s="278" t="s">
        <v>21</v>
      </c>
      <c r="E85" s="417" t="s">
        <v>16</v>
      </c>
      <c r="F85" s="212"/>
      <c r="G85" s="882">
        <v>38.07</v>
      </c>
      <c r="H85" s="689" t="s">
        <v>17</v>
      </c>
      <c r="I85" s="212"/>
      <c r="J85" s="882">
        <v>37.86</v>
      </c>
      <c r="K85" s="689" t="s">
        <v>17</v>
      </c>
      <c r="L85" s="192"/>
      <c r="M85" s="882">
        <v>37.520000000000003</v>
      </c>
      <c r="N85" s="689" t="s">
        <v>265</v>
      </c>
      <c r="O85" s="192"/>
    </row>
    <row r="86" spans="1:15" s="193" customFormat="1">
      <c r="A86" s="649" t="s">
        <v>517</v>
      </c>
      <c r="B86" s="425" t="s">
        <v>518</v>
      </c>
      <c r="C86" s="278" t="s">
        <v>515</v>
      </c>
      <c r="D86" s="278" t="s">
        <v>21</v>
      </c>
      <c r="E86" s="417" t="s">
        <v>16</v>
      </c>
      <c r="F86" s="300"/>
      <c r="G86" s="885" t="s">
        <v>23</v>
      </c>
      <c r="H86" s="689" t="s">
        <v>229</v>
      </c>
      <c r="I86" s="299"/>
      <c r="J86" s="885" t="s">
        <v>23</v>
      </c>
      <c r="K86" s="689" t="s">
        <v>229</v>
      </c>
      <c r="L86" s="192"/>
      <c r="M86" s="885" t="s">
        <v>23</v>
      </c>
      <c r="N86" s="689" t="s">
        <v>229</v>
      </c>
      <c r="O86" s="192"/>
    </row>
    <row r="87" spans="1:15" s="193" customFormat="1">
      <c r="A87" s="649" t="s">
        <v>519</v>
      </c>
      <c r="B87" s="269" t="s">
        <v>520</v>
      </c>
      <c r="C87" s="278" t="s">
        <v>517</v>
      </c>
      <c r="D87" s="278" t="s">
        <v>21</v>
      </c>
      <c r="E87" s="417" t="s">
        <v>16</v>
      </c>
      <c r="F87" s="212"/>
      <c r="G87" s="885">
        <v>6.04</v>
      </c>
      <c r="H87" s="689" t="s">
        <v>17</v>
      </c>
      <c r="I87" s="212"/>
      <c r="J87" s="885">
        <v>6.24</v>
      </c>
      <c r="K87" s="689" t="s">
        <v>17</v>
      </c>
      <c r="L87" s="192"/>
      <c r="M87" s="885">
        <v>6.36</v>
      </c>
      <c r="N87" s="689" t="s">
        <v>265</v>
      </c>
      <c r="O87" s="192"/>
    </row>
    <row r="88" spans="1:15" s="193" customFormat="1" ht="12.95" thickBot="1">
      <c r="A88" s="650" t="s">
        <v>521</v>
      </c>
      <c r="B88" s="418" t="s">
        <v>522</v>
      </c>
      <c r="C88" s="419" t="s">
        <v>519</v>
      </c>
      <c r="D88" s="419" t="s">
        <v>21</v>
      </c>
      <c r="E88" s="420" t="s">
        <v>16</v>
      </c>
      <c r="F88" s="212"/>
      <c r="G88" s="298">
        <v>5.89</v>
      </c>
      <c r="H88" s="293" t="s">
        <v>17</v>
      </c>
      <c r="I88" s="299"/>
      <c r="J88" s="298">
        <v>5.9</v>
      </c>
      <c r="K88" s="293" t="s">
        <v>17</v>
      </c>
      <c r="L88" s="192"/>
      <c r="M88" s="298">
        <v>6.11</v>
      </c>
      <c r="N88" s="293" t="s">
        <v>265</v>
      </c>
      <c r="O88" s="192"/>
    </row>
    <row r="89" spans="1:15" s="193" customFormat="1">
      <c r="A89" s="212"/>
      <c r="B89" s="284"/>
      <c r="C89" s="212"/>
      <c r="D89" s="212"/>
      <c r="E89" s="212"/>
      <c r="F89" s="300"/>
      <c r="G89" s="704"/>
      <c r="H89" s="705"/>
      <c r="I89" s="212"/>
      <c r="K89" s="705"/>
      <c r="L89" s="192"/>
      <c r="M89" s="704"/>
      <c r="N89" s="705"/>
      <c r="O89" s="192"/>
    </row>
    <row r="90" spans="1:15" s="193" customFormat="1" ht="15.6">
      <c r="A90" s="283"/>
      <c r="B90"/>
      <c r="C90"/>
      <c r="D90" s="212"/>
      <c r="E90" s="212"/>
      <c r="F90" s="192"/>
      <c r="G90" s="192"/>
      <c r="H90" s="192"/>
      <c r="I90" s="192"/>
      <c r="J90" s="192"/>
      <c r="K90" s="192"/>
      <c r="L90" s="211"/>
      <c r="M90" s="192"/>
      <c r="N90" s="192"/>
    </row>
    <row r="91" spans="1:15" s="193" customFormat="1" ht="15.95" thickBot="1">
      <c r="A91" s="283"/>
      <c r="B91"/>
      <c r="C91"/>
      <c r="D91" s="212"/>
      <c r="E91" s="212"/>
      <c r="F91" s="192"/>
      <c r="G91" s="192"/>
      <c r="H91" s="192"/>
      <c r="I91" s="192"/>
      <c r="J91" s="192"/>
      <c r="K91" s="192"/>
      <c r="L91" s="211"/>
      <c r="M91" s="192"/>
      <c r="N91" s="192"/>
    </row>
    <row r="92" spans="1:15" s="193" customFormat="1">
      <c r="A92" s="680" t="s">
        <v>145</v>
      </c>
      <c r="B92" s="1268"/>
      <c r="C92" s="197" t="s">
        <v>40</v>
      </c>
      <c r="D92" s="681"/>
      <c r="E92" s="815"/>
      <c r="F92" s="816"/>
      <c r="G92" s="407"/>
      <c r="H92" s="407"/>
      <c r="I92" s="407"/>
      <c r="K92" s="192"/>
      <c r="L92" s="192"/>
      <c r="M92" s="192"/>
      <c r="N92" s="192"/>
    </row>
    <row r="93" spans="1:15" s="193" customFormat="1">
      <c r="A93" s="817"/>
      <c r="B93" s="1272"/>
      <c r="C93" s="1273"/>
      <c r="D93" s="1273"/>
      <c r="E93" s="1273"/>
      <c r="F93" s="818"/>
      <c r="G93" s="407"/>
      <c r="H93" s="407"/>
      <c r="I93" s="407"/>
      <c r="K93" s="192"/>
      <c r="L93" s="192"/>
      <c r="M93" s="192"/>
      <c r="N93" s="192"/>
    </row>
    <row r="94" spans="1:15" s="193" customFormat="1">
      <c r="A94" s="682" t="s">
        <v>41</v>
      </c>
      <c r="B94" s="1272"/>
      <c r="C94" s="207" t="s">
        <v>40</v>
      </c>
      <c r="D94" s="1272"/>
      <c r="E94" s="1273"/>
      <c r="F94" s="818"/>
      <c r="G94" s="407"/>
      <c r="H94" s="407"/>
      <c r="I94" s="407"/>
      <c r="K94" s="192"/>
      <c r="L94" s="192"/>
      <c r="M94" s="192"/>
      <c r="N94" s="192"/>
    </row>
    <row r="95" spans="1:15" s="193" customFormat="1">
      <c r="A95" s="817"/>
      <c r="B95" s="1272"/>
      <c r="C95" s="1273"/>
      <c r="D95" s="1273"/>
      <c r="E95" s="1273"/>
      <c r="F95" s="818"/>
      <c r="G95" s="407"/>
      <c r="H95" s="407"/>
      <c r="I95" s="407"/>
      <c r="K95" s="192"/>
      <c r="L95" s="192"/>
      <c r="M95" s="192"/>
      <c r="N95" s="192"/>
    </row>
    <row r="96" spans="1:15" s="193" customFormat="1" ht="12.95" thickBot="1">
      <c r="A96" s="683" t="s">
        <v>523</v>
      </c>
      <c r="B96" s="684"/>
      <c r="C96" s="684" t="s">
        <v>288</v>
      </c>
      <c r="D96" s="684"/>
      <c r="E96" s="819"/>
      <c r="F96" s="820"/>
      <c r="G96" s="407"/>
      <c r="H96" s="407"/>
      <c r="I96" s="407"/>
      <c r="K96" s="192"/>
      <c r="L96" s="192"/>
      <c r="M96" s="192"/>
      <c r="N96" s="192"/>
    </row>
    <row r="97" spans="1:14" s="193" customFormat="1">
      <c r="A97" s="192"/>
      <c r="B97" s="192"/>
      <c r="C97" s="192"/>
      <c r="D97" s="192"/>
      <c r="E97" s="192"/>
      <c r="F97" s="192"/>
      <c r="G97" s="192"/>
      <c r="H97" s="192"/>
      <c r="J97" s="192"/>
      <c r="K97" s="192"/>
      <c r="L97" s="192"/>
      <c r="M97" s="192"/>
      <c r="N97" s="192"/>
    </row>
  </sheetData>
  <mergeCells count="3">
    <mergeCell ref="J10:K11"/>
    <mergeCell ref="M10:N11"/>
    <mergeCell ref="G10:H11"/>
  </mergeCells>
  <pageMargins left="0.74803149606299213" right="0.74803149606299213" top="0.98425196850393704" bottom="0.98425196850393704" header="0.51181102362204722" footer="0.51181102362204722"/>
  <pageSetup paperSize="8" scale="50" orientation="landscape" r:id="rId1"/>
  <headerFooter alignWithMargins="0">
    <oddFooter>&amp;R&amp;"CG Omega,Regular" Date: Feb 2010
Revision 13.0&amp;L&amp;"Calibri"&amp;11&amp;K000000&amp;"CG Omega,Regular"Table 1 of 10_x000D_&amp;1#&amp;"Arial"&amp;11&amp;K000000SW Private Commercial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1B3E5-C650-46B5-A8A2-9B56E1A83557}">
  <sheetPr>
    <pageSetUpPr fitToPage="1"/>
  </sheetPr>
  <dimension ref="A1:HU57"/>
  <sheetViews>
    <sheetView zoomScaleNormal="100" zoomScalePageLayoutView="85" workbookViewId="0">
      <selection sqref="A1:XFD1048576"/>
    </sheetView>
  </sheetViews>
  <sheetFormatPr defaultColWidth="9.42578125" defaultRowHeight="12.6"/>
  <cols>
    <col min="1" max="1" width="10.42578125" style="77" customWidth="1"/>
    <col min="2" max="2" width="75.42578125" style="77" customWidth="1"/>
    <col min="3" max="4" width="13.42578125" style="77" customWidth="1"/>
    <col min="5" max="5" width="6.5703125" style="77" customWidth="1"/>
    <col min="6" max="6" width="11.42578125" style="77" customWidth="1"/>
    <col min="7" max="7" width="6.42578125" style="77" customWidth="1"/>
    <col min="8" max="8" width="9.5703125" style="77" customWidth="1"/>
    <col min="9" max="9" width="11.42578125" style="77" customWidth="1"/>
    <col min="10" max="10" width="8.42578125" style="77" customWidth="1"/>
    <col min="11" max="11" width="13.5703125" style="77" customWidth="1"/>
    <col min="12" max="12" width="40.42578125" style="77" bestFit="1" customWidth="1"/>
    <col min="13" max="16384" width="9.42578125" style="77"/>
  </cols>
  <sheetData>
    <row r="1" spans="1:229" s="18" customFormat="1" ht="20.100000000000001">
      <c r="A1" s="49" t="s">
        <v>0</v>
      </c>
      <c r="B1" s="49"/>
      <c r="C1" s="49"/>
      <c r="D1" s="49"/>
      <c r="G1" s="77"/>
      <c r="H1" s="77"/>
      <c r="I1" s="77"/>
    </row>
    <row r="2" spans="1:229" s="18" customFormat="1" ht="20.100000000000001">
      <c r="G2" s="77"/>
      <c r="H2" s="77"/>
      <c r="I2" s="77"/>
    </row>
    <row r="3" spans="1:229" s="18" customFormat="1" ht="20.100000000000001">
      <c r="A3" s="238" t="str">
        <f>"ANNUAL RETURN INFORMATION REQUIREMENTS "&amp;_reportyear</f>
        <v>ANNUAL RETURN INFORMATION REQUIREMENTS 2023-24</v>
      </c>
      <c r="B3" s="19"/>
      <c r="C3" s="19"/>
      <c r="D3" s="19"/>
      <c r="E3" s="21"/>
      <c r="F3" s="21"/>
      <c r="G3" s="21"/>
      <c r="H3" s="21"/>
      <c r="I3" s="21"/>
      <c r="J3" s="21"/>
      <c r="K3" s="21"/>
    </row>
    <row r="4" spans="1:229" s="1" customFormat="1" ht="15.6">
      <c r="A4" s="22"/>
      <c r="B4" s="32"/>
      <c r="C4" s="32"/>
      <c r="D4" s="32"/>
    </row>
    <row r="5" spans="1:229" s="1" customFormat="1" ht="15.95" thickBot="1">
      <c r="A5" s="22"/>
      <c r="B5" s="32"/>
      <c r="C5" s="32"/>
      <c r="D5" s="32"/>
      <c r="G5" s="77"/>
      <c r="H5" s="77"/>
      <c r="I5" s="77"/>
    </row>
    <row r="6" spans="1:229" s="1" customFormat="1" ht="20.100000000000001">
      <c r="A6" s="51" t="s">
        <v>1</v>
      </c>
      <c r="B6" s="24"/>
      <c r="G6" s="77"/>
      <c r="H6" s="77"/>
      <c r="I6" s="77"/>
    </row>
    <row r="7" spans="1:229" s="1" customFormat="1" ht="20.45" thickBot="1">
      <c r="A7" s="750" t="s">
        <v>524</v>
      </c>
      <c r="B7" s="26"/>
      <c r="G7" s="77"/>
      <c r="H7" s="77"/>
      <c r="I7" s="77"/>
    </row>
    <row r="8" spans="1:229" s="1" customFormat="1" ht="14.85" customHeight="1">
      <c r="A8" s="22"/>
      <c r="G8" s="77"/>
      <c r="H8" s="77"/>
      <c r="I8" s="77"/>
    </row>
    <row r="9" spans="1:229" s="1" customFormat="1" ht="15.6" customHeight="1" thickBot="1">
      <c r="G9" s="77"/>
      <c r="H9" s="77"/>
      <c r="I9" s="77"/>
      <c r="K9" s="7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</row>
    <row r="10" spans="1:229" s="2" customFormat="1" ht="15.75" customHeight="1">
      <c r="A10" s="28" t="s">
        <v>3</v>
      </c>
      <c r="B10" s="29" t="s">
        <v>4</v>
      </c>
      <c r="C10" s="30" t="s">
        <v>5</v>
      </c>
      <c r="D10" s="31" t="s">
        <v>6</v>
      </c>
      <c r="E10" s="77"/>
      <c r="F10" s="1323" t="s">
        <v>7</v>
      </c>
      <c r="G10" s="1324"/>
      <c r="H10" s="797"/>
      <c r="I10" s="1323" t="s">
        <v>8</v>
      </c>
      <c r="J10" s="1324"/>
      <c r="K10" s="32"/>
    </row>
    <row r="11" spans="1:229" s="2" customFormat="1" ht="15.6">
      <c r="A11" s="33" t="s">
        <v>9</v>
      </c>
      <c r="B11" s="34"/>
      <c r="C11" s="35"/>
      <c r="D11" s="36" t="s">
        <v>10</v>
      </c>
      <c r="E11" s="77"/>
      <c r="F11" s="1325"/>
      <c r="G11" s="1326"/>
      <c r="H11" s="797"/>
      <c r="I11" s="1325"/>
      <c r="J11" s="1326"/>
      <c r="K11" s="83"/>
    </row>
    <row r="12" spans="1:229" s="1" customFormat="1" ht="15.95" thickBot="1">
      <c r="A12" s="37"/>
      <c r="B12" s="38"/>
      <c r="C12" s="39"/>
      <c r="D12" s="40"/>
      <c r="E12" s="77"/>
      <c r="F12" s="48" t="str">
        <f>_reportyear</f>
        <v>2023-24</v>
      </c>
      <c r="G12" s="793" t="s">
        <v>11</v>
      </c>
      <c r="H12" s="193"/>
      <c r="I12" s="48" t="str">
        <f>_reportyearplus1</f>
        <v>2024-25</v>
      </c>
      <c r="J12" s="796" t="s">
        <v>11</v>
      </c>
      <c r="K12" s="32"/>
    </row>
    <row r="13" spans="1:229" s="1" customFormat="1" ht="12.95" thickBot="1">
      <c r="B13" s="41"/>
      <c r="E13" s="77"/>
      <c r="F13" s="77"/>
      <c r="G13" s="77"/>
      <c r="L13"/>
    </row>
    <row r="14" spans="1:229" s="1" customFormat="1" ht="15.95" thickBot="1">
      <c r="A14" s="441"/>
      <c r="B14" s="334" t="s">
        <v>525</v>
      </c>
      <c r="C14" s="335"/>
      <c r="D14" s="336"/>
      <c r="E14" s="61"/>
      <c r="F14" s="77"/>
      <c r="G14" s="77"/>
      <c r="H14" s="77"/>
      <c r="I14" s="61"/>
      <c r="J14" s="61"/>
      <c r="K14" s="61"/>
      <c r="L14"/>
    </row>
    <row r="15" spans="1:229" s="1" customFormat="1">
      <c r="A15" s="337" t="s">
        <v>526</v>
      </c>
      <c r="B15" s="171" t="s">
        <v>527</v>
      </c>
      <c r="C15" s="115" t="s">
        <v>21</v>
      </c>
      <c r="D15" s="338" t="s">
        <v>528</v>
      </c>
      <c r="E15" s="61"/>
      <c r="F15" s="979">
        <f>F28</f>
        <v>74.98</v>
      </c>
      <c r="G15" s="980" t="s">
        <v>17</v>
      </c>
      <c r="H15" s="77"/>
      <c r="I15" s="1281">
        <f>I28</f>
        <v>79.06</v>
      </c>
      <c r="J15" s="82" t="s">
        <v>265</v>
      </c>
      <c r="K15" s="61"/>
      <c r="L15"/>
    </row>
    <row r="16" spans="1:229" s="1" customFormat="1">
      <c r="A16" s="337" t="s">
        <v>529</v>
      </c>
      <c r="B16" s="171" t="s">
        <v>530</v>
      </c>
      <c r="C16" s="115" t="s">
        <v>21</v>
      </c>
      <c r="D16" s="338" t="s">
        <v>16</v>
      </c>
      <c r="E16" s="61"/>
      <c r="F16" s="981">
        <v>1458</v>
      </c>
      <c r="G16" s="678" t="s">
        <v>34</v>
      </c>
      <c r="H16" s="77"/>
      <c r="I16" s="1282">
        <v>1420</v>
      </c>
      <c r="J16" s="126" t="s">
        <v>265</v>
      </c>
      <c r="K16" s="61"/>
      <c r="L16"/>
    </row>
    <row r="17" spans="1:12" s="1" customFormat="1">
      <c r="A17" s="337" t="s">
        <v>531</v>
      </c>
      <c r="B17" s="171" t="s">
        <v>532</v>
      </c>
      <c r="C17" s="115" t="s">
        <v>21</v>
      </c>
      <c r="D17" s="338" t="s">
        <v>16</v>
      </c>
      <c r="E17" s="61"/>
      <c r="F17" s="981">
        <v>0</v>
      </c>
      <c r="G17" s="678" t="s">
        <v>81</v>
      </c>
      <c r="H17" s="77"/>
      <c r="I17" s="1282">
        <v>0</v>
      </c>
      <c r="J17" s="126" t="s">
        <v>265</v>
      </c>
      <c r="K17" s="61"/>
      <c r="L17"/>
    </row>
    <row r="18" spans="1:12" s="1" customFormat="1">
      <c r="A18" s="337" t="s">
        <v>533</v>
      </c>
      <c r="B18" s="171" t="s">
        <v>534</v>
      </c>
      <c r="C18" s="115" t="s">
        <v>21</v>
      </c>
      <c r="D18" s="338" t="s">
        <v>16</v>
      </c>
      <c r="E18" s="61"/>
      <c r="F18" s="981">
        <v>2</v>
      </c>
      <c r="G18" s="678" t="s">
        <v>157</v>
      </c>
      <c r="H18" s="77"/>
      <c r="I18" s="1282">
        <v>0</v>
      </c>
      <c r="J18" s="126" t="s">
        <v>265</v>
      </c>
      <c r="K18" s="61"/>
      <c r="L18"/>
    </row>
    <row r="19" spans="1:12" s="1" customFormat="1">
      <c r="A19" s="337" t="s">
        <v>535</v>
      </c>
      <c r="B19" s="171" t="s">
        <v>536</v>
      </c>
      <c r="C19" s="115" t="s">
        <v>21</v>
      </c>
      <c r="D19" s="338" t="s">
        <v>16</v>
      </c>
      <c r="E19" s="61"/>
      <c r="F19" s="981">
        <v>0</v>
      </c>
      <c r="G19" s="678" t="s">
        <v>218</v>
      </c>
      <c r="H19" s="77"/>
      <c r="I19" s="1282">
        <v>0</v>
      </c>
      <c r="J19" s="126" t="s">
        <v>265</v>
      </c>
      <c r="K19" s="61"/>
      <c r="L19"/>
    </row>
    <row r="20" spans="1:12" s="1" customFormat="1">
      <c r="A20" s="337" t="s">
        <v>537</v>
      </c>
      <c r="B20" s="171" t="s">
        <v>538</v>
      </c>
      <c r="C20" s="115" t="s">
        <v>26</v>
      </c>
      <c r="D20" s="338" t="s">
        <v>16</v>
      </c>
      <c r="E20" s="61"/>
      <c r="F20" s="982">
        <v>0.68340000000000001</v>
      </c>
      <c r="G20" s="678" t="s">
        <v>17</v>
      </c>
      <c r="H20" s="77"/>
      <c r="I20" s="1283">
        <v>0.85</v>
      </c>
      <c r="J20" s="126" t="s">
        <v>265</v>
      </c>
      <c r="K20" s="61"/>
      <c r="L20"/>
    </row>
    <row r="21" spans="1:12" s="1" customFormat="1">
      <c r="A21" s="337" t="s">
        <v>539</v>
      </c>
      <c r="B21" s="171" t="s">
        <v>540</v>
      </c>
      <c r="C21" s="115" t="s">
        <v>26</v>
      </c>
      <c r="D21" s="338" t="s">
        <v>16</v>
      </c>
      <c r="E21" s="61"/>
      <c r="F21" s="982">
        <v>0.71660000000000001</v>
      </c>
      <c r="G21" s="678" t="s">
        <v>17</v>
      </c>
      <c r="H21" s="77"/>
      <c r="I21" s="1283">
        <v>0.85940000000000005</v>
      </c>
      <c r="J21" s="126" t="s">
        <v>265</v>
      </c>
      <c r="K21" s="61"/>
      <c r="L21"/>
    </row>
    <row r="22" spans="1:12" s="1" customFormat="1">
      <c r="A22" s="337" t="s">
        <v>541</v>
      </c>
      <c r="B22" s="171" t="s">
        <v>542</v>
      </c>
      <c r="C22" s="115" t="s">
        <v>26</v>
      </c>
      <c r="D22" s="338" t="s">
        <v>543</v>
      </c>
      <c r="E22" s="61"/>
      <c r="F22" s="983">
        <f>'B5'!F17</f>
        <v>0.88392972101500811</v>
      </c>
      <c r="G22" s="984" t="s">
        <v>17</v>
      </c>
      <c r="H22" s="77"/>
      <c r="I22" s="1284">
        <f>'B5'!I17</f>
        <v>0.91249999999999998</v>
      </c>
      <c r="J22" s="126" t="s">
        <v>265</v>
      </c>
      <c r="K22" s="61"/>
      <c r="L22"/>
    </row>
    <row r="23" spans="1:12" s="1" customFormat="1">
      <c r="A23" s="337" t="s">
        <v>544</v>
      </c>
      <c r="B23" s="171" t="s">
        <v>545</v>
      </c>
      <c r="C23" s="115" t="s">
        <v>26</v>
      </c>
      <c r="D23" s="338" t="s">
        <v>16</v>
      </c>
      <c r="E23" s="61"/>
      <c r="F23" s="982">
        <v>0.69</v>
      </c>
      <c r="G23" s="678" t="s">
        <v>17</v>
      </c>
      <c r="H23" s="77"/>
      <c r="I23" s="1283">
        <v>0.65</v>
      </c>
      <c r="J23" s="126" t="s">
        <v>265</v>
      </c>
      <c r="K23" s="61"/>
      <c r="L23"/>
    </row>
    <row r="24" spans="1:12" s="1" customFormat="1" ht="12.95" thickBot="1">
      <c r="A24" s="430" t="s">
        <v>546</v>
      </c>
      <c r="B24" s="392" t="s">
        <v>547</v>
      </c>
      <c r="C24" s="442" t="s">
        <v>26</v>
      </c>
      <c r="D24" s="443" t="s">
        <v>16</v>
      </c>
      <c r="E24" s="61"/>
      <c r="F24" s="985">
        <v>0.39500000000000002</v>
      </c>
      <c r="G24" s="679" t="s">
        <v>17</v>
      </c>
      <c r="H24" s="77"/>
      <c r="I24" s="1285">
        <v>0.65</v>
      </c>
      <c r="J24" s="125" t="s">
        <v>265</v>
      </c>
      <c r="K24" s="61"/>
      <c r="L24"/>
    </row>
    <row r="25" spans="1:12" s="1" customFormat="1" ht="12.95" thickBot="1">
      <c r="A25" s="61"/>
      <c r="C25" s="61"/>
      <c r="D25" s="61"/>
      <c r="E25" s="61"/>
      <c r="F25" s="77"/>
      <c r="G25" s="77"/>
      <c r="H25" s="77"/>
      <c r="I25" s="77"/>
      <c r="J25" s="61"/>
      <c r="K25" s="61"/>
      <c r="L25"/>
    </row>
    <row r="26" spans="1:12" s="1" customFormat="1" ht="15.95" thickBot="1">
      <c r="A26" s="44"/>
      <c r="B26" s="45" t="s">
        <v>548</v>
      </c>
      <c r="C26" s="46"/>
      <c r="D26" s="47"/>
      <c r="E26" s="741"/>
      <c r="F26" s="77"/>
      <c r="G26" s="77"/>
      <c r="H26" s="77"/>
      <c r="I26" s="77"/>
      <c r="J26" s="61"/>
      <c r="K26" s="61"/>
      <c r="L26"/>
    </row>
    <row r="27" spans="1:12" s="1" customFormat="1" ht="12.6" customHeight="1">
      <c r="A27" s="116" t="s">
        <v>549</v>
      </c>
      <c r="B27" s="171" t="s">
        <v>550</v>
      </c>
      <c r="C27" s="122" t="s">
        <v>21</v>
      </c>
      <c r="D27" s="123" t="s">
        <v>16</v>
      </c>
      <c r="E27" s="741"/>
      <c r="F27" s="977" t="s">
        <v>551</v>
      </c>
      <c r="G27" s="731" t="s">
        <v>34</v>
      </c>
      <c r="H27" s="77"/>
      <c r="I27" s="886" t="s">
        <v>551</v>
      </c>
      <c r="J27" s="82" t="s">
        <v>265</v>
      </c>
      <c r="K27" s="61"/>
    </row>
    <row r="28" spans="1:12" s="1" customFormat="1">
      <c r="A28" s="116" t="s">
        <v>552</v>
      </c>
      <c r="B28" s="171" t="s">
        <v>553</v>
      </c>
      <c r="C28" s="122" t="s">
        <v>21</v>
      </c>
      <c r="D28" s="123" t="s">
        <v>27</v>
      </c>
      <c r="E28" s="61"/>
      <c r="F28" s="978">
        <f>ROUNDDOWN(F34+F29,2)</f>
        <v>74.98</v>
      </c>
      <c r="G28" s="742" t="s">
        <v>17</v>
      </c>
      <c r="H28" s="77"/>
      <c r="I28" s="297">
        <f>ROUNDDOWN(I34+I29,2)</f>
        <v>79.06</v>
      </c>
      <c r="J28" s="126" t="s">
        <v>265</v>
      </c>
      <c r="K28" s="41"/>
    </row>
    <row r="29" spans="1:12" s="1" customFormat="1">
      <c r="A29" s="116" t="s">
        <v>554</v>
      </c>
      <c r="B29" s="171" t="s">
        <v>555</v>
      </c>
      <c r="C29" s="122" t="s">
        <v>21</v>
      </c>
      <c r="D29" s="123" t="s">
        <v>16</v>
      </c>
      <c r="E29" s="61"/>
      <c r="F29" s="1276">
        <v>40.217647310722853</v>
      </c>
      <c r="G29" s="742" t="s">
        <v>34</v>
      </c>
      <c r="H29" s="77"/>
      <c r="I29" s="1286">
        <v>40.297940219253171</v>
      </c>
      <c r="J29" s="126" t="s">
        <v>265</v>
      </c>
      <c r="K29" s="41"/>
    </row>
    <row r="30" spans="1:12" s="1" customFormat="1">
      <c r="A30" s="116" t="s">
        <v>556</v>
      </c>
      <c r="B30" s="171" t="s">
        <v>557</v>
      </c>
      <c r="C30" s="122" t="s">
        <v>21</v>
      </c>
      <c r="D30" s="123" t="s">
        <v>16</v>
      </c>
      <c r="E30" s="61"/>
      <c r="F30" s="887">
        <v>9.76</v>
      </c>
      <c r="G30" s="742" t="s">
        <v>34</v>
      </c>
      <c r="H30" s="77"/>
      <c r="I30" s="1286">
        <v>9.5</v>
      </c>
      <c r="J30" s="126" t="s">
        <v>265</v>
      </c>
      <c r="K30" s="61"/>
    </row>
    <row r="31" spans="1:12" s="1" customFormat="1">
      <c r="A31" s="116" t="s">
        <v>558</v>
      </c>
      <c r="B31" s="171" t="s">
        <v>559</v>
      </c>
      <c r="C31" s="122" t="s">
        <v>21</v>
      </c>
      <c r="D31" s="123" t="s">
        <v>16</v>
      </c>
      <c r="E31" s="61"/>
      <c r="F31" s="887">
        <v>0</v>
      </c>
      <c r="G31" s="742" t="s">
        <v>34</v>
      </c>
      <c r="H31" s="77"/>
      <c r="I31" s="1286">
        <v>0</v>
      </c>
      <c r="J31" s="126" t="s">
        <v>265</v>
      </c>
      <c r="K31" s="61"/>
    </row>
    <row r="32" spans="1:12" s="1" customFormat="1">
      <c r="A32" s="116" t="s">
        <v>560</v>
      </c>
      <c r="B32" s="171" t="s">
        <v>561</v>
      </c>
      <c r="C32" s="122" t="s">
        <v>21</v>
      </c>
      <c r="D32" s="123" t="s">
        <v>16</v>
      </c>
      <c r="E32" s="61"/>
      <c r="F32" s="887">
        <v>0.03</v>
      </c>
      <c r="G32" s="742" t="s">
        <v>34</v>
      </c>
      <c r="H32" s="77"/>
      <c r="I32" s="1286">
        <v>0</v>
      </c>
      <c r="J32" s="126" t="s">
        <v>265</v>
      </c>
      <c r="K32" s="61"/>
    </row>
    <row r="33" spans="1:14" s="1" customFormat="1">
      <c r="A33" s="116" t="s">
        <v>562</v>
      </c>
      <c r="B33" s="171" t="s">
        <v>563</v>
      </c>
      <c r="C33" s="122" t="s">
        <v>21</v>
      </c>
      <c r="D33" s="123" t="s">
        <v>16</v>
      </c>
      <c r="E33" s="61"/>
      <c r="F33" s="887">
        <v>0</v>
      </c>
      <c r="G33" s="742" t="s">
        <v>34</v>
      </c>
      <c r="H33" s="77"/>
      <c r="I33" s="1286">
        <v>0</v>
      </c>
      <c r="J33" s="126" t="s">
        <v>265</v>
      </c>
      <c r="K33" s="61"/>
    </row>
    <row r="34" spans="1:14" s="1" customFormat="1">
      <c r="A34" s="116" t="s">
        <v>564</v>
      </c>
      <c r="B34" s="171" t="s">
        <v>565</v>
      </c>
      <c r="C34" s="122" t="s">
        <v>21</v>
      </c>
      <c r="D34" s="123" t="s">
        <v>16</v>
      </c>
      <c r="E34" s="61"/>
      <c r="F34" s="887">
        <v>34.770000000000003</v>
      </c>
      <c r="G34" s="742" t="s">
        <v>17</v>
      </c>
      <c r="H34" s="77"/>
      <c r="I34" s="1286">
        <v>38.770000000000003</v>
      </c>
      <c r="J34" s="126" t="s">
        <v>265</v>
      </c>
      <c r="K34" s="61"/>
    </row>
    <row r="35" spans="1:14" s="1" customFormat="1">
      <c r="A35" s="116" t="s">
        <v>566</v>
      </c>
      <c r="B35" s="171" t="s">
        <v>567</v>
      </c>
      <c r="C35" s="122" t="s">
        <v>21</v>
      </c>
      <c r="D35" s="123" t="s">
        <v>16</v>
      </c>
      <c r="E35" s="61"/>
      <c r="F35" s="887">
        <v>3.6</v>
      </c>
      <c r="G35" s="742" t="s">
        <v>17</v>
      </c>
      <c r="H35" s="77"/>
      <c r="I35" s="1286">
        <v>2.5099999999999998</v>
      </c>
      <c r="J35" s="126" t="s">
        <v>265</v>
      </c>
      <c r="K35" s="61"/>
    </row>
    <row r="36" spans="1:14" s="1" customFormat="1">
      <c r="A36" s="116" t="s">
        <v>568</v>
      </c>
      <c r="B36" s="171" t="s">
        <v>569</v>
      </c>
      <c r="C36" s="122" t="s">
        <v>21</v>
      </c>
      <c r="D36" s="123" t="s">
        <v>16</v>
      </c>
      <c r="E36" s="61"/>
      <c r="F36" s="887">
        <v>3.93</v>
      </c>
      <c r="G36" s="742" t="s">
        <v>17</v>
      </c>
      <c r="H36" s="77"/>
      <c r="I36" s="1286">
        <v>2.85</v>
      </c>
      <c r="J36" s="126" t="s">
        <v>265</v>
      </c>
      <c r="K36" s="61"/>
    </row>
    <row r="37" spans="1:14" s="1" customFormat="1">
      <c r="A37" s="116" t="s">
        <v>570</v>
      </c>
      <c r="B37" s="171" t="s">
        <v>571</v>
      </c>
      <c r="C37" s="122" t="s">
        <v>21</v>
      </c>
      <c r="D37" s="123" t="s">
        <v>16</v>
      </c>
      <c r="E37" s="61"/>
      <c r="F37" s="887">
        <v>2.37</v>
      </c>
      <c r="G37" s="742" t="s">
        <v>17</v>
      </c>
      <c r="H37" s="77"/>
      <c r="I37" s="1286">
        <v>1.79</v>
      </c>
      <c r="J37" s="126" t="s">
        <v>265</v>
      </c>
      <c r="K37" s="61"/>
    </row>
    <row r="38" spans="1:14" s="1" customFormat="1">
      <c r="A38" s="116" t="s">
        <v>572</v>
      </c>
      <c r="B38" s="171" t="s">
        <v>573</v>
      </c>
      <c r="C38" s="122" t="s">
        <v>21</v>
      </c>
      <c r="D38" s="123" t="s">
        <v>16</v>
      </c>
      <c r="E38" s="61"/>
      <c r="F38" s="887">
        <v>1.81</v>
      </c>
      <c r="G38" s="742" t="s">
        <v>17</v>
      </c>
      <c r="H38" s="77"/>
      <c r="I38" s="1286">
        <v>2.04</v>
      </c>
      <c r="J38" s="126" t="s">
        <v>265</v>
      </c>
      <c r="K38" s="61"/>
    </row>
    <row r="39" spans="1:14" s="1" customFormat="1" ht="12.95" thickBot="1">
      <c r="A39" s="156" t="s">
        <v>574</v>
      </c>
      <c r="B39" s="172" t="s">
        <v>575</v>
      </c>
      <c r="C39" s="128" t="s">
        <v>21</v>
      </c>
      <c r="D39" s="67" t="s">
        <v>16</v>
      </c>
      <c r="E39" s="61"/>
      <c r="F39" s="976">
        <v>3.53</v>
      </c>
      <c r="G39" s="1275" t="s">
        <v>17</v>
      </c>
      <c r="H39" s="77"/>
      <c r="I39" s="1287">
        <v>2.04</v>
      </c>
      <c r="J39" s="125" t="s">
        <v>265</v>
      </c>
      <c r="K39" s="61"/>
    </row>
    <row r="40" spans="1:14" s="1" customFormat="1">
      <c r="A40" s="61"/>
      <c r="B40" s="167"/>
      <c r="C40" s="61"/>
      <c r="D40" s="61"/>
      <c r="E40" s="61"/>
      <c r="F40" s="61"/>
      <c r="G40" s="61"/>
      <c r="H40" s="259"/>
      <c r="I40" s="260"/>
      <c r="J40" s="77"/>
      <c r="K40" s="259"/>
      <c r="L40" s="77"/>
      <c r="M40" s="77"/>
      <c r="N40" s="77"/>
    </row>
    <row r="41" spans="1:14" s="1" customFormat="1" ht="12.6" customHeight="1">
      <c r="A41" s="61"/>
      <c r="B41" s="167"/>
      <c r="C41" s="61"/>
      <c r="D41" s="61"/>
      <c r="E41" s="61"/>
      <c r="F41" s="61"/>
      <c r="G41" s="61"/>
      <c r="H41" s="259"/>
      <c r="I41" s="260"/>
      <c r="J41" s="77"/>
      <c r="K41" s="259"/>
      <c r="L41" s="77"/>
      <c r="M41" s="77"/>
      <c r="N41" s="77"/>
    </row>
    <row r="42" spans="1:14" s="1" customFormat="1" ht="12.95" thickBot="1">
      <c r="A42" s="61"/>
      <c r="B42" s="167"/>
      <c r="C42" s="61"/>
      <c r="D42" s="61"/>
      <c r="E42" s="61"/>
      <c r="F42" s="61"/>
      <c r="G42" s="61"/>
      <c r="H42" s="259"/>
      <c r="I42" s="260"/>
      <c r="J42" s="77"/>
      <c r="K42" s="259"/>
      <c r="L42" s="77"/>
      <c r="M42" s="77"/>
      <c r="N42" s="77"/>
    </row>
    <row r="43" spans="1:14" s="1" customFormat="1">
      <c r="A43" s="13" t="s">
        <v>145</v>
      </c>
      <c r="B43" s="1268"/>
      <c r="C43" s="197" t="s">
        <v>40</v>
      </c>
      <c r="D43" s="3"/>
      <c r="E43" s="743"/>
      <c r="F43" s="744"/>
      <c r="G43" s="61"/>
      <c r="H43" s="259"/>
      <c r="I43" s="260"/>
      <c r="J43" s="77"/>
      <c r="K43" s="259"/>
      <c r="L43" s="77"/>
      <c r="M43" s="77"/>
      <c r="N43" s="77"/>
    </row>
    <row r="44" spans="1:14" s="1" customFormat="1" ht="14.1">
      <c r="A44" s="697"/>
      <c r="B44" s="1265"/>
      <c r="C44" s="1269"/>
      <c r="D44" s="1271"/>
      <c r="E44" s="1271"/>
      <c r="F44" s="745"/>
      <c r="G44" s="61"/>
      <c r="H44" s="259"/>
      <c r="I44" s="260"/>
      <c r="J44" s="77"/>
      <c r="K44" s="259"/>
      <c r="L44" s="77"/>
      <c r="M44" s="77"/>
      <c r="N44" s="77"/>
    </row>
    <row r="45" spans="1:14" s="1" customFormat="1">
      <c r="A45" s="6" t="s">
        <v>41</v>
      </c>
      <c r="B45" s="1269"/>
      <c r="C45" s="207" t="s">
        <v>40</v>
      </c>
      <c r="D45" s="1269"/>
      <c r="E45" s="1271"/>
      <c r="F45" s="745"/>
      <c r="G45" s="61"/>
      <c r="H45" s="259"/>
      <c r="I45" s="260"/>
      <c r="J45" s="77"/>
      <c r="K45" s="259"/>
      <c r="L45" s="77"/>
      <c r="M45" s="77"/>
      <c r="N45" s="77"/>
    </row>
    <row r="46" spans="1:14" s="1" customFormat="1">
      <c r="A46" s="697"/>
      <c r="B46" s="1269"/>
      <c r="C46" s="1269"/>
      <c r="D46" s="1271"/>
      <c r="E46" s="1271"/>
      <c r="F46" s="745"/>
      <c r="G46" s="61"/>
      <c r="H46" s="259"/>
      <c r="I46" s="260"/>
      <c r="J46" s="77"/>
      <c r="K46" s="259"/>
      <c r="L46" s="77"/>
      <c r="M46" s="77"/>
      <c r="N46" s="77"/>
    </row>
    <row r="47" spans="1:14" s="1" customFormat="1" ht="12.95" thickBot="1">
      <c r="A47" s="9" t="s">
        <v>523</v>
      </c>
      <c r="B47" s="10"/>
      <c r="C47" s="10" t="s">
        <v>576</v>
      </c>
      <c r="D47" s="10"/>
      <c r="E47" s="746"/>
      <c r="F47" s="747"/>
      <c r="G47" s="61"/>
      <c r="H47" s="259"/>
      <c r="I47" s="260"/>
      <c r="J47" s="77"/>
      <c r="K47" s="259"/>
      <c r="L47" s="77"/>
      <c r="M47" s="77"/>
      <c r="N47" s="77"/>
    </row>
    <row r="48" spans="1:14" s="1" customFormat="1">
      <c r="A48" s="61"/>
      <c r="B48" s="167"/>
      <c r="C48" s="61"/>
      <c r="D48" s="61"/>
      <c r="E48" s="61"/>
      <c r="F48" s="61"/>
      <c r="G48" s="61"/>
      <c r="H48" s="259"/>
      <c r="I48" s="260"/>
      <c r="J48" s="77"/>
      <c r="K48" s="259"/>
      <c r="L48" s="77"/>
      <c r="M48" s="77"/>
      <c r="N48" s="77"/>
    </row>
    <row r="49" spans="1:14" s="1" customFormat="1">
      <c r="A49" s="61"/>
      <c r="C49" s="61"/>
      <c r="D49" s="61"/>
      <c r="E49" s="61"/>
      <c r="F49" s="61"/>
      <c r="G49" s="61"/>
      <c r="H49" s="61"/>
      <c r="I49" s="61"/>
      <c r="J49" s="61"/>
      <c r="L49" s="77"/>
      <c r="M49" s="77"/>
      <c r="N49" s="77"/>
    </row>
    <row r="50" spans="1:14" s="1" customFormat="1" ht="15.6">
      <c r="A50" s="61"/>
      <c r="B50" s="77"/>
      <c r="C50" s="77"/>
      <c r="D50" s="77"/>
      <c r="E50" s="77"/>
      <c r="F50" s="77"/>
      <c r="G50" s="77"/>
      <c r="H50" s="42"/>
      <c r="I50" s="77"/>
      <c r="J50" s="77"/>
      <c r="K50" s="77"/>
    </row>
    <row r="51" spans="1:14" s="1" customFormat="1">
      <c r="G51" s="77"/>
      <c r="H51" s="77"/>
      <c r="I51" s="77"/>
      <c r="J51" s="77"/>
    </row>
    <row r="52" spans="1:14" s="1" customFormat="1">
      <c r="G52" s="77"/>
      <c r="H52" s="77"/>
      <c r="I52" s="77"/>
      <c r="J52" s="77"/>
    </row>
    <row r="53" spans="1:14" s="1" customFormat="1">
      <c r="G53" s="77"/>
      <c r="H53" s="77"/>
      <c r="I53" s="77"/>
      <c r="J53" s="77"/>
    </row>
    <row r="54" spans="1:14" s="1" customFormat="1">
      <c r="G54" s="77"/>
      <c r="H54" s="77"/>
      <c r="I54" s="77"/>
      <c r="J54" s="77"/>
    </row>
    <row r="55" spans="1:14" s="1" customFormat="1">
      <c r="G55" s="77"/>
      <c r="H55" s="77"/>
      <c r="I55" s="77"/>
      <c r="J55" s="77"/>
    </row>
    <row r="56" spans="1:14" s="1" customFormat="1">
      <c r="B56" s="77"/>
      <c r="C56" s="77"/>
      <c r="D56" s="77"/>
      <c r="E56" s="77"/>
      <c r="F56" s="77"/>
      <c r="G56" s="77"/>
      <c r="H56" s="77"/>
      <c r="I56" s="77"/>
      <c r="J56" s="77"/>
    </row>
    <row r="57" spans="1:14" s="1" customFormat="1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</row>
  </sheetData>
  <mergeCells count="2">
    <mergeCell ref="F10:G11"/>
    <mergeCell ref="I10:J11"/>
  </mergeCells>
  <phoneticPr fontId="25" type="noConversion"/>
  <pageMargins left="0.74803149606299213" right="0.74803149606299213" top="0.98425196850393704" bottom="0.98425196850393704" header="0.51181102362204722" footer="0.51181102362204722"/>
  <pageSetup paperSize="8" scale="89" orientation="landscape" r:id="rId1"/>
  <headerFooter alignWithMargins="0">
    <oddFooter>&amp;R&amp;"CG Omega,Regular" Date: Feb 2010
Revision 13.0&amp;L&amp;"Calibri"&amp;11&amp;K000000&amp;"CG Omega,Regular"Table 1 of 10_x000D_&amp;1#&amp;"Arial"&amp;11&amp;K000000SW Private Commercial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2092E-DBDA-43A4-97B7-345F545915AE}">
  <sheetPr>
    <pageSetUpPr fitToPage="1"/>
  </sheetPr>
  <dimension ref="A1:N131"/>
  <sheetViews>
    <sheetView zoomScaleNormal="100" workbookViewId="0">
      <selection sqref="A1:XFD1048576"/>
    </sheetView>
  </sheetViews>
  <sheetFormatPr defaultColWidth="8.5703125" defaultRowHeight="12.6"/>
  <cols>
    <col min="1" max="1" width="9.42578125" style="77" bestFit="1" customWidth="1"/>
    <col min="2" max="2" width="88.42578125" style="77" customWidth="1"/>
    <col min="3" max="5" width="8.5703125" style="77"/>
    <col min="6" max="6" width="12.5703125" style="77" customWidth="1"/>
    <col min="7" max="7" width="5.5703125" style="77" customWidth="1"/>
    <col min="8" max="8" width="8.5703125" style="77" customWidth="1"/>
    <col min="9" max="9" width="12.5703125" style="77" customWidth="1"/>
    <col min="10" max="10" width="5.42578125" style="77" customWidth="1"/>
    <col min="11" max="11" width="8.5703125" style="77" customWidth="1"/>
    <col min="12" max="12" width="9.42578125" style="77" customWidth="1"/>
    <col min="13" max="13" width="8.5703125" style="77" customWidth="1"/>
    <col min="14" max="16384" width="8.5703125" style="77"/>
  </cols>
  <sheetData>
    <row r="1" spans="1:14" ht="20.100000000000001">
      <c r="A1" s="49" t="s">
        <v>0</v>
      </c>
      <c r="B1" s="49"/>
      <c r="C1" s="49"/>
      <c r="D1" s="49"/>
      <c r="E1" s="49"/>
    </row>
    <row r="2" spans="1:14" ht="20.100000000000001">
      <c r="A2" s="18"/>
      <c r="B2" s="1"/>
      <c r="C2" s="1"/>
      <c r="D2" s="1"/>
      <c r="E2" s="1"/>
    </row>
    <row r="3" spans="1:14" ht="20.100000000000001">
      <c r="A3" s="238" t="str">
        <f>"ANNUAL RETURN INFORMATION REQUIREMENTS "&amp;_reportyear</f>
        <v>ANNUAL RETURN INFORMATION REQUIREMENTS 2023-24</v>
      </c>
      <c r="B3" s="19"/>
      <c r="C3" s="19"/>
      <c r="D3" s="19"/>
      <c r="E3" s="19"/>
      <c r="F3" s="19"/>
      <c r="G3" s="19"/>
      <c r="H3" s="19"/>
      <c r="I3" s="19"/>
      <c r="J3" s="19"/>
      <c r="K3" s="755"/>
    </row>
    <row r="5" spans="1:14" ht="12.95" thickBot="1"/>
    <row r="6" spans="1:14" ht="20.100000000000001">
      <c r="A6" s="51" t="s">
        <v>1</v>
      </c>
      <c r="B6" s="24"/>
    </row>
    <row r="7" spans="1:14" ht="20.45" thickBot="1">
      <c r="A7" s="25" t="s">
        <v>577</v>
      </c>
      <c r="B7" s="26"/>
      <c r="C7" s="62"/>
      <c r="D7" s="62"/>
      <c r="E7" s="62"/>
    </row>
    <row r="8" spans="1:14" ht="15.6">
      <c r="A8" s="22"/>
      <c r="B8" s="1"/>
      <c r="C8" s="1"/>
      <c r="D8" s="1"/>
      <c r="E8" s="1"/>
    </row>
    <row r="9" spans="1:14" ht="15.95" thickBot="1">
      <c r="A9" s="22"/>
      <c r="B9" s="1"/>
      <c r="C9" s="1"/>
      <c r="D9" s="1"/>
      <c r="E9" s="1"/>
    </row>
    <row r="10" spans="1:14" ht="15.6">
      <c r="A10" s="28" t="s">
        <v>3</v>
      </c>
      <c r="B10" s="153" t="s">
        <v>4</v>
      </c>
      <c r="C10" s="30" t="s">
        <v>5</v>
      </c>
      <c r="D10" s="31" t="s">
        <v>6</v>
      </c>
      <c r="E10" s="1"/>
      <c r="F10" s="1331" t="s">
        <v>386</v>
      </c>
      <c r="G10" s="1332"/>
      <c r="I10" s="1331" t="s">
        <v>7</v>
      </c>
      <c r="J10" s="1332"/>
    </row>
    <row r="11" spans="1:14" ht="15.6">
      <c r="A11" s="33" t="s">
        <v>9</v>
      </c>
      <c r="B11" s="34"/>
      <c r="C11" s="35"/>
      <c r="D11" s="36" t="s">
        <v>10</v>
      </c>
      <c r="E11" s="1"/>
      <c r="F11" s="1333"/>
      <c r="G11" s="1334"/>
      <c r="I11" s="1333"/>
      <c r="J11" s="1334"/>
    </row>
    <row r="12" spans="1:14" ht="15.95" thickBot="1">
      <c r="A12" s="37"/>
      <c r="B12" s="154"/>
      <c r="C12" s="39"/>
      <c r="D12" s="40"/>
      <c r="E12" s="1"/>
      <c r="F12" s="794" t="str">
        <f>_Reportyearminus1</f>
        <v>2022-23</v>
      </c>
      <c r="G12" s="795" t="s">
        <v>11</v>
      </c>
      <c r="H12" s="218"/>
      <c r="I12" s="794" t="str">
        <f>_reportyear</f>
        <v>2023-24</v>
      </c>
      <c r="J12" s="793" t="s">
        <v>11</v>
      </c>
    </row>
    <row r="13" spans="1:14" ht="12.95" thickBot="1">
      <c r="E13" s="1"/>
    </row>
    <row r="14" spans="1:14" ht="56.25" customHeight="1" thickBot="1">
      <c r="A14" s="706"/>
      <c r="B14" s="313" t="s">
        <v>578</v>
      </c>
      <c r="C14" s="46"/>
      <c r="D14" s="47"/>
      <c r="E14" s="1"/>
    </row>
    <row r="15" spans="1:14">
      <c r="A15" s="155" t="s">
        <v>579</v>
      </c>
      <c r="B15" s="63" t="s">
        <v>580</v>
      </c>
      <c r="C15" s="114" t="s">
        <v>21</v>
      </c>
      <c r="D15" s="64" t="s">
        <v>16</v>
      </c>
      <c r="E15" s="1"/>
      <c r="F15" s="959">
        <v>0</v>
      </c>
      <c r="G15" s="301" t="s">
        <v>22</v>
      </c>
      <c r="I15" s="888">
        <v>0</v>
      </c>
      <c r="J15" s="301" t="s">
        <v>22</v>
      </c>
      <c r="N15" s="77" t="str">
        <f>IF(G15&lt;&gt;J15,"Change CG","")</f>
        <v/>
      </c>
    </row>
    <row r="16" spans="1:14">
      <c r="A16" s="116" t="s">
        <v>581</v>
      </c>
      <c r="B16" s="65" t="s">
        <v>582</v>
      </c>
      <c r="C16" s="115" t="s">
        <v>21</v>
      </c>
      <c r="D16" s="66" t="s">
        <v>16</v>
      </c>
      <c r="E16" s="1"/>
      <c r="F16" s="960">
        <v>6</v>
      </c>
      <c r="G16" s="302" t="s">
        <v>34</v>
      </c>
      <c r="I16" s="889">
        <v>11</v>
      </c>
      <c r="J16" s="302" t="s">
        <v>34</v>
      </c>
      <c r="N16" s="77" t="str">
        <f>IF(G16&lt;&gt;J16,"Change CG","")</f>
        <v/>
      </c>
    </row>
    <row r="17" spans="1:14">
      <c r="A17" s="116" t="s">
        <v>583</v>
      </c>
      <c r="B17" s="65" t="s">
        <v>584</v>
      </c>
      <c r="C17" s="115" t="s">
        <v>21</v>
      </c>
      <c r="D17" s="66" t="s">
        <v>27</v>
      </c>
      <c r="E17" s="1"/>
      <c r="F17" s="961">
        <f>SUM(F15:F16)</f>
        <v>6</v>
      </c>
      <c r="G17" s="302" t="s">
        <v>34</v>
      </c>
      <c r="I17" s="890">
        <f>SUM(I15:I16)</f>
        <v>11</v>
      </c>
      <c r="J17" s="302" t="s">
        <v>34</v>
      </c>
      <c r="N17" s="77" t="str">
        <f>IF(G17&lt;&gt;J17,"Change CG","")</f>
        <v/>
      </c>
    </row>
    <row r="18" spans="1:14" ht="12.95" thickBot="1">
      <c r="A18" s="156" t="s">
        <v>585</v>
      </c>
      <c r="B18" s="127" t="s">
        <v>586</v>
      </c>
      <c r="C18" s="128" t="s">
        <v>587</v>
      </c>
      <c r="D18" s="67" t="s">
        <v>16</v>
      </c>
      <c r="E18" s="1"/>
      <c r="F18" s="303">
        <v>180</v>
      </c>
      <c r="G18" s="304" t="s">
        <v>34</v>
      </c>
      <c r="I18" s="303">
        <v>500</v>
      </c>
      <c r="J18" s="304" t="s">
        <v>34</v>
      </c>
      <c r="L18" s="1261"/>
      <c r="N18" s="77" t="str">
        <f>IF(G18&lt;&gt;J18,"Change CG","")</f>
        <v/>
      </c>
    </row>
    <row r="19" spans="1:14" ht="12.95" thickBot="1">
      <c r="E19" s="1"/>
      <c r="I19" s="1262"/>
    </row>
    <row r="20" spans="1:14" ht="45" customHeight="1" thickBot="1">
      <c r="A20" s="706"/>
      <c r="B20" s="313" t="s">
        <v>588</v>
      </c>
      <c r="C20" s="46"/>
      <c r="D20" s="47"/>
      <c r="E20" s="1"/>
    </row>
    <row r="21" spans="1:14">
      <c r="A21" s="428" t="s">
        <v>589</v>
      </c>
      <c r="B21" s="429" t="s">
        <v>590</v>
      </c>
      <c r="C21" s="390" t="s">
        <v>21</v>
      </c>
      <c r="D21" s="391" t="s">
        <v>16</v>
      </c>
      <c r="E21" s="1"/>
      <c r="F21" s="959">
        <v>0</v>
      </c>
      <c r="G21" s="301" t="s">
        <v>22</v>
      </c>
      <c r="I21" s="888">
        <v>0</v>
      </c>
      <c r="J21" s="301" t="s">
        <v>22</v>
      </c>
      <c r="N21" s="77" t="str">
        <f t="shared" ref="N21:N28" si="0">IF(G21&lt;&gt;J21,"Change CG","")</f>
        <v/>
      </c>
    </row>
    <row r="22" spans="1:14">
      <c r="A22" s="337" t="s">
        <v>591</v>
      </c>
      <c r="B22" s="65" t="s">
        <v>592</v>
      </c>
      <c r="C22" s="115" t="s">
        <v>21</v>
      </c>
      <c r="D22" s="338" t="s">
        <v>16</v>
      </c>
      <c r="E22" s="1"/>
      <c r="F22" s="960">
        <v>1872</v>
      </c>
      <c r="G22" s="302" t="s">
        <v>34</v>
      </c>
      <c r="I22" s="889">
        <v>364</v>
      </c>
      <c r="J22" s="302" t="s">
        <v>34</v>
      </c>
      <c r="L22" s="1260"/>
      <c r="N22" s="77" t="str">
        <f t="shared" si="0"/>
        <v/>
      </c>
    </row>
    <row r="23" spans="1:14">
      <c r="A23" s="337" t="s">
        <v>593</v>
      </c>
      <c r="B23" s="65" t="s">
        <v>594</v>
      </c>
      <c r="C23" s="115" t="s">
        <v>21</v>
      </c>
      <c r="D23" s="338" t="s">
        <v>16</v>
      </c>
      <c r="E23" s="1"/>
      <c r="F23" s="102" t="s">
        <v>23</v>
      </c>
      <c r="G23" s="80" t="s">
        <v>229</v>
      </c>
      <c r="I23" s="102" t="s">
        <v>23</v>
      </c>
      <c r="J23" s="80" t="s">
        <v>229</v>
      </c>
      <c r="N23" s="77" t="str">
        <f t="shared" si="0"/>
        <v/>
      </c>
    </row>
    <row r="24" spans="1:14">
      <c r="A24" s="337" t="s">
        <v>595</v>
      </c>
      <c r="B24" s="65" t="s">
        <v>596</v>
      </c>
      <c r="C24" s="115" t="s">
        <v>21</v>
      </c>
      <c r="D24" s="338" t="s">
        <v>16</v>
      </c>
      <c r="E24" s="1"/>
      <c r="F24" s="102" t="s">
        <v>23</v>
      </c>
      <c r="G24" s="80" t="s">
        <v>229</v>
      </c>
      <c r="I24" s="102" t="s">
        <v>23</v>
      </c>
      <c r="J24" s="80" t="s">
        <v>229</v>
      </c>
      <c r="N24" s="77" t="str">
        <f t="shared" si="0"/>
        <v/>
      </c>
    </row>
    <row r="25" spans="1:14">
      <c r="A25" s="337" t="s">
        <v>597</v>
      </c>
      <c r="B25" s="65" t="s">
        <v>598</v>
      </c>
      <c r="C25" s="115" t="s">
        <v>21</v>
      </c>
      <c r="D25" s="338" t="s">
        <v>16</v>
      </c>
      <c r="E25" s="1"/>
      <c r="F25" s="102" t="s">
        <v>23</v>
      </c>
      <c r="G25" s="80" t="s">
        <v>229</v>
      </c>
      <c r="I25" s="102" t="s">
        <v>23</v>
      </c>
      <c r="J25" s="80" t="s">
        <v>229</v>
      </c>
      <c r="N25" s="77" t="str">
        <f t="shared" si="0"/>
        <v/>
      </c>
    </row>
    <row r="26" spans="1:14">
      <c r="A26" s="337" t="s">
        <v>599</v>
      </c>
      <c r="B26" s="65" t="s">
        <v>600</v>
      </c>
      <c r="C26" s="115" t="s">
        <v>21</v>
      </c>
      <c r="D26" s="338" t="s">
        <v>16</v>
      </c>
      <c r="E26" s="1"/>
      <c r="F26" s="102" t="s">
        <v>23</v>
      </c>
      <c r="G26" s="80" t="s">
        <v>229</v>
      </c>
      <c r="I26" s="102" t="s">
        <v>23</v>
      </c>
      <c r="J26" s="80" t="s">
        <v>229</v>
      </c>
      <c r="N26" s="77" t="str">
        <f t="shared" si="0"/>
        <v/>
      </c>
    </row>
    <row r="27" spans="1:14">
      <c r="A27" s="337" t="s">
        <v>601</v>
      </c>
      <c r="B27" s="65" t="s">
        <v>602</v>
      </c>
      <c r="C27" s="115" t="s">
        <v>21</v>
      </c>
      <c r="D27" s="338" t="s">
        <v>27</v>
      </c>
      <c r="E27" s="1"/>
      <c r="F27" s="962">
        <f>SUM(F21:F26)</f>
        <v>1872</v>
      </c>
      <c r="G27" s="305" t="s">
        <v>34</v>
      </c>
      <c r="I27" s="891">
        <f>SUM(I21:I26)</f>
        <v>364</v>
      </c>
      <c r="J27" s="305" t="s">
        <v>34</v>
      </c>
      <c r="L27" s="1261"/>
      <c r="N27" s="77" t="str">
        <f t="shared" si="0"/>
        <v/>
      </c>
    </row>
    <row r="28" spans="1:14" ht="12.95" thickBot="1">
      <c r="A28" s="430" t="s">
        <v>603</v>
      </c>
      <c r="B28" s="401" t="s">
        <v>604</v>
      </c>
      <c r="C28" s="340" t="s">
        <v>587</v>
      </c>
      <c r="D28" s="341" t="s">
        <v>16</v>
      </c>
      <c r="E28" s="1"/>
      <c r="F28" s="303">
        <v>324479.24</v>
      </c>
      <c r="G28" s="304" t="s">
        <v>34</v>
      </c>
      <c r="I28" s="303">
        <v>44003.57</v>
      </c>
      <c r="J28" s="304" t="s">
        <v>34</v>
      </c>
      <c r="L28" s="1261"/>
      <c r="M28" s="1262"/>
      <c r="N28" s="77" t="str">
        <f t="shared" si="0"/>
        <v/>
      </c>
    </row>
    <row r="29" spans="1:14" ht="12.95" thickBot="1">
      <c r="E29" s="1"/>
    </row>
    <row r="30" spans="1:14" ht="42" customHeight="1" thickBot="1">
      <c r="A30" s="706"/>
      <c r="B30" s="313" t="s">
        <v>605</v>
      </c>
      <c r="C30" s="46"/>
      <c r="D30" s="47"/>
      <c r="E30" s="1"/>
    </row>
    <row r="31" spans="1:14">
      <c r="A31" s="428" t="s">
        <v>606</v>
      </c>
      <c r="B31" s="431" t="s">
        <v>607</v>
      </c>
      <c r="C31" s="390" t="s">
        <v>21</v>
      </c>
      <c r="D31" s="391" t="s">
        <v>16</v>
      </c>
      <c r="E31" s="1"/>
      <c r="F31" s="104">
        <v>171</v>
      </c>
      <c r="G31" s="82" t="s">
        <v>34</v>
      </c>
      <c r="I31" s="104">
        <v>183</v>
      </c>
      <c r="J31" s="82" t="s">
        <v>34</v>
      </c>
      <c r="L31" s="1261"/>
      <c r="N31" s="77" t="str">
        <f t="shared" ref="N31:N38" si="1">IF(G31&lt;&gt;J31,"Change CG","")</f>
        <v/>
      </c>
    </row>
    <row r="32" spans="1:14">
      <c r="A32" s="337" t="s">
        <v>608</v>
      </c>
      <c r="B32" s="173" t="s">
        <v>609</v>
      </c>
      <c r="C32" s="115" t="s">
        <v>21</v>
      </c>
      <c r="D32" s="338" t="s">
        <v>16</v>
      </c>
      <c r="E32" s="1"/>
      <c r="F32" s="963">
        <v>163</v>
      </c>
      <c r="G32" s="305" t="s">
        <v>34</v>
      </c>
      <c r="I32" s="892">
        <v>117</v>
      </c>
      <c r="J32" s="305" t="s">
        <v>34</v>
      </c>
      <c r="L32" s="1261"/>
      <c r="N32" s="77" t="str">
        <f t="shared" si="1"/>
        <v/>
      </c>
    </row>
    <row r="33" spans="1:14">
      <c r="A33" s="337" t="s">
        <v>610</v>
      </c>
      <c r="B33" s="173" t="s">
        <v>611</v>
      </c>
      <c r="C33" s="115" t="s">
        <v>587</v>
      </c>
      <c r="D33" s="338" t="s">
        <v>16</v>
      </c>
      <c r="E33" s="1"/>
      <c r="F33" s="306">
        <v>51465.94</v>
      </c>
      <c r="G33" s="126" t="s">
        <v>34</v>
      </c>
      <c r="H33" s="1262"/>
      <c r="I33" s="306">
        <v>59592.93</v>
      </c>
      <c r="J33" s="80" t="s">
        <v>34</v>
      </c>
      <c r="K33" s="1263"/>
      <c r="L33" s="1261"/>
      <c r="N33" s="77" t="str">
        <f t="shared" si="1"/>
        <v/>
      </c>
    </row>
    <row r="34" spans="1:14">
      <c r="A34" s="337" t="s">
        <v>612</v>
      </c>
      <c r="B34" s="173" t="s">
        <v>613</v>
      </c>
      <c r="C34" s="115" t="s">
        <v>587</v>
      </c>
      <c r="D34" s="338" t="s">
        <v>16</v>
      </c>
      <c r="E34" s="1"/>
      <c r="F34" s="307">
        <v>45536.62</v>
      </c>
      <c r="G34" s="305" t="s">
        <v>34</v>
      </c>
      <c r="H34" s="1262"/>
      <c r="I34" s="307">
        <v>33858.660000000003</v>
      </c>
      <c r="J34" s="305" t="s">
        <v>34</v>
      </c>
      <c r="K34" s="1263"/>
      <c r="L34" s="1261"/>
      <c r="N34" s="77" t="str">
        <f t="shared" si="1"/>
        <v/>
      </c>
    </row>
    <row r="35" spans="1:14">
      <c r="A35" s="337" t="s">
        <v>614</v>
      </c>
      <c r="B35" s="173" t="s">
        <v>615</v>
      </c>
      <c r="C35" s="115" t="s">
        <v>21</v>
      </c>
      <c r="D35" s="338" t="s">
        <v>16</v>
      </c>
      <c r="E35" s="1"/>
      <c r="F35" s="102" t="s">
        <v>23</v>
      </c>
      <c r="G35" s="126" t="s">
        <v>229</v>
      </c>
      <c r="I35" s="102" t="s">
        <v>23</v>
      </c>
      <c r="J35" s="80" t="s">
        <v>229</v>
      </c>
      <c r="N35" s="77" t="str">
        <f t="shared" si="1"/>
        <v/>
      </c>
    </row>
    <row r="36" spans="1:14">
      <c r="A36" s="337" t="s">
        <v>616</v>
      </c>
      <c r="B36" s="173" t="s">
        <v>617</v>
      </c>
      <c r="C36" s="115" t="s">
        <v>21</v>
      </c>
      <c r="D36" s="338" t="s">
        <v>16</v>
      </c>
      <c r="E36" s="1"/>
      <c r="F36" s="963">
        <v>107</v>
      </c>
      <c r="G36" s="305" t="s">
        <v>34</v>
      </c>
      <c r="I36" s="102">
        <v>84</v>
      </c>
      <c r="J36" s="305" t="s">
        <v>34</v>
      </c>
      <c r="L36" s="1261"/>
      <c r="N36" s="77" t="str">
        <f t="shared" si="1"/>
        <v/>
      </c>
    </row>
    <row r="37" spans="1:14">
      <c r="A37" s="337" t="s">
        <v>618</v>
      </c>
      <c r="B37" s="173" t="s">
        <v>619</v>
      </c>
      <c r="C37" s="115" t="s">
        <v>587</v>
      </c>
      <c r="D37" s="338" t="s">
        <v>16</v>
      </c>
      <c r="E37" s="1"/>
      <c r="F37" s="102" t="s">
        <v>23</v>
      </c>
      <c r="G37" s="126" t="s">
        <v>229</v>
      </c>
      <c r="I37" s="997" t="s">
        <v>23</v>
      </c>
      <c r="J37" s="80" t="s">
        <v>229</v>
      </c>
      <c r="N37" s="77" t="str">
        <f t="shared" si="1"/>
        <v/>
      </c>
    </row>
    <row r="38" spans="1:14" ht="12.95" thickBot="1">
      <c r="A38" s="430" t="s">
        <v>620</v>
      </c>
      <c r="B38" s="432" t="s">
        <v>621</v>
      </c>
      <c r="C38" s="340" t="s">
        <v>587</v>
      </c>
      <c r="D38" s="341" t="s">
        <v>16</v>
      </c>
      <c r="E38" s="1"/>
      <c r="F38" s="308">
        <v>69314.33</v>
      </c>
      <c r="G38" s="309" t="s">
        <v>34</v>
      </c>
      <c r="H38" s="1263"/>
      <c r="I38" s="308">
        <v>57190.21</v>
      </c>
      <c r="J38" s="309" t="s">
        <v>34</v>
      </c>
      <c r="K38" s="1262"/>
      <c r="L38" s="1261"/>
      <c r="N38" s="77" t="str">
        <f t="shared" si="1"/>
        <v/>
      </c>
    </row>
    <row r="39" spans="1:14" ht="12.95" thickBot="1">
      <c r="E39" s="1"/>
    </row>
    <row r="40" spans="1:14" ht="38.25" customHeight="1" thickBot="1">
      <c r="A40" s="706"/>
      <c r="B40" s="313" t="s">
        <v>622</v>
      </c>
      <c r="C40" s="46"/>
      <c r="D40" s="47"/>
      <c r="E40" s="1"/>
    </row>
    <row r="41" spans="1:14">
      <c r="A41" s="428" t="s">
        <v>623</v>
      </c>
      <c r="B41" s="429" t="s">
        <v>624</v>
      </c>
      <c r="C41" s="390" t="s">
        <v>21</v>
      </c>
      <c r="D41" s="391" t="s">
        <v>16</v>
      </c>
      <c r="E41" s="1"/>
      <c r="F41" s="101">
        <v>10</v>
      </c>
      <c r="G41" s="301" t="s">
        <v>34</v>
      </c>
      <c r="I41" s="101">
        <v>1</v>
      </c>
      <c r="J41" s="301" t="s">
        <v>34</v>
      </c>
      <c r="N41" s="77" t="str">
        <f>IF(G41&lt;&gt;J41,"Change CG","")</f>
        <v/>
      </c>
    </row>
    <row r="42" spans="1:14">
      <c r="A42" s="337" t="s">
        <v>625</v>
      </c>
      <c r="B42" s="65" t="s">
        <v>626</v>
      </c>
      <c r="C42" s="115" t="s">
        <v>587</v>
      </c>
      <c r="D42" s="338" t="s">
        <v>16</v>
      </c>
      <c r="E42" s="1"/>
      <c r="F42" s="964">
        <v>1922.6</v>
      </c>
      <c r="G42" s="305" t="s">
        <v>34</v>
      </c>
      <c r="I42" s="307">
        <v>428.4</v>
      </c>
      <c r="J42" s="305" t="s">
        <v>34</v>
      </c>
      <c r="L42" s="1261"/>
      <c r="N42" s="77" t="str">
        <f>IF(G42&lt;&gt;J42,"Change CG","")</f>
        <v/>
      </c>
    </row>
    <row r="43" spans="1:14">
      <c r="A43" s="337" t="s">
        <v>627</v>
      </c>
      <c r="B43" s="65" t="s">
        <v>628</v>
      </c>
      <c r="C43" s="115" t="s">
        <v>21</v>
      </c>
      <c r="D43" s="338" t="s">
        <v>16</v>
      </c>
      <c r="E43" s="1"/>
      <c r="F43" s="102" t="s">
        <v>23</v>
      </c>
      <c r="G43" s="305" t="s">
        <v>229</v>
      </c>
      <c r="I43" s="102" t="s">
        <v>23</v>
      </c>
      <c r="J43" s="305" t="s">
        <v>229</v>
      </c>
      <c r="N43" s="77" t="str">
        <f>IF(G43&lt;&gt;J43,"Change CG","")</f>
        <v/>
      </c>
    </row>
    <row r="44" spans="1:14" ht="12.95" thickBot="1">
      <c r="A44" s="430" t="s">
        <v>629</v>
      </c>
      <c r="B44" s="401" t="s">
        <v>630</v>
      </c>
      <c r="C44" s="340" t="s">
        <v>587</v>
      </c>
      <c r="D44" s="341" t="s">
        <v>16</v>
      </c>
      <c r="E44" s="1"/>
      <c r="F44" s="103" t="s">
        <v>23</v>
      </c>
      <c r="G44" s="309" t="s">
        <v>229</v>
      </c>
      <c r="I44" s="996" t="s">
        <v>23</v>
      </c>
      <c r="J44" s="309" t="s">
        <v>229</v>
      </c>
      <c r="N44" s="77" t="str">
        <f>IF(G44&lt;&gt;J44,"Change CG","")</f>
        <v/>
      </c>
    </row>
    <row r="45" spans="1:14" ht="12.95" thickBot="1">
      <c r="E45" s="1"/>
    </row>
    <row r="46" spans="1:14" ht="43.5" customHeight="1" thickBot="1">
      <c r="A46" s="706"/>
      <c r="B46" s="433" t="s">
        <v>631</v>
      </c>
      <c r="C46" s="46"/>
      <c r="D46" s="47"/>
      <c r="E46" s="1"/>
    </row>
    <row r="47" spans="1:14">
      <c r="A47" s="434" t="s">
        <v>632</v>
      </c>
      <c r="B47" s="316" t="s">
        <v>633</v>
      </c>
      <c r="C47" s="317" t="s">
        <v>21</v>
      </c>
      <c r="D47" s="331" t="s">
        <v>16</v>
      </c>
      <c r="E47" s="1"/>
      <c r="F47" s="959">
        <v>0</v>
      </c>
      <c r="G47" s="310" t="s">
        <v>22</v>
      </c>
      <c r="I47" s="888">
        <v>0</v>
      </c>
      <c r="J47" s="310" t="s">
        <v>22</v>
      </c>
      <c r="N47" s="77" t="str">
        <f>IF(G47&lt;&gt;J47,"Change CG","")</f>
        <v/>
      </c>
    </row>
    <row r="48" spans="1:14">
      <c r="A48" s="435" t="s">
        <v>634</v>
      </c>
      <c r="B48" s="314" t="s">
        <v>635</v>
      </c>
      <c r="C48" s="315" t="s">
        <v>21</v>
      </c>
      <c r="D48" s="332" t="s">
        <v>16</v>
      </c>
      <c r="E48" s="1"/>
      <c r="F48" s="963">
        <v>0</v>
      </c>
      <c r="G48" s="311" t="s">
        <v>22</v>
      </c>
      <c r="I48" s="892">
        <v>0</v>
      </c>
      <c r="J48" s="311" t="s">
        <v>22</v>
      </c>
      <c r="N48" s="77" t="str">
        <f>IF(G48&lt;&gt;J48,"Change CG","")</f>
        <v/>
      </c>
    </row>
    <row r="49" spans="1:14">
      <c r="A49" s="435" t="s">
        <v>636</v>
      </c>
      <c r="B49" s="314" t="s">
        <v>637</v>
      </c>
      <c r="C49" s="315" t="s">
        <v>21</v>
      </c>
      <c r="D49" s="332" t="s">
        <v>16</v>
      </c>
      <c r="E49" s="1"/>
      <c r="F49" s="963">
        <v>0</v>
      </c>
      <c r="G49" s="311" t="s">
        <v>22</v>
      </c>
      <c r="I49" s="892">
        <v>0</v>
      </c>
      <c r="J49" s="311" t="s">
        <v>22</v>
      </c>
      <c r="N49" s="77" t="str">
        <f>IF(G49&lt;&gt;J49,"Change CG","")</f>
        <v/>
      </c>
    </row>
    <row r="50" spans="1:14">
      <c r="A50" s="435" t="s">
        <v>638</v>
      </c>
      <c r="B50" s="314" t="s">
        <v>639</v>
      </c>
      <c r="C50" s="315" t="s">
        <v>21</v>
      </c>
      <c r="D50" s="332" t="s">
        <v>27</v>
      </c>
      <c r="E50" s="1"/>
      <c r="F50" s="965">
        <f>SUM(F48:F49)</f>
        <v>0</v>
      </c>
      <c r="G50" s="311" t="s">
        <v>22</v>
      </c>
      <c r="I50" s="893">
        <f>SUM(I48:I49)</f>
        <v>0</v>
      </c>
      <c r="J50" s="311" t="s">
        <v>22</v>
      </c>
      <c r="N50" s="77" t="str">
        <f>IF(G50&lt;&gt;J50,"Change CG","")</f>
        <v/>
      </c>
    </row>
    <row r="51" spans="1:14" ht="12.95" thickBot="1">
      <c r="A51" s="436" t="s">
        <v>640</v>
      </c>
      <c r="B51" s="318" t="s">
        <v>641</v>
      </c>
      <c r="C51" s="319" t="s">
        <v>587</v>
      </c>
      <c r="D51" s="333" t="s">
        <v>16</v>
      </c>
      <c r="E51" s="1"/>
      <c r="F51" s="308">
        <v>0</v>
      </c>
      <c r="G51" s="312" t="s">
        <v>22</v>
      </c>
      <c r="I51" s="308">
        <v>0</v>
      </c>
      <c r="J51" s="312" t="s">
        <v>22</v>
      </c>
      <c r="N51" s="77" t="str">
        <f>IF(G51&lt;&gt;J51,"Change CG","")</f>
        <v/>
      </c>
    </row>
    <row r="52" spans="1:14" ht="12.95" thickBot="1">
      <c r="E52" s="1"/>
    </row>
    <row r="53" spans="1:14" ht="31.5" customHeight="1" thickBot="1">
      <c r="A53" s="706"/>
      <c r="B53" s="433" t="s">
        <v>642</v>
      </c>
      <c r="C53" s="46"/>
      <c r="D53" s="47"/>
      <c r="E53" s="1"/>
    </row>
    <row r="54" spans="1:14">
      <c r="A54" s="434" t="s">
        <v>643</v>
      </c>
      <c r="B54" s="316" t="s">
        <v>633</v>
      </c>
      <c r="C54" s="317" t="s">
        <v>21</v>
      </c>
      <c r="D54" s="331" t="s">
        <v>16</v>
      </c>
      <c r="E54" s="1"/>
      <c r="F54" s="959">
        <v>0</v>
      </c>
      <c r="G54" s="301" t="s">
        <v>22</v>
      </c>
      <c r="I54" s="888">
        <v>0</v>
      </c>
      <c r="J54" s="301" t="s">
        <v>22</v>
      </c>
      <c r="N54" s="77" t="str">
        <f>IF(G54&lt;&gt;J54,"Change CG","")</f>
        <v/>
      </c>
    </row>
    <row r="55" spans="1:14">
      <c r="A55" s="435" t="s">
        <v>644</v>
      </c>
      <c r="B55" s="314" t="s">
        <v>635</v>
      </c>
      <c r="C55" s="315" t="s">
        <v>21</v>
      </c>
      <c r="D55" s="332" t="s">
        <v>16</v>
      </c>
      <c r="E55" s="1"/>
      <c r="F55" s="960">
        <v>0</v>
      </c>
      <c r="G55" s="302" t="s">
        <v>22</v>
      </c>
      <c r="I55" s="889">
        <v>0</v>
      </c>
      <c r="J55" s="302" t="s">
        <v>22</v>
      </c>
      <c r="N55" s="77" t="str">
        <f>IF(G55&lt;&gt;J55,"Change CG","")</f>
        <v/>
      </c>
    </row>
    <row r="56" spans="1:14">
      <c r="A56" s="435" t="s">
        <v>645</v>
      </c>
      <c r="B56" s="314" t="s">
        <v>637</v>
      </c>
      <c r="C56" s="315" t="s">
        <v>21</v>
      </c>
      <c r="D56" s="332" t="s">
        <v>16</v>
      </c>
      <c r="E56" s="1"/>
      <c r="F56" s="960">
        <v>0</v>
      </c>
      <c r="G56" s="302" t="s">
        <v>22</v>
      </c>
      <c r="I56" s="889">
        <v>0</v>
      </c>
      <c r="J56" s="302" t="s">
        <v>22</v>
      </c>
    </row>
    <row r="57" spans="1:14">
      <c r="A57" s="435" t="s">
        <v>646</v>
      </c>
      <c r="B57" s="314" t="s">
        <v>639</v>
      </c>
      <c r="C57" s="315" t="s">
        <v>21</v>
      </c>
      <c r="D57" s="332" t="s">
        <v>27</v>
      </c>
      <c r="E57" s="1"/>
      <c r="F57" s="961">
        <f>SUM(F55:F56)</f>
        <v>0</v>
      </c>
      <c r="G57" s="302" t="s">
        <v>22</v>
      </c>
      <c r="I57" s="890">
        <f>SUM(I55:I56)</f>
        <v>0</v>
      </c>
      <c r="J57" s="302" t="s">
        <v>22</v>
      </c>
    </row>
    <row r="58" spans="1:14" ht="12.95" thickBot="1">
      <c r="A58" s="436" t="s">
        <v>647</v>
      </c>
      <c r="B58" s="318" t="s">
        <v>641</v>
      </c>
      <c r="C58" s="319" t="s">
        <v>587</v>
      </c>
      <c r="D58" s="333" t="s">
        <v>16</v>
      </c>
      <c r="E58" s="1"/>
      <c r="F58" s="303">
        <v>0</v>
      </c>
      <c r="G58" s="304" t="s">
        <v>22</v>
      </c>
      <c r="I58" s="308">
        <v>0</v>
      </c>
      <c r="J58" s="304" t="s">
        <v>22</v>
      </c>
    </row>
    <row r="59" spans="1:14" ht="12.95" thickBot="1">
      <c r="E59" s="1"/>
    </row>
    <row r="60" spans="1:14" ht="30" customHeight="1" thickBot="1">
      <c r="A60" s="706"/>
      <c r="B60" s="433" t="s">
        <v>648</v>
      </c>
      <c r="C60" s="46"/>
      <c r="D60" s="47"/>
      <c r="E60" s="1"/>
    </row>
    <row r="61" spans="1:14" ht="12.6" customHeight="1">
      <c r="A61" s="434" t="s">
        <v>649</v>
      </c>
      <c r="B61" s="316" t="s">
        <v>650</v>
      </c>
      <c r="C61" s="317" t="s">
        <v>21</v>
      </c>
      <c r="D61" s="331" t="s">
        <v>16</v>
      </c>
      <c r="E61" s="1"/>
      <c r="F61" s="104">
        <v>4226</v>
      </c>
      <c r="G61" s="82" t="s">
        <v>18</v>
      </c>
      <c r="I61" s="104">
        <v>4332</v>
      </c>
      <c r="J61" s="82" t="s">
        <v>34</v>
      </c>
      <c r="L61" s="1261"/>
    </row>
    <row r="62" spans="1:14" ht="12.6" customHeight="1">
      <c r="A62" s="435" t="s">
        <v>651</v>
      </c>
      <c r="B62" s="314" t="s">
        <v>652</v>
      </c>
      <c r="C62" s="315" t="s">
        <v>26</v>
      </c>
      <c r="D62" s="332" t="s">
        <v>16</v>
      </c>
      <c r="E62" s="1"/>
      <c r="F62" s="966" t="s">
        <v>23</v>
      </c>
      <c r="G62" s="126" t="s">
        <v>18</v>
      </c>
      <c r="I62" s="894">
        <v>0.87690000000000001</v>
      </c>
      <c r="J62" s="126" t="s">
        <v>18</v>
      </c>
    </row>
    <row r="63" spans="1:14" ht="12.6" customHeight="1">
      <c r="A63" s="435" t="s">
        <v>653</v>
      </c>
      <c r="B63" s="314" t="s">
        <v>654</v>
      </c>
      <c r="C63" s="315" t="s">
        <v>21</v>
      </c>
      <c r="D63" s="332" t="s">
        <v>16</v>
      </c>
      <c r="E63" s="1"/>
      <c r="F63" s="151">
        <v>4226</v>
      </c>
      <c r="G63" s="126" t="s">
        <v>18</v>
      </c>
      <c r="I63" s="151">
        <v>4332</v>
      </c>
      <c r="J63" s="126" t="s">
        <v>34</v>
      </c>
    </row>
    <row r="64" spans="1:14" ht="12.6" customHeight="1">
      <c r="A64" s="435" t="s">
        <v>655</v>
      </c>
      <c r="B64" s="314" t="s">
        <v>656</v>
      </c>
      <c r="C64" s="315" t="s">
        <v>26</v>
      </c>
      <c r="D64" s="332" t="s">
        <v>16</v>
      </c>
      <c r="E64" s="1"/>
      <c r="F64" s="966" t="s">
        <v>23</v>
      </c>
      <c r="G64" s="126" t="s">
        <v>18</v>
      </c>
      <c r="I64" s="894">
        <v>0.87690000000000001</v>
      </c>
      <c r="J64" s="126" t="s">
        <v>18</v>
      </c>
    </row>
    <row r="65" spans="1:14" ht="12.6" customHeight="1">
      <c r="A65" s="435" t="s">
        <v>657</v>
      </c>
      <c r="B65" s="314" t="s">
        <v>658</v>
      </c>
      <c r="C65" s="315" t="s">
        <v>21</v>
      </c>
      <c r="D65" s="332" t="s">
        <v>16</v>
      </c>
      <c r="E65" s="1"/>
      <c r="F65" s="967">
        <v>0</v>
      </c>
      <c r="G65" s="305" t="s">
        <v>34</v>
      </c>
      <c r="I65" s="892">
        <v>297</v>
      </c>
      <c r="J65" s="305" t="s">
        <v>18</v>
      </c>
    </row>
    <row r="66" spans="1:14" ht="12.6" customHeight="1">
      <c r="A66" s="435" t="s">
        <v>659</v>
      </c>
      <c r="B66" s="707" t="s">
        <v>660</v>
      </c>
      <c r="C66" s="315" t="s">
        <v>21</v>
      </c>
      <c r="D66" s="332" t="s">
        <v>16</v>
      </c>
      <c r="E66" s="1"/>
      <c r="F66" s="968">
        <v>15</v>
      </c>
      <c r="G66" s="305" t="s">
        <v>22</v>
      </c>
      <c r="H66" s="1260"/>
      <c r="I66" s="895">
        <v>17</v>
      </c>
      <c r="J66" s="305" t="s">
        <v>34</v>
      </c>
      <c r="K66" s="1260"/>
    </row>
    <row r="67" spans="1:14" ht="12.6" customHeight="1">
      <c r="A67" s="435" t="s">
        <v>661</v>
      </c>
      <c r="B67" s="707" t="s">
        <v>662</v>
      </c>
      <c r="C67" s="315" t="s">
        <v>21</v>
      </c>
      <c r="D67" s="332" t="s">
        <v>27</v>
      </c>
      <c r="E67" s="1"/>
      <c r="F67" s="969">
        <f>SUM(F65:F66)</f>
        <v>15</v>
      </c>
      <c r="G67" s="305" t="s">
        <v>34</v>
      </c>
      <c r="I67" s="896">
        <f>SUM(I65:I66)</f>
        <v>314</v>
      </c>
      <c r="J67" s="305" t="s">
        <v>18</v>
      </c>
      <c r="L67"/>
    </row>
    <row r="68" spans="1:14" ht="13.35" customHeight="1" thickBot="1">
      <c r="A68" s="436" t="s">
        <v>663</v>
      </c>
      <c r="B68" s="708" t="s">
        <v>664</v>
      </c>
      <c r="C68" s="319" t="s">
        <v>587</v>
      </c>
      <c r="D68" s="333" t="s">
        <v>16</v>
      </c>
      <c r="E68" s="1"/>
      <c r="F68" s="970">
        <v>450</v>
      </c>
      <c r="G68" s="309" t="s">
        <v>34</v>
      </c>
      <c r="I68" s="308">
        <v>9150</v>
      </c>
      <c r="J68" s="309" t="s">
        <v>34</v>
      </c>
      <c r="K68" s="1262"/>
    </row>
    <row r="69" spans="1:14" ht="12.95" thickBot="1">
      <c r="E69" s="1"/>
    </row>
    <row r="70" spans="1:14" ht="38.25" customHeight="1" thickBot="1">
      <c r="A70" s="706"/>
      <c r="B70" s="433" t="s">
        <v>665</v>
      </c>
      <c r="C70" s="46"/>
      <c r="D70" s="47"/>
      <c r="E70" s="1"/>
    </row>
    <row r="71" spans="1:14">
      <c r="A71" s="434" t="s">
        <v>666</v>
      </c>
      <c r="B71" s="316" t="s">
        <v>633</v>
      </c>
      <c r="C71" s="317" t="s">
        <v>21</v>
      </c>
      <c r="D71" s="331" t="s">
        <v>16</v>
      </c>
      <c r="E71" s="1"/>
      <c r="F71" s="959">
        <v>0</v>
      </c>
      <c r="G71" s="301" t="s">
        <v>22</v>
      </c>
      <c r="I71" s="888">
        <v>0</v>
      </c>
      <c r="J71" s="301" t="s">
        <v>22</v>
      </c>
      <c r="N71" s="77" t="str">
        <f>IF(G71&lt;&gt;J71,"Change CG","")</f>
        <v/>
      </c>
    </row>
    <row r="72" spans="1:14">
      <c r="A72" s="435" t="s">
        <v>667</v>
      </c>
      <c r="B72" s="314" t="s">
        <v>635</v>
      </c>
      <c r="C72" s="315" t="s">
        <v>21</v>
      </c>
      <c r="D72" s="332" t="s">
        <v>16</v>
      </c>
      <c r="E72" s="1"/>
      <c r="F72" s="963">
        <v>0</v>
      </c>
      <c r="G72" s="305" t="s">
        <v>22</v>
      </c>
      <c r="I72" s="892">
        <v>0</v>
      </c>
      <c r="J72" s="305" t="s">
        <v>22</v>
      </c>
      <c r="N72" s="77" t="str">
        <f>IF(G72&lt;&gt;J72,"Change CG","")</f>
        <v/>
      </c>
    </row>
    <row r="73" spans="1:14">
      <c r="A73" s="435" t="s">
        <v>668</v>
      </c>
      <c r="B73" s="314" t="s">
        <v>637</v>
      </c>
      <c r="C73" s="315" t="s">
        <v>21</v>
      </c>
      <c r="D73" s="332" t="s">
        <v>16</v>
      </c>
      <c r="E73" s="1"/>
      <c r="F73" s="963">
        <v>0</v>
      </c>
      <c r="G73" s="305" t="s">
        <v>22</v>
      </c>
      <c r="I73" s="892">
        <v>0</v>
      </c>
      <c r="J73" s="305" t="s">
        <v>22</v>
      </c>
      <c r="N73" s="77" t="str">
        <f>IF(G73&lt;&gt;J73,"Change CG","")</f>
        <v/>
      </c>
    </row>
    <row r="74" spans="1:14">
      <c r="A74" s="435" t="s">
        <v>669</v>
      </c>
      <c r="B74" s="314" t="s">
        <v>639</v>
      </c>
      <c r="C74" s="315" t="s">
        <v>21</v>
      </c>
      <c r="D74" s="332" t="s">
        <v>27</v>
      </c>
      <c r="E74" s="1"/>
      <c r="F74" s="962">
        <f>SUM(F72:F73)</f>
        <v>0</v>
      </c>
      <c r="G74" s="305" t="s">
        <v>22</v>
      </c>
      <c r="I74" s="891">
        <f>SUM(I72:I73)</f>
        <v>0</v>
      </c>
      <c r="J74" s="305" t="s">
        <v>22</v>
      </c>
      <c r="N74" s="77" t="str">
        <f>IF(G74&lt;&gt;J74,"Change CG","")</f>
        <v/>
      </c>
    </row>
    <row r="75" spans="1:14" ht="12.95" thickBot="1">
      <c r="A75" s="436" t="s">
        <v>670</v>
      </c>
      <c r="B75" s="318" t="s">
        <v>641</v>
      </c>
      <c r="C75" s="319" t="s">
        <v>587</v>
      </c>
      <c r="D75" s="333" t="s">
        <v>16</v>
      </c>
      <c r="E75" s="1"/>
      <c r="F75" s="308">
        <v>0</v>
      </c>
      <c r="G75" s="309" t="s">
        <v>22</v>
      </c>
      <c r="I75" s="308">
        <v>0</v>
      </c>
      <c r="J75" s="309" t="s">
        <v>22</v>
      </c>
      <c r="N75" s="77" t="str">
        <f>IF(G75&lt;&gt;J75,"Change CG","")</f>
        <v/>
      </c>
    </row>
    <row r="76" spans="1:14" ht="12.95" thickBot="1">
      <c r="E76" s="1"/>
    </row>
    <row r="77" spans="1:14" ht="36" customHeight="1" thickBot="1">
      <c r="A77" s="706"/>
      <c r="B77" s="433" t="s">
        <v>671</v>
      </c>
      <c r="C77" s="46"/>
      <c r="D77" s="47"/>
      <c r="E77" s="1"/>
    </row>
    <row r="78" spans="1:14">
      <c r="A78" s="434" t="s">
        <v>672</v>
      </c>
      <c r="B78" s="316" t="s">
        <v>633</v>
      </c>
      <c r="C78" s="317" t="s">
        <v>21</v>
      </c>
      <c r="D78" s="331" t="s">
        <v>16</v>
      </c>
      <c r="E78" s="1"/>
      <c r="F78" s="959">
        <v>0</v>
      </c>
      <c r="G78" s="301" t="s">
        <v>22</v>
      </c>
      <c r="I78" s="888">
        <v>0</v>
      </c>
      <c r="J78" s="301" t="s">
        <v>22</v>
      </c>
      <c r="N78" s="77" t="str">
        <f>IF(G78&lt;&gt;J78,"Change CG","")</f>
        <v/>
      </c>
    </row>
    <row r="79" spans="1:14">
      <c r="A79" s="435" t="s">
        <v>673</v>
      </c>
      <c r="B79" s="314" t="s">
        <v>635</v>
      </c>
      <c r="C79" s="315" t="s">
        <v>21</v>
      </c>
      <c r="D79" s="332" t="s">
        <v>16</v>
      </c>
      <c r="E79" s="1"/>
      <c r="F79" s="963">
        <v>0</v>
      </c>
      <c r="G79" s="305" t="s">
        <v>22</v>
      </c>
      <c r="I79" s="892">
        <v>0</v>
      </c>
      <c r="J79" s="305" t="s">
        <v>22</v>
      </c>
      <c r="N79" s="77" t="str">
        <f>IF(G79&lt;&gt;J79,"Change CG","")</f>
        <v/>
      </c>
    </row>
    <row r="80" spans="1:14">
      <c r="A80" s="435" t="s">
        <v>674</v>
      </c>
      <c r="B80" s="314" t="s">
        <v>637</v>
      </c>
      <c r="C80" s="315" t="s">
        <v>21</v>
      </c>
      <c r="D80" s="332" t="s">
        <v>16</v>
      </c>
      <c r="E80" s="1"/>
      <c r="F80" s="963">
        <v>0</v>
      </c>
      <c r="G80" s="305" t="s">
        <v>22</v>
      </c>
      <c r="I80" s="892">
        <v>0</v>
      </c>
      <c r="J80" s="305" t="s">
        <v>22</v>
      </c>
      <c r="N80" s="77" t="str">
        <f>IF(G80&lt;&gt;J80,"Change CG","")</f>
        <v/>
      </c>
    </row>
    <row r="81" spans="1:14">
      <c r="A81" s="435" t="s">
        <v>675</v>
      </c>
      <c r="B81" s="314" t="s">
        <v>639</v>
      </c>
      <c r="C81" s="315" t="s">
        <v>21</v>
      </c>
      <c r="D81" s="332" t="s">
        <v>27</v>
      </c>
      <c r="E81" s="1"/>
      <c r="F81" s="962">
        <f>SUM(F79:F80)</f>
        <v>0</v>
      </c>
      <c r="G81" s="305" t="s">
        <v>22</v>
      </c>
      <c r="I81" s="891">
        <f>SUM(I79:I80)</f>
        <v>0</v>
      </c>
      <c r="J81" s="305" t="s">
        <v>22</v>
      </c>
      <c r="N81" s="77" t="str">
        <f>IF(G81&lt;&gt;J81,"Change CG","")</f>
        <v/>
      </c>
    </row>
    <row r="82" spans="1:14" ht="12.95" thickBot="1">
      <c r="A82" s="436" t="s">
        <v>676</v>
      </c>
      <c r="B82" s="318" t="s">
        <v>641</v>
      </c>
      <c r="C82" s="319" t="s">
        <v>587</v>
      </c>
      <c r="D82" s="333" t="s">
        <v>16</v>
      </c>
      <c r="E82" s="1"/>
      <c r="F82" s="308">
        <v>0</v>
      </c>
      <c r="G82" s="309" t="s">
        <v>22</v>
      </c>
      <c r="I82" s="308">
        <v>0</v>
      </c>
      <c r="J82" s="309" t="s">
        <v>22</v>
      </c>
      <c r="N82" s="77" t="str">
        <f>IF(G82&lt;&gt;J82,"Change CG","")</f>
        <v/>
      </c>
    </row>
    <row r="83" spans="1:14" ht="12.95" thickBot="1">
      <c r="E83" s="1"/>
    </row>
    <row r="84" spans="1:14" ht="34.5" customHeight="1" thickBot="1">
      <c r="A84" s="706"/>
      <c r="B84" s="433" t="s">
        <v>677</v>
      </c>
      <c r="C84" s="46"/>
      <c r="D84" s="47"/>
      <c r="E84" s="1"/>
    </row>
    <row r="85" spans="1:14">
      <c r="A85" s="434" t="s">
        <v>678</v>
      </c>
      <c r="B85" s="316" t="s">
        <v>679</v>
      </c>
      <c r="C85" s="317" t="s">
        <v>21</v>
      </c>
      <c r="D85" s="331" t="s">
        <v>16</v>
      </c>
      <c r="E85" s="1"/>
      <c r="F85" s="326">
        <v>30</v>
      </c>
      <c r="G85" s="310" t="s">
        <v>34</v>
      </c>
      <c r="I85" s="104">
        <v>36</v>
      </c>
      <c r="J85" s="327" t="s">
        <v>34</v>
      </c>
      <c r="N85" s="77" t="str">
        <f t="shared" ref="N85:N90" si="2">IF(G85&lt;&gt;J85,"Change CG","")</f>
        <v/>
      </c>
    </row>
    <row r="86" spans="1:14">
      <c r="A86" s="435" t="s">
        <v>680</v>
      </c>
      <c r="B86" s="314" t="s">
        <v>633</v>
      </c>
      <c r="C86" s="315" t="s">
        <v>21</v>
      </c>
      <c r="D86" s="332" t="s">
        <v>16</v>
      </c>
      <c r="E86" s="1"/>
      <c r="F86" s="971">
        <v>0</v>
      </c>
      <c r="G86" s="305" t="s">
        <v>34</v>
      </c>
      <c r="I86" s="892">
        <v>0</v>
      </c>
      <c r="J86" s="439" t="s">
        <v>34</v>
      </c>
      <c r="N86" s="77" t="str">
        <f t="shared" si="2"/>
        <v/>
      </c>
    </row>
    <row r="87" spans="1:14">
      <c r="A87" s="435" t="s">
        <v>681</v>
      </c>
      <c r="B87" s="314" t="s">
        <v>635</v>
      </c>
      <c r="C87" s="315" t="s">
        <v>21</v>
      </c>
      <c r="D87" s="332" t="s">
        <v>16</v>
      </c>
      <c r="E87" s="1"/>
      <c r="F87" s="971">
        <v>0</v>
      </c>
      <c r="G87" s="305" t="s">
        <v>34</v>
      </c>
      <c r="I87" s="892">
        <v>0</v>
      </c>
      <c r="J87" s="439" t="s">
        <v>34</v>
      </c>
      <c r="N87" s="77" t="str">
        <f t="shared" si="2"/>
        <v/>
      </c>
    </row>
    <row r="88" spans="1:14">
      <c r="A88" s="435" t="s">
        <v>682</v>
      </c>
      <c r="B88" s="314" t="s">
        <v>637</v>
      </c>
      <c r="C88" s="315" t="s">
        <v>21</v>
      </c>
      <c r="D88" s="332" t="s">
        <v>16</v>
      </c>
      <c r="E88" s="1"/>
      <c r="F88" s="971">
        <v>1</v>
      </c>
      <c r="G88" s="305" t="s">
        <v>34</v>
      </c>
      <c r="I88" s="892">
        <v>0</v>
      </c>
      <c r="J88" s="439" t="s">
        <v>34</v>
      </c>
      <c r="N88" s="77" t="str">
        <f t="shared" si="2"/>
        <v/>
      </c>
    </row>
    <row r="89" spans="1:14">
      <c r="A89" s="435" t="s">
        <v>683</v>
      </c>
      <c r="B89" s="314" t="s">
        <v>639</v>
      </c>
      <c r="C89" s="315" t="s">
        <v>21</v>
      </c>
      <c r="D89" s="332" t="s">
        <v>27</v>
      </c>
      <c r="E89" s="1"/>
      <c r="F89" s="972">
        <f>SUM(F87:F88)</f>
        <v>1</v>
      </c>
      <c r="G89" s="305" t="s">
        <v>34</v>
      </c>
      <c r="I89" s="891">
        <f>SUM(I87:I88)</f>
        <v>0</v>
      </c>
      <c r="J89" s="439" t="s">
        <v>34</v>
      </c>
      <c r="N89" s="77" t="str">
        <f t="shared" si="2"/>
        <v/>
      </c>
    </row>
    <row r="90" spans="1:14" ht="12.95" thickBot="1">
      <c r="A90" s="436" t="s">
        <v>684</v>
      </c>
      <c r="B90" s="318" t="s">
        <v>641</v>
      </c>
      <c r="C90" s="319" t="s">
        <v>587</v>
      </c>
      <c r="D90" s="333" t="s">
        <v>16</v>
      </c>
      <c r="E90" s="1"/>
      <c r="F90" s="973">
        <v>8702.56</v>
      </c>
      <c r="G90" s="309" t="s">
        <v>34</v>
      </c>
      <c r="I90" s="308">
        <v>11166.67</v>
      </c>
      <c r="J90" s="440" t="s">
        <v>34</v>
      </c>
      <c r="K90" s="1262"/>
      <c r="L90" s="1260"/>
      <c r="N90" s="77" t="str">
        <f t="shared" si="2"/>
        <v/>
      </c>
    </row>
    <row r="91" spans="1:14" ht="12.95" thickBot="1">
      <c r="E91" s="1"/>
      <c r="L91" s="1262"/>
    </row>
    <row r="92" spans="1:14" ht="35.25" customHeight="1" thickBot="1">
      <c r="A92" s="706"/>
      <c r="B92" s="433" t="s">
        <v>685</v>
      </c>
      <c r="C92" s="46"/>
      <c r="D92" s="47"/>
      <c r="E92" s="1"/>
    </row>
    <row r="93" spans="1:14">
      <c r="A93" s="434" t="s">
        <v>686</v>
      </c>
      <c r="B93" s="316" t="s">
        <v>687</v>
      </c>
      <c r="C93" s="317" t="s">
        <v>21</v>
      </c>
      <c r="D93" s="331" t="s">
        <v>16</v>
      </c>
      <c r="E93" s="1"/>
      <c r="F93" s="959">
        <v>0</v>
      </c>
      <c r="G93" s="310" t="s">
        <v>22</v>
      </c>
      <c r="I93" s="888">
        <v>0</v>
      </c>
      <c r="J93" s="310" t="s">
        <v>22</v>
      </c>
      <c r="L93"/>
      <c r="N93" s="77" t="str">
        <f>IF(G93&lt;&gt;J93,"Change CG","")</f>
        <v/>
      </c>
    </row>
    <row r="94" spans="1:14">
      <c r="A94" s="435" t="s">
        <v>688</v>
      </c>
      <c r="B94" s="314" t="s">
        <v>689</v>
      </c>
      <c r="C94" s="315" t="s">
        <v>21</v>
      </c>
      <c r="D94" s="332" t="s">
        <v>16</v>
      </c>
      <c r="E94" s="1"/>
      <c r="F94" s="963">
        <v>0</v>
      </c>
      <c r="G94" s="311" t="s">
        <v>22</v>
      </c>
      <c r="I94" s="892">
        <v>0</v>
      </c>
      <c r="J94" s="311" t="s">
        <v>22</v>
      </c>
      <c r="N94" s="77" t="str">
        <f>IF(G94&lt;&gt;J94,"Change CG","")</f>
        <v/>
      </c>
    </row>
    <row r="95" spans="1:14">
      <c r="A95" s="435" t="s">
        <v>690</v>
      </c>
      <c r="B95" s="314" t="s">
        <v>691</v>
      </c>
      <c r="C95" s="315" t="s">
        <v>21</v>
      </c>
      <c r="D95" s="332" t="s">
        <v>16</v>
      </c>
      <c r="E95" s="1"/>
      <c r="F95" s="963">
        <v>0</v>
      </c>
      <c r="G95" s="311" t="s">
        <v>22</v>
      </c>
      <c r="I95" s="892">
        <v>0</v>
      </c>
      <c r="J95" s="311" t="s">
        <v>22</v>
      </c>
      <c r="N95" s="77" t="str">
        <f>IF(G95&lt;&gt;J95,"Change CG","")</f>
        <v/>
      </c>
    </row>
    <row r="96" spans="1:14" ht="12.95" thickBot="1">
      <c r="A96" s="436" t="s">
        <v>692</v>
      </c>
      <c r="B96" s="318" t="s">
        <v>693</v>
      </c>
      <c r="C96" s="319" t="s">
        <v>587</v>
      </c>
      <c r="D96" s="333" t="s">
        <v>16</v>
      </c>
      <c r="E96" s="1"/>
      <c r="F96" s="308">
        <v>0</v>
      </c>
      <c r="G96" s="312" t="s">
        <v>22</v>
      </c>
      <c r="I96" s="308">
        <v>0</v>
      </c>
      <c r="J96" s="312" t="s">
        <v>22</v>
      </c>
      <c r="N96" s="77" t="str">
        <f>IF(G96&lt;&gt;J96,"Change CG","")</f>
        <v/>
      </c>
    </row>
    <row r="97" spans="1:14" ht="12.95" thickBot="1">
      <c r="E97" s="1"/>
    </row>
    <row r="98" spans="1:14" ht="27.75" customHeight="1" thickBot="1">
      <c r="A98" s="706"/>
      <c r="B98" s="433" t="s">
        <v>694</v>
      </c>
      <c r="C98" s="46"/>
      <c r="D98" s="47"/>
      <c r="E98" s="1"/>
    </row>
    <row r="99" spans="1:14">
      <c r="A99" s="434" t="s">
        <v>695</v>
      </c>
      <c r="B99" s="316" t="s">
        <v>696</v>
      </c>
      <c r="C99" s="317" t="s">
        <v>21</v>
      </c>
      <c r="D99" s="331" t="s">
        <v>16</v>
      </c>
      <c r="E99" s="1"/>
      <c r="F99" s="959">
        <v>0</v>
      </c>
      <c r="G99" s="310" t="s">
        <v>22</v>
      </c>
      <c r="I99" s="888">
        <v>0</v>
      </c>
      <c r="J99" s="310" t="s">
        <v>22</v>
      </c>
      <c r="N99" s="77" t="str">
        <f t="shared" ref="N99:N104" si="3">IF(G99&lt;&gt;J99,"Change CG","")</f>
        <v/>
      </c>
    </row>
    <row r="100" spans="1:14">
      <c r="A100" s="435" t="s">
        <v>697</v>
      </c>
      <c r="B100" s="437" t="s">
        <v>698</v>
      </c>
      <c r="C100" s="315" t="s">
        <v>21</v>
      </c>
      <c r="D100" s="332" t="s">
        <v>16</v>
      </c>
      <c r="E100" s="1"/>
      <c r="F100" s="963">
        <v>0</v>
      </c>
      <c r="G100" s="311" t="s">
        <v>22</v>
      </c>
      <c r="I100" s="892">
        <v>0</v>
      </c>
      <c r="J100" s="311" t="s">
        <v>22</v>
      </c>
      <c r="N100" s="77" t="str">
        <f t="shared" si="3"/>
        <v/>
      </c>
    </row>
    <row r="101" spans="1:14">
      <c r="A101" s="435" t="s">
        <v>699</v>
      </c>
      <c r="B101" s="314" t="s">
        <v>700</v>
      </c>
      <c r="C101" s="315" t="s">
        <v>21</v>
      </c>
      <c r="D101" s="332" t="s">
        <v>16</v>
      </c>
      <c r="E101" s="1"/>
      <c r="F101" s="963">
        <v>0</v>
      </c>
      <c r="G101" s="311" t="s">
        <v>22</v>
      </c>
      <c r="I101" s="892">
        <v>0</v>
      </c>
      <c r="J101" s="311" t="s">
        <v>22</v>
      </c>
      <c r="N101" s="77" t="str">
        <f t="shared" si="3"/>
        <v/>
      </c>
    </row>
    <row r="102" spans="1:14">
      <c r="A102" s="435" t="s">
        <v>701</v>
      </c>
      <c r="B102" s="314" t="s">
        <v>702</v>
      </c>
      <c r="C102" s="315" t="s">
        <v>21</v>
      </c>
      <c r="D102" s="332" t="s">
        <v>16</v>
      </c>
      <c r="E102" s="1"/>
      <c r="F102" s="963">
        <v>0</v>
      </c>
      <c r="G102" s="311" t="s">
        <v>22</v>
      </c>
      <c r="I102" s="892">
        <v>0</v>
      </c>
      <c r="J102" s="311" t="s">
        <v>22</v>
      </c>
      <c r="N102" s="77" t="str">
        <f t="shared" si="3"/>
        <v/>
      </c>
    </row>
    <row r="103" spans="1:14">
      <c r="A103" s="435" t="s">
        <v>703</v>
      </c>
      <c r="B103" s="314" t="s">
        <v>704</v>
      </c>
      <c r="C103" s="315" t="s">
        <v>21</v>
      </c>
      <c r="D103" s="332" t="s">
        <v>27</v>
      </c>
      <c r="E103" s="1"/>
      <c r="F103" s="962">
        <f>F101+F102</f>
        <v>0</v>
      </c>
      <c r="G103" s="311" t="s">
        <v>22</v>
      </c>
      <c r="I103" s="891">
        <f>I101+I102</f>
        <v>0</v>
      </c>
      <c r="J103" s="311" t="s">
        <v>22</v>
      </c>
      <c r="N103" s="77" t="str">
        <f t="shared" si="3"/>
        <v/>
      </c>
    </row>
    <row r="104" spans="1:14" ht="12.95" thickBot="1">
      <c r="A104" s="436" t="s">
        <v>705</v>
      </c>
      <c r="B104" s="318" t="s">
        <v>641</v>
      </c>
      <c r="C104" s="319" t="s">
        <v>587</v>
      </c>
      <c r="D104" s="333" t="s">
        <v>16</v>
      </c>
      <c r="E104" s="1"/>
      <c r="F104" s="308">
        <v>0</v>
      </c>
      <c r="G104" s="312" t="s">
        <v>22</v>
      </c>
      <c r="I104" s="308">
        <v>0</v>
      </c>
      <c r="J104" s="312" t="s">
        <v>22</v>
      </c>
      <c r="N104" s="77" t="str">
        <f t="shared" si="3"/>
        <v/>
      </c>
    </row>
    <row r="105" spans="1:14" ht="12.95" thickBot="1">
      <c r="E105" s="1"/>
    </row>
    <row r="106" spans="1:14" ht="15.95" thickBot="1">
      <c r="A106" s="44"/>
      <c r="B106" s="45" t="s">
        <v>706</v>
      </c>
      <c r="C106" s="46"/>
      <c r="D106" s="47"/>
      <c r="E106" s="1"/>
      <c r="N106" s="77" t="str">
        <f>IF(G106&lt;&gt;J106,"Change CG","")</f>
        <v/>
      </c>
    </row>
    <row r="107" spans="1:14">
      <c r="A107" s="434" t="s">
        <v>707</v>
      </c>
      <c r="B107" s="709" t="s">
        <v>708</v>
      </c>
      <c r="C107" s="317" t="s">
        <v>21</v>
      </c>
      <c r="D107" s="331" t="s">
        <v>16</v>
      </c>
      <c r="E107" s="1"/>
      <c r="F107" s="974">
        <v>389</v>
      </c>
      <c r="G107" s="301" t="s">
        <v>34</v>
      </c>
      <c r="I107" s="897">
        <v>785</v>
      </c>
      <c r="J107" s="301" t="s">
        <v>34</v>
      </c>
      <c r="N107" s="77" t="str">
        <f>IF(G107&lt;&gt;J107,"Change CG","")</f>
        <v/>
      </c>
    </row>
    <row r="108" spans="1:14" ht="12.95" thickBot="1">
      <c r="A108" s="436" t="s">
        <v>709</v>
      </c>
      <c r="B108" s="708" t="s">
        <v>710</v>
      </c>
      <c r="C108" s="319" t="s">
        <v>587</v>
      </c>
      <c r="D108" s="333" t="s">
        <v>16</v>
      </c>
      <c r="E108" s="1"/>
      <c r="F108" s="308">
        <v>81442.11</v>
      </c>
      <c r="G108" s="312" t="s">
        <v>34</v>
      </c>
      <c r="I108" s="308">
        <v>126647.5</v>
      </c>
      <c r="J108" s="312" t="s">
        <v>34</v>
      </c>
      <c r="L108"/>
      <c r="N108" s="77" t="str">
        <f>IF(G108&lt;&gt;J108,"Change CG","")</f>
        <v/>
      </c>
    </row>
    <row r="109" spans="1:14" ht="12.95" thickBot="1">
      <c r="E109" s="1"/>
    </row>
    <row r="110" spans="1:14" ht="15.95" thickBot="1">
      <c r="A110" s="68"/>
      <c r="B110" s="69" t="s">
        <v>711</v>
      </c>
      <c r="C110" s="70"/>
      <c r="D110" s="71"/>
      <c r="E110" s="1"/>
    </row>
    <row r="111" spans="1:14" ht="15.95" thickBot="1">
      <c r="A111" s="438"/>
      <c r="B111" s="45" t="s">
        <v>712</v>
      </c>
      <c r="C111" s="46"/>
      <c r="D111" s="47"/>
      <c r="E111" s="1"/>
    </row>
    <row r="112" spans="1:14">
      <c r="A112" s="434" t="s">
        <v>713</v>
      </c>
      <c r="B112" s="316" t="s">
        <v>714</v>
      </c>
      <c r="C112" s="317" t="s">
        <v>21</v>
      </c>
      <c r="D112" s="331" t="s">
        <v>16</v>
      </c>
      <c r="E112" s="1"/>
      <c r="F112" s="959">
        <v>0</v>
      </c>
      <c r="G112" s="301" t="s">
        <v>22</v>
      </c>
      <c r="I112" s="888">
        <v>0</v>
      </c>
      <c r="J112" s="301" t="s">
        <v>22</v>
      </c>
      <c r="N112" s="77" t="str">
        <f t="shared" ref="N112:N122" si="4">IF(G112&lt;&gt;J112,"Change CG","")</f>
        <v/>
      </c>
    </row>
    <row r="113" spans="1:14">
      <c r="A113" s="435" t="s">
        <v>715</v>
      </c>
      <c r="B113" s="314" t="s">
        <v>635</v>
      </c>
      <c r="C113" s="315" t="s">
        <v>21</v>
      </c>
      <c r="D113" s="332" t="s">
        <v>16</v>
      </c>
      <c r="E113" s="1"/>
      <c r="F113" s="963">
        <v>0</v>
      </c>
      <c r="G113" s="305" t="s">
        <v>22</v>
      </c>
      <c r="I113" s="892">
        <v>0</v>
      </c>
      <c r="J113" s="305" t="s">
        <v>22</v>
      </c>
      <c r="N113" s="77" t="str">
        <f t="shared" si="4"/>
        <v/>
      </c>
    </row>
    <row r="114" spans="1:14">
      <c r="A114" s="435" t="s">
        <v>716</v>
      </c>
      <c r="B114" s="314" t="s">
        <v>637</v>
      </c>
      <c r="C114" s="315" t="s">
        <v>21</v>
      </c>
      <c r="D114" s="332" t="s">
        <v>16</v>
      </c>
      <c r="E114" s="1"/>
      <c r="F114" s="963">
        <v>0</v>
      </c>
      <c r="G114" s="305" t="s">
        <v>22</v>
      </c>
      <c r="I114" s="892">
        <v>0</v>
      </c>
      <c r="J114" s="305" t="s">
        <v>22</v>
      </c>
      <c r="N114" s="77" t="str">
        <f t="shared" si="4"/>
        <v/>
      </c>
    </row>
    <row r="115" spans="1:14">
      <c r="A115" s="435" t="s">
        <v>717</v>
      </c>
      <c r="B115" s="314" t="s">
        <v>639</v>
      </c>
      <c r="C115" s="315" t="s">
        <v>21</v>
      </c>
      <c r="D115" s="332" t="s">
        <v>27</v>
      </c>
      <c r="E115" s="1"/>
      <c r="F115" s="962">
        <f>SUM(F113:F114)</f>
        <v>0</v>
      </c>
      <c r="G115" s="305" t="s">
        <v>22</v>
      </c>
      <c r="I115" s="891">
        <f>SUM(I113:I114)</f>
        <v>0</v>
      </c>
      <c r="J115" s="305" t="s">
        <v>22</v>
      </c>
      <c r="N115" s="77" t="str">
        <f t="shared" si="4"/>
        <v/>
      </c>
    </row>
    <row r="116" spans="1:14" ht="12.95" thickBot="1">
      <c r="A116" s="445" t="s">
        <v>718</v>
      </c>
      <c r="B116" s="446" t="s">
        <v>719</v>
      </c>
      <c r="C116" s="447" t="s">
        <v>587</v>
      </c>
      <c r="D116" s="448" t="s">
        <v>16</v>
      </c>
      <c r="E116" s="1"/>
      <c r="F116" s="308">
        <v>0</v>
      </c>
      <c r="G116" s="309" t="s">
        <v>22</v>
      </c>
      <c r="I116" s="308">
        <v>0</v>
      </c>
      <c r="J116" s="309" t="s">
        <v>22</v>
      </c>
      <c r="N116" s="77" t="str">
        <f t="shared" si="4"/>
        <v/>
      </c>
    </row>
    <row r="117" spans="1:14" ht="15.95" thickBot="1">
      <c r="A117" s="444"/>
      <c r="B117" s="321" t="s">
        <v>720</v>
      </c>
      <c r="C117" s="322"/>
      <c r="D117" s="323"/>
      <c r="E117" s="1"/>
      <c r="N117" s="77" t="str">
        <f t="shared" si="4"/>
        <v/>
      </c>
    </row>
    <row r="118" spans="1:14">
      <c r="A118" s="449" t="s">
        <v>721</v>
      </c>
      <c r="B118" s="450" t="s">
        <v>714</v>
      </c>
      <c r="C118" s="451" t="s">
        <v>21</v>
      </c>
      <c r="D118" s="452" t="s">
        <v>16</v>
      </c>
      <c r="E118" s="1"/>
      <c r="F118" s="959">
        <v>0</v>
      </c>
      <c r="G118" s="301" t="s">
        <v>22</v>
      </c>
      <c r="I118" s="888">
        <v>0</v>
      </c>
      <c r="J118" s="301" t="s">
        <v>22</v>
      </c>
      <c r="N118" s="77" t="str">
        <f t="shared" si="4"/>
        <v/>
      </c>
    </row>
    <row r="119" spans="1:14">
      <c r="A119" s="435" t="s">
        <v>722</v>
      </c>
      <c r="B119" s="314" t="s">
        <v>635</v>
      </c>
      <c r="C119" s="315" t="s">
        <v>21</v>
      </c>
      <c r="D119" s="332" t="s">
        <v>16</v>
      </c>
      <c r="E119" s="1"/>
      <c r="F119" s="963">
        <v>0</v>
      </c>
      <c r="G119" s="305" t="s">
        <v>22</v>
      </c>
      <c r="I119" s="892">
        <v>0</v>
      </c>
      <c r="J119" s="305" t="s">
        <v>22</v>
      </c>
      <c r="N119" s="77" t="str">
        <f t="shared" si="4"/>
        <v/>
      </c>
    </row>
    <row r="120" spans="1:14">
      <c r="A120" s="435" t="s">
        <v>723</v>
      </c>
      <c r="B120" s="314" t="s">
        <v>637</v>
      </c>
      <c r="C120" s="315" t="s">
        <v>21</v>
      </c>
      <c r="D120" s="332" t="s">
        <v>16</v>
      </c>
      <c r="E120" s="1"/>
      <c r="F120" s="963">
        <v>0</v>
      </c>
      <c r="G120" s="305" t="s">
        <v>22</v>
      </c>
      <c r="I120" s="892">
        <v>0</v>
      </c>
      <c r="J120" s="305" t="s">
        <v>22</v>
      </c>
      <c r="N120" s="77" t="str">
        <f t="shared" si="4"/>
        <v/>
      </c>
    </row>
    <row r="121" spans="1:14">
      <c r="A121" s="435" t="s">
        <v>724</v>
      </c>
      <c r="B121" s="314" t="s">
        <v>639</v>
      </c>
      <c r="C121" s="315" t="s">
        <v>21</v>
      </c>
      <c r="D121" s="332" t="s">
        <v>27</v>
      </c>
      <c r="E121" s="1"/>
      <c r="F121" s="962">
        <f>SUM(F119:F120)</f>
        <v>0</v>
      </c>
      <c r="G121" s="305" t="s">
        <v>22</v>
      </c>
      <c r="I121" s="891">
        <f>SUM(I119:I120)</f>
        <v>0</v>
      </c>
      <c r="J121" s="305" t="s">
        <v>22</v>
      </c>
      <c r="N121" s="77" t="str">
        <f t="shared" si="4"/>
        <v/>
      </c>
    </row>
    <row r="122" spans="1:14" ht="12.95" thickBot="1">
      <c r="A122" s="436" t="s">
        <v>725</v>
      </c>
      <c r="B122" s="318" t="s">
        <v>719</v>
      </c>
      <c r="C122" s="319" t="s">
        <v>587</v>
      </c>
      <c r="D122" s="333" t="s">
        <v>16</v>
      </c>
      <c r="E122" s="1"/>
      <c r="F122" s="308">
        <v>0</v>
      </c>
      <c r="G122" s="309" t="s">
        <v>22</v>
      </c>
      <c r="I122" s="308">
        <v>0</v>
      </c>
      <c r="J122" s="309" t="s">
        <v>22</v>
      </c>
      <c r="N122" s="77" t="str">
        <f t="shared" si="4"/>
        <v/>
      </c>
    </row>
    <row r="123" spans="1:14">
      <c r="E123" s="1"/>
    </row>
    <row r="125" spans="1:14" ht="12.95" thickBot="1">
      <c r="I125"/>
      <c r="J125"/>
    </row>
    <row r="126" spans="1:14">
      <c r="A126" s="13" t="s">
        <v>145</v>
      </c>
      <c r="B126" s="1268"/>
      <c r="C126" s="197" t="s">
        <v>40</v>
      </c>
      <c r="D126" s="3"/>
      <c r="E126" s="186"/>
      <c r="F126" s="14"/>
      <c r="I126"/>
      <c r="J126"/>
    </row>
    <row r="127" spans="1:14">
      <c r="A127" s="8"/>
      <c r="B127" s="1269"/>
      <c r="C127" s="1269"/>
      <c r="D127" s="1269"/>
      <c r="E127" s="1270"/>
      <c r="F127" s="15"/>
      <c r="I127"/>
      <c r="J127"/>
    </row>
    <row r="128" spans="1:14">
      <c r="A128" s="6" t="s">
        <v>41</v>
      </c>
      <c r="B128" s="1269"/>
      <c r="C128" s="207" t="s">
        <v>40</v>
      </c>
      <c r="D128" s="1269"/>
      <c r="E128" s="1270"/>
      <c r="F128" s="15"/>
      <c r="I128"/>
      <c r="J128"/>
    </row>
    <row r="129" spans="1:10">
      <c r="A129" s="8"/>
      <c r="B129" s="1269"/>
      <c r="C129" s="1269"/>
      <c r="D129" s="1269"/>
      <c r="E129" s="1270"/>
      <c r="F129" s="15"/>
      <c r="I129"/>
      <c r="J129"/>
    </row>
    <row r="130" spans="1:10" ht="12.95" thickBot="1">
      <c r="A130" s="9" t="s">
        <v>42</v>
      </c>
      <c r="B130" s="10"/>
      <c r="C130" s="10" t="s">
        <v>288</v>
      </c>
      <c r="D130" s="10"/>
      <c r="E130" s="187"/>
      <c r="F130" s="16"/>
      <c r="I130"/>
      <c r="J130"/>
    </row>
    <row r="131" spans="1:10">
      <c r="I131"/>
      <c r="J131"/>
    </row>
  </sheetData>
  <mergeCells count="2">
    <mergeCell ref="I10:J11"/>
    <mergeCell ref="F10:G11"/>
  </mergeCells>
  <pageMargins left="0.7" right="0.7" top="0.75" bottom="0.75" header="0.3" footer="0.3"/>
  <pageSetup paperSize="8" scale="96" fitToHeight="3" orientation="landscape" r:id="rId1"/>
  <headerFooter>
    <oddFooter>&amp;L&amp;1#&amp;"Arial"&amp;11&amp;K000000SW Private Commercial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>
  <LongProp xmlns="" name="SharedWithUsers"><![CDATA[94;#David Main;#309;#Barbara Barbarito;#489;#James Poole;#860;#Keith Allan;#4620;#Kiri Walker;#571;#Mary Jane Byfield;#393;#Karen Dee;#813;#Joanne Kay;#2122;#Richard Lavery;#6032;#Andrew Walker (Head of Corporate Affairs);#642;#John Griffen;#658;#Kevin Roy;#214;#Andrew Dunbar (GM Water Srvs Strgy);#1961;#Ingrid Severn]]></LongProp>
</Long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73E8A027AD84478D085E8578848EF7" ma:contentTypeVersion="20" ma:contentTypeDescription="Create a new document." ma:contentTypeScope="" ma:versionID="94d6de4deaea29ff5148562b7e06e26c">
  <xsd:schema xmlns:xsd="http://www.w3.org/2001/XMLSchema" xmlns:xs="http://www.w3.org/2001/XMLSchema" xmlns:p="http://schemas.microsoft.com/office/2006/metadata/properties" xmlns:ns1="http://schemas.microsoft.com/sharepoint/v3" xmlns:ns2="717ab7f6-fd44-4bc6-8ec0-b60b0dae7a6c" xmlns:ns3="dfc5cf3b-63a0-41eb-9e2d-d2b6491b4379" targetNamespace="http://schemas.microsoft.com/office/2006/metadata/properties" ma:root="true" ma:fieldsID="0cfd3b3fc9af2402b40014c247ebdd24" ns1:_="" ns2:_="" ns3:_="">
    <xsd:import namespace="http://schemas.microsoft.com/sharepoint/v3"/>
    <xsd:import namespace="717ab7f6-fd44-4bc6-8ec0-b60b0dae7a6c"/>
    <xsd:import namespace="dfc5cf3b-63a0-41eb-9e2d-d2b6491b4379"/>
    <xsd:element name="properties">
      <xsd:complexType>
        <xsd:sequence>
          <xsd:element name="documentManagement">
            <xsd:complexType>
              <xsd:all>
                <xsd:element ref="ns2:cf592852341843f8bdfae7ca25eef972" minOccurs="0"/>
                <xsd:element ref="ns3:TaxCatchAll" minOccurs="0"/>
                <xsd:element ref="ns3:bfc079fce85f491ab29dd2fc5176ac66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ab7f6-fd44-4bc6-8ec0-b60b0dae7a6c" elementFormDefault="qualified">
    <xsd:import namespace="http://schemas.microsoft.com/office/2006/documentManagement/types"/>
    <xsd:import namespace="http://schemas.microsoft.com/office/infopath/2007/PartnerControls"/>
    <xsd:element name="cf592852341843f8bdfae7ca25eef972" ma:index="9" nillable="true" ma:taxonomy="true" ma:internalName="cf592852341843f8bdfae7ca25eef972" ma:taxonomyFieldName="Data_x0020_Area" ma:displayName="Data Area" ma:indexed="true" ma:default="" ma:fieldId="{cf592852-3418-43f8-bdfa-e7ca25eef972}" ma:sspId="f924a736-b285-4c68-8cdb-5ccf3ff341b6" ma:termSetId="7a5625a2-4e1a-4ba2-934b-4b033497e6b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c5cf3b-63a0-41eb-9e2d-d2b6491b437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description="" ma:hidden="true" ma:list="{611ec8d2-c813-4531-b966-1319a11e9c0f}" ma:internalName="TaxCatchAll" ma:showField="CatchAllData" ma:web="dfc5cf3b-63a0-41eb-9e2d-d2b6491b43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fc079fce85f491ab29dd2fc5176ac66" ma:index="12" nillable="true" ma:taxonomy="true" ma:internalName="bfc079fce85f491ab29dd2fc5176ac66" ma:taxonomyFieldName="Financial_x0020_Year" ma:displayName="Financial Year" ma:indexed="true" ma:default="" ma:fieldId="{bfc079fc-e85f-491a-b29d-d2fc5176ac66}" ma:sspId="f924a736-b285-4c68-8cdb-5ccf3ff341b6" ma:termSetId="e3db7dc0-d157-4e6b-95e0-f2d210bd78b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f592852341843f8bdfae7ca25eef972 xmlns="717ab7f6-fd44-4bc6-8ec0-b60b0dae7a6c">
      <Terms xmlns="http://schemas.microsoft.com/office/infopath/2007/PartnerControls"/>
    </cf592852341843f8bdfae7ca25eef972>
    <_ip_UnifiedCompliancePolicyUIAction xmlns="http://schemas.microsoft.com/sharepoint/v3" xsi:nil="true"/>
    <_ip_UnifiedCompliancePolicyProperties xmlns="http://schemas.microsoft.com/sharepoint/v3" xsi:nil="true"/>
    <SharedWithUsers xmlns="dfc5cf3b-63a0-41eb-9e2d-d2b6491b4379">
      <UserInfo>
        <DisplayName>David Main</DisplayName>
        <AccountId>94</AccountId>
        <AccountType/>
      </UserInfo>
      <UserInfo>
        <DisplayName>Barbara Barbarito</DisplayName>
        <AccountId>309</AccountId>
        <AccountType/>
      </UserInfo>
      <UserInfo>
        <DisplayName>James Poole</DisplayName>
        <AccountId>489</AccountId>
        <AccountType/>
      </UserInfo>
      <UserInfo>
        <DisplayName>Keith Allan</DisplayName>
        <AccountId>860</AccountId>
        <AccountType/>
      </UserInfo>
      <UserInfo>
        <DisplayName>Kiri Walker</DisplayName>
        <AccountId>4620</AccountId>
        <AccountType/>
      </UserInfo>
      <UserInfo>
        <DisplayName>Mary Jane Byfield</DisplayName>
        <AccountId>571</AccountId>
        <AccountType/>
      </UserInfo>
      <UserInfo>
        <DisplayName>Karen Dee</DisplayName>
        <AccountId>393</AccountId>
        <AccountType/>
      </UserInfo>
      <UserInfo>
        <DisplayName>Joanne Kay</DisplayName>
        <AccountId>813</AccountId>
        <AccountType/>
      </UserInfo>
      <UserInfo>
        <DisplayName>Richard Lavery</DisplayName>
        <AccountId>2122</AccountId>
        <AccountType/>
      </UserInfo>
      <UserInfo>
        <DisplayName>Andrew Walker (Head of Corporate Affairs)</DisplayName>
        <AccountId>6032</AccountId>
        <AccountType/>
      </UserInfo>
      <UserInfo>
        <DisplayName>John Griffen</DisplayName>
        <AccountId>642</AccountId>
        <AccountType/>
      </UserInfo>
      <UserInfo>
        <DisplayName>Kevin Roy</DisplayName>
        <AccountId>658</AccountId>
        <AccountType/>
      </UserInfo>
      <UserInfo>
        <DisplayName>Andrew Dunbar (GM Water Srvs Strgy)</DisplayName>
        <AccountId>214</AccountId>
        <AccountType/>
      </UserInfo>
      <UserInfo>
        <DisplayName>Ingrid Severn</DisplayName>
        <AccountId>1961</AccountId>
        <AccountType/>
      </UserInfo>
    </SharedWithUsers>
    <bfc079fce85f491ab29dd2fc5176ac66 xmlns="dfc5cf3b-63a0-41eb-9e2d-d2b6491b4379">
      <Terms xmlns="http://schemas.microsoft.com/office/infopath/2007/PartnerControls"/>
    </bfc079fce85f491ab29dd2fc5176ac66>
    <TaxCatchAll xmlns="dfc5cf3b-63a0-41eb-9e2d-d2b6491b4379" xsi:nil="true"/>
  </documentManagement>
</p:properties>
</file>

<file path=customXml/itemProps1.xml><?xml version="1.0" encoding="utf-8"?>
<ds:datastoreItem xmlns:ds="http://schemas.openxmlformats.org/officeDocument/2006/customXml" ds:itemID="{16B52D8D-71BC-4E62-A83B-06261B800BD1}"/>
</file>

<file path=customXml/itemProps2.xml><?xml version="1.0" encoding="utf-8"?>
<ds:datastoreItem xmlns:ds="http://schemas.openxmlformats.org/officeDocument/2006/customXml" ds:itemID="{B727CD35-89BA-4BB7-9FCD-E09B16E72F0B}"/>
</file>

<file path=customXml/itemProps3.xml><?xml version="1.0" encoding="utf-8"?>
<ds:datastoreItem xmlns:ds="http://schemas.openxmlformats.org/officeDocument/2006/customXml" ds:itemID="{3EA94798-BCA8-4F4F-842B-EA665C691421}"/>
</file>

<file path=customXml/itemProps4.xml><?xml version="1.0" encoding="utf-8"?>
<ds:datastoreItem xmlns:ds="http://schemas.openxmlformats.org/officeDocument/2006/customXml" ds:itemID="{724BE3A1-2373-4510-BE63-65A1F5F1DFBF}"/>
</file>

<file path=customXml/itemProps5.xml><?xml version="1.0" encoding="utf-8"?>
<ds:datastoreItem xmlns:ds="http://schemas.openxmlformats.org/officeDocument/2006/customXml" ds:itemID="{EB6DF59F-29E1-4E69-82F5-7FD4C9062E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2024-12-10T11:49:43Z</dcterms:created>
  <dcterms:modified xsi:type="dcterms:W3CDTF">2024-12-12T15:07:32Z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28900</vt:r8>
  </property>
  <property fmtid="{D5CDD505-2E9C-101B-9397-08002B2CF9AE}" pid="3" name="Data_x0020_Area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MSIP_Label_d05122c0-0fb2-4403-b18a-1a7c83cd382f_Name">
    <vt:lpwstr>d05122c0-0fb2-4403-b18a-1a7c83cd382f</vt:lpwstr>
  </property>
  <property fmtid="{D5CDD505-2E9C-101B-9397-08002B2CF9AE}" pid="6" name="MediaServiceImageTags">
    <vt:lpwstr/>
  </property>
  <property fmtid="{D5CDD505-2E9C-101B-9397-08002B2CF9AE}" pid="7" name="xd_ProgID">
    <vt:lpwstr/>
  </property>
  <property fmtid="{D5CDD505-2E9C-101B-9397-08002B2CF9AE}" pid="8" name="ContentTypeId">
    <vt:lpwstr>0x0101000673E8A027AD84478D085E8578848EF7</vt:lpwstr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MSIP_Label_d05122c0-0fb2-4403-b18a-1a7c83cd382f_ContentBits">
    <vt:lpwstr>2</vt:lpwstr>
  </property>
  <property fmtid="{D5CDD505-2E9C-101B-9397-08002B2CF9AE}" pid="12" name="MSIP_Label_d05122c0-0fb2-4403-b18a-1a7c83cd382f_ActionId">
    <vt:lpwstr>8e08c7c3-7dc2-4eea-8c18-3371bf2425cb</vt:lpwstr>
  </property>
  <property fmtid="{D5CDD505-2E9C-101B-9397-08002B2CF9AE}" pid="13" name="_ExtendedDescription">
    <vt:lpwstr/>
  </property>
  <property fmtid="{D5CDD505-2E9C-101B-9397-08002B2CF9AE}" pid="14" name="TriggerFlowInfo">
    <vt:lpwstr/>
  </property>
  <property fmtid="{D5CDD505-2E9C-101B-9397-08002B2CF9AE}" pid="15" name="MSIP_Label_d05122c0-0fb2-4403-b18a-1a7c83cd382f_SiteId">
    <vt:lpwstr>f90bd2e7-b5c0-4b25-9e27-226ff8b6c17b</vt:lpwstr>
  </property>
  <property fmtid="{D5CDD505-2E9C-101B-9397-08002B2CF9AE}" pid="16" name="MSIP_Label_d05122c0-0fb2-4403-b18a-1a7c83cd382f_Method">
    <vt:lpwstr>Privileged</vt:lpwstr>
  </property>
  <property fmtid="{D5CDD505-2E9C-101B-9397-08002B2CF9AE}" pid="17" name="Financial_x0020_Year">
    <vt:lpwstr/>
  </property>
  <property fmtid="{D5CDD505-2E9C-101B-9397-08002B2CF9AE}" pid="18" name="MSIP_Label_d05122c0-0fb2-4403-b18a-1a7c83cd382f_Enabled">
    <vt:lpwstr>true</vt:lpwstr>
  </property>
  <property fmtid="{D5CDD505-2E9C-101B-9397-08002B2CF9AE}" pid="19" name="Data Area">
    <vt:lpwstr/>
  </property>
  <property fmtid="{D5CDD505-2E9C-101B-9397-08002B2CF9AE}" pid="20" name="xd_Signature">
    <vt:bool>false</vt:bool>
  </property>
  <property fmtid="{D5CDD505-2E9C-101B-9397-08002B2CF9AE}" pid="21" name="MSIP_Label_d05122c0-0fb2-4403-b18a-1a7c83cd382f_SetDate">
    <vt:lpwstr>2022-05-06T14:06:27Z</vt:lpwstr>
  </property>
  <property fmtid="{D5CDD505-2E9C-101B-9397-08002B2CF9AE}" pid="22" name="SV_HIDDEN_GRID_QUERY_LIST_4F35BF76-6C0D-4D9B-82B2-816C12CF3733">
    <vt:lpwstr>empty_477D106A-C0D6-4607-AEBD-E2C9D60EA279</vt:lpwstr>
  </property>
  <property fmtid="{D5CDD505-2E9C-101B-9397-08002B2CF9AE}" pid="23" name="_dlc_DocIdItemGuid">
    <vt:lpwstr>80789b2e-8b0e-4d86-bf6e-ccd28c3f32cb</vt:lpwstr>
  </property>
  <property fmtid="{D5CDD505-2E9C-101B-9397-08002B2CF9AE}" pid="24" name="Financial Year">
    <vt:lpwstr/>
  </property>
</Properties>
</file>