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66925"/>
  <xr:revisionPtr revIDLastSave="1075" documentId="8_{F7A5DBDD-91F4-4564-9FB2-A31EEF97E604}" xr6:coauthVersionLast="47" xr6:coauthVersionMax="47" xr10:uidLastSave="{C099DA95-A99D-4558-8C42-E5C45EFC222C}"/>
  <bookViews>
    <workbookView xWindow="-110" yWindow="-110" windowWidth="38620" windowHeight="21220" xr2:uid="{00000000-000D-0000-FFFF-FFFF00000000}"/>
  </bookViews>
  <sheets>
    <sheet name="P1" sheetId="14" r:id="rId1"/>
    <sheet name="P2" sheetId="4" r:id="rId2"/>
    <sheet name="P2a" sheetId="9" r:id="rId3"/>
    <sheet name="P3" sheetId="15" r:id="rId4"/>
    <sheet name="P4" sheetId="20" r:id="rId5"/>
    <sheet name="P5" sheetId="17" r:id="rId6"/>
    <sheet name="P6" sheetId="21" r:id="rId7"/>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1</definedName>
    <definedName name="_AtRisk_SimSetting_MaxAutoIterations" hidden="1">50000</definedName>
    <definedName name="_AtRisk_SimSetting_MultipleCPUCount" hidden="1">-1</definedName>
    <definedName name="_AtRisk_SimSetting_MultipleCPUManualCount" hidden="1">8</definedName>
    <definedName name="_AtRisk_SimSetting_MultipleCPUMode" hidden="1">2</definedName>
    <definedName name="_AtRisk_SimSetting_MultipleCPUModeV8" hidden="1">2</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1</definedName>
    <definedName name="_AtRisk_SimSetting_ReportOptionCustomItemSummaryGraphType02" hidden="1">1</definedName>
    <definedName name="_AtRisk_SimSetting_ReportOptionCustomItemSummaryGraphType03" hidden="1">1</definedName>
    <definedName name="_AtRisk_SimSetting_ReportOptionCustomItemSummaryGraphType04" hidden="1">1</definedName>
    <definedName name="_AtRisk_SimSetting_ReportOptionCustomItemSummaryGraphType05" hidden="1">1</definedName>
    <definedName name="_AtRisk_SimSetting_ReportOptionCustomItemSummaryGraphType06" hidden="1">1</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Order1" hidden="1">255</definedName>
    <definedName name="_Order2" hidden="1">255</definedName>
    <definedName name="Pal_Workbook_GUID" hidden="1">"XGDIM2DJ1D6LXTZ97BNZ1XL8"</definedName>
    <definedName name="_xlnm.Print_Area" localSheetId="0">'P1'!$A$1:$S$118</definedName>
    <definedName name="_xlnm.Print_Area" localSheetId="1">'P2'!$A$13:$S$415</definedName>
    <definedName name="_xlnm.Print_Area" localSheetId="2">P2a!$A$1:$O$472</definedName>
    <definedName name="_xlnm.Print_Area" localSheetId="3">'P3'!$A$1:$AZ$124</definedName>
    <definedName name="_xlnm.Print_Area" localSheetId="4">'P4'!$A$1:$K$52</definedName>
    <definedName name="_xlnm.Print_Area" localSheetId="5">'P5'!$A$1:$AY$133</definedName>
    <definedName name="_xlnm.Print_Area" localSheetId="6">'P6'!$A$1:$J$103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1" i="17" l="1"/>
  <c r="AL31" i="17"/>
  <c r="AK31" i="17"/>
  <c r="AJ31" i="17"/>
  <c r="AI31" i="17"/>
  <c r="AH31" i="17"/>
  <c r="AG31" i="17"/>
  <c r="AF31" i="17"/>
  <c r="AE31" i="17"/>
  <c r="AD31" i="17"/>
  <c r="AM53" i="17"/>
  <c r="AL53" i="17"/>
  <c r="AK53" i="17"/>
  <c r="AJ53" i="17"/>
  <c r="AI53" i="17"/>
  <c r="AH53" i="17"/>
  <c r="AG53" i="17"/>
  <c r="AF53" i="17"/>
  <c r="AE53" i="17"/>
  <c r="AD53" i="17"/>
  <c r="AM88" i="17"/>
  <c r="AL88" i="17"/>
  <c r="AK88" i="17"/>
  <c r="AJ88" i="17"/>
  <c r="AI88" i="17"/>
  <c r="AH88" i="17"/>
  <c r="AG88" i="17"/>
  <c r="AF88" i="17"/>
  <c r="AE88" i="17"/>
  <c r="AD88" i="17"/>
  <c r="AM109" i="17"/>
  <c r="AL109" i="17"/>
  <c r="AK109" i="17"/>
  <c r="AJ109" i="17"/>
  <c r="AI109" i="17"/>
  <c r="AH109" i="17"/>
  <c r="AG109" i="17"/>
  <c r="AF109" i="17"/>
  <c r="AE109" i="17"/>
  <c r="AD109" i="17"/>
  <c r="AN107" i="17"/>
  <c r="AN106" i="17"/>
  <c r="AN105" i="17"/>
  <c r="AN104" i="17"/>
  <c r="AN103" i="17"/>
  <c r="AN102" i="17"/>
  <c r="AN101" i="17"/>
  <c r="AN100" i="17"/>
  <c r="AN99" i="17"/>
  <c r="AN98" i="17"/>
  <c r="AN97" i="17"/>
  <c r="AN96" i="17"/>
  <c r="AN95" i="17"/>
  <c r="AN94" i="17"/>
  <c r="AN108" i="17"/>
  <c r="AN87" i="17"/>
  <c r="AN86" i="17"/>
  <c r="AN85" i="17"/>
  <c r="AN84" i="17"/>
  <c r="AN83" i="17"/>
  <c r="AN82" i="17"/>
  <c r="AN81" i="17"/>
  <c r="AN80" i="17"/>
  <c r="AN79" i="17"/>
  <c r="AN78" i="17"/>
  <c r="AN77" i="17"/>
  <c r="AN76" i="17"/>
  <c r="AN75" i="17"/>
  <c r="AN74" i="17"/>
  <c r="AN73" i="17"/>
  <c r="AN52" i="17"/>
  <c r="AN51" i="17"/>
  <c r="AN50" i="17"/>
  <c r="AN49" i="17"/>
  <c r="AN48" i="17"/>
  <c r="AN47" i="17"/>
  <c r="AN46" i="17"/>
  <c r="AN45" i="17"/>
  <c r="AN44" i="17"/>
  <c r="AN43" i="17"/>
  <c r="AN42" i="17"/>
  <c r="AN41" i="17"/>
  <c r="AN40" i="17"/>
  <c r="AN39" i="17"/>
  <c r="AN38" i="17"/>
  <c r="AN30" i="17"/>
  <c r="AN29" i="17"/>
  <c r="AN28" i="17"/>
  <c r="AN27" i="17"/>
  <c r="AN26" i="17"/>
  <c r="AN25" i="17"/>
  <c r="AN24" i="17"/>
  <c r="AN23" i="17"/>
  <c r="AN22" i="17"/>
  <c r="AN20" i="17"/>
  <c r="AN19" i="17"/>
  <c r="AN18" i="17"/>
  <c r="AN17" i="17"/>
  <c r="AN16" i="17"/>
  <c r="AN15" i="17"/>
  <c r="AN14" i="17"/>
  <c r="AM53" i="15"/>
  <c r="AL53" i="15"/>
  <c r="AK53" i="15"/>
  <c r="AJ53" i="15"/>
  <c r="AI53" i="15"/>
  <c r="AH53" i="15"/>
  <c r="AG53" i="15"/>
  <c r="AF53" i="15"/>
  <c r="AE53" i="15"/>
  <c r="AD53" i="15"/>
  <c r="AM31" i="15" l="1"/>
  <c r="AL31" i="15"/>
  <c r="AK31" i="15"/>
  <c r="AJ31" i="15"/>
  <c r="AI31" i="15"/>
  <c r="AH31" i="15"/>
  <c r="AG31" i="15"/>
  <c r="AF31" i="15"/>
  <c r="AE31" i="15"/>
  <c r="AD31" i="15"/>
  <c r="AM88" i="15"/>
  <c r="AL88" i="15"/>
  <c r="AK88" i="15"/>
  <c r="AJ88" i="15"/>
  <c r="AI88" i="15"/>
  <c r="AH88" i="15"/>
  <c r="AG88" i="15"/>
  <c r="AF88" i="15"/>
  <c r="AE88" i="15"/>
  <c r="AD88" i="15"/>
  <c r="AM109" i="15"/>
  <c r="AL109" i="15"/>
  <c r="AK109" i="15"/>
  <c r="AJ109" i="15"/>
  <c r="AI109" i="15"/>
  <c r="AH109" i="15"/>
  <c r="AG109" i="15"/>
  <c r="AF109" i="15"/>
  <c r="AE109" i="15"/>
  <c r="AD109" i="15"/>
  <c r="AN108" i="15"/>
  <c r="AN107" i="15"/>
  <c r="AN106" i="15"/>
  <c r="AN105" i="15"/>
  <c r="AN104" i="15"/>
  <c r="AN103" i="15"/>
  <c r="AN102" i="15"/>
  <c r="AN101" i="15"/>
  <c r="AN100" i="15"/>
  <c r="AN99" i="15"/>
  <c r="AN98" i="15"/>
  <c r="AN97" i="15"/>
  <c r="AN96" i="15"/>
  <c r="AN95" i="15"/>
  <c r="AN94" i="15"/>
  <c r="AN87" i="15"/>
  <c r="AN86" i="15"/>
  <c r="AN85" i="15"/>
  <c r="AN84" i="15"/>
  <c r="AN83" i="15"/>
  <c r="AN82" i="15"/>
  <c r="AN81" i="15"/>
  <c r="AN80" i="15"/>
  <c r="AN79" i="15"/>
  <c r="AN78" i="15"/>
  <c r="AN77" i="15"/>
  <c r="AN76" i="15"/>
  <c r="AN75" i="15"/>
  <c r="AN74" i="15"/>
  <c r="AN73" i="15"/>
  <c r="AN52" i="15"/>
  <c r="AN51" i="15"/>
  <c r="AN50" i="15"/>
  <c r="AN49" i="15"/>
  <c r="AN48" i="15"/>
  <c r="AN47" i="15"/>
  <c r="AN46" i="15"/>
  <c r="AN45" i="15"/>
  <c r="AN44" i="15"/>
  <c r="AN43" i="15"/>
  <c r="AN42" i="15"/>
  <c r="AN41" i="15"/>
  <c r="AN40" i="15"/>
  <c r="AN39" i="15"/>
  <c r="AN38" i="15"/>
  <c r="AN30" i="15"/>
  <c r="AN29" i="15"/>
  <c r="AN28" i="15"/>
  <c r="AN27" i="15"/>
  <c r="AN26" i="15"/>
  <c r="AN25" i="15"/>
  <c r="AN24" i="15"/>
  <c r="AN23" i="15"/>
  <c r="AN22" i="15"/>
  <c r="AN20" i="15"/>
  <c r="AN19" i="15"/>
  <c r="AN18" i="15"/>
  <c r="AN17" i="15"/>
  <c r="AN16" i="15"/>
  <c r="AN15" i="15"/>
  <c r="AN14" i="15"/>
  <c r="AF57" i="15" l="1"/>
  <c r="N31" i="15"/>
  <c r="Q20" i="15" l="1"/>
  <c r="M152" i="4" l="1"/>
  <c r="AF51" i="15"/>
  <c r="AE51" i="15"/>
  <c r="AG50" i="15"/>
  <c r="AM28" i="15"/>
  <c r="AG49" i="15"/>
  <c r="AI48" i="15"/>
  <c r="AM26" i="15"/>
  <c r="AJ47" i="15"/>
  <c r="AM25" i="15"/>
  <c r="AM24" i="15"/>
  <c r="AJ22" i="15"/>
  <c r="AL22" i="15"/>
  <c r="AM20" i="15"/>
  <c r="AG22" i="15"/>
  <c r="AD22" i="15"/>
  <c r="AD44" i="15" s="1"/>
  <c r="AD79" i="15" s="1"/>
  <c r="AD100" i="15" s="1"/>
  <c r="AM19" i="15"/>
  <c r="AI42" i="15"/>
  <c r="AF42" i="15"/>
  <c r="AE42" i="15"/>
  <c r="AJ41" i="15"/>
  <c r="AF41" i="15"/>
  <c r="AM17" i="15"/>
  <c r="AM16" i="15"/>
  <c r="AM15" i="15"/>
  <c r="AI38" i="15"/>
  <c r="AE38" i="15"/>
  <c r="O30" i="15"/>
  <c r="N30" i="15"/>
  <c r="M30" i="15"/>
  <c r="L30" i="15"/>
  <c r="K30" i="15"/>
  <c r="J30" i="15"/>
  <c r="I30" i="15"/>
  <c r="H30" i="15"/>
  <c r="G30" i="15"/>
  <c r="P14" i="15"/>
  <c r="AM14" i="15"/>
  <c r="P15" i="15"/>
  <c r="P16" i="15"/>
  <c r="P17" i="15"/>
  <c r="P18" i="15"/>
  <c r="AM18" i="15"/>
  <c r="P19" i="15"/>
  <c r="P20" i="15"/>
  <c r="G22" i="15"/>
  <c r="G23" i="15" s="1"/>
  <c r="G45" i="15" s="1"/>
  <c r="H22" i="15"/>
  <c r="I22" i="15"/>
  <c r="I23" i="15" s="1"/>
  <c r="J22" i="15"/>
  <c r="K22" i="15"/>
  <c r="L22" i="15"/>
  <c r="M22" i="15"/>
  <c r="M23" i="15" s="1"/>
  <c r="N22" i="15"/>
  <c r="O22" i="15"/>
  <c r="AE22" i="15"/>
  <c r="AE23" i="15" s="1"/>
  <c r="AF22" i="15"/>
  <c r="AH22" i="15"/>
  <c r="AH23" i="15" s="1"/>
  <c r="AI22" i="15"/>
  <c r="AI23" i="15" s="1"/>
  <c r="AI45" i="15" s="1"/>
  <c r="K23" i="15"/>
  <c r="L23" i="15"/>
  <c r="P24" i="15"/>
  <c r="P25" i="15"/>
  <c r="P26" i="15"/>
  <c r="P27" i="15"/>
  <c r="AM27" i="15"/>
  <c r="P28" i="15"/>
  <c r="P29" i="15"/>
  <c r="G35" i="15"/>
  <c r="H35" i="15"/>
  <c r="I35" i="15"/>
  <c r="J35" i="15"/>
  <c r="K35" i="15"/>
  <c r="L35" i="15"/>
  <c r="M35" i="15"/>
  <c r="N35" i="15"/>
  <c r="O35" i="15"/>
  <c r="AD35" i="15"/>
  <c r="AE35" i="15"/>
  <c r="AF35" i="15"/>
  <c r="AG35" i="15"/>
  <c r="AH35" i="15"/>
  <c r="AI35" i="15"/>
  <c r="AJ35" i="15"/>
  <c r="AK35" i="15"/>
  <c r="AL35" i="15"/>
  <c r="G38" i="15"/>
  <c r="I38" i="15"/>
  <c r="J38" i="15"/>
  <c r="K38" i="15"/>
  <c r="M38" i="15"/>
  <c r="N38" i="15"/>
  <c r="O38" i="15"/>
  <c r="AD38" i="15"/>
  <c r="AF38" i="15"/>
  <c r="AG38" i="15"/>
  <c r="AK38" i="15"/>
  <c r="AL38" i="15"/>
  <c r="G39" i="15"/>
  <c r="H39" i="15"/>
  <c r="I39" i="15"/>
  <c r="J39" i="15"/>
  <c r="K39" i="15"/>
  <c r="M39" i="15"/>
  <c r="N39" i="15"/>
  <c r="O39" i="15"/>
  <c r="AE39" i="15"/>
  <c r="AF39" i="15"/>
  <c r="AG39" i="15"/>
  <c r="AI39" i="15"/>
  <c r="AJ39" i="15"/>
  <c r="AK39" i="15"/>
  <c r="G40" i="15"/>
  <c r="H40" i="15"/>
  <c r="H75" i="15" s="1"/>
  <c r="I40" i="15"/>
  <c r="J40" i="15"/>
  <c r="J75" i="15" s="1"/>
  <c r="J96" i="15" s="1"/>
  <c r="K40" i="15"/>
  <c r="M40" i="15"/>
  <c r="N40" i="15"/>
  <c r="O40" i="15"/>
  <c r="AD40" i="15"/>
  <c r="AE40" i="15"/>
  <c r="AF40" i="15"/>
  <c r="AI40" i="15"/>
  <c r="AJ40" i="15"/>
  <c r="AK40" i="15"/>
  <c r="AL40" i="15"/>
  <c r="G41" i="15"/>
  <c r="H41" i="15"/>
  <c r="I41" i="15"/>
  <c r="J41" i="15"/>
  <c r="K41" i="15"/>
  <c r="M41" i="15"/>
  <c r="O41" i="15"/>
  <c r="AD41" i="15"/>
  <c r="AE41" i="15"/>
  <c r="AG41" i="15"/>
  <c r="AG76" i="15" s="1"/>
  <c r="AG97" i="15" s="1"/>
  <c r="AI41" i="15"/>
  <c r="AK41" i="15"/>
  <c r="G42" i="15"/>
  <c r="I42" i="15"/>
  <c r="J42" i="15"/>
  <c r="K42" i="15"/>
  <c r="L42" i="15"/>
  <c r="L77" i="15" s="1"/>
  <c r="L98" i="15" s="1"/>
  <c r="M42" i="15"/>
  <c r="N42" i="15"/>
  <c r="O42" i="15"/>
  <c r="AD42" i="15"/>
  <c r="AG42" i="15"/>
  <c r="AH42" i="15"/>
  <c r="AH77" i="15" s="1"/>
  <c r="AH98" i="15" s="1"/>
  <c r="AK42" i="15"/>
  <c r="AL42" i="15"/>
  <c r="G43" i="15"/>
  <c r="H43" i="15"/>
  <c r="I43" i="15"/>
  <c r="J43" i="15"/>
  <c r="K43" i="15"/>
  <c r="M43" i="15"/>
  <c r="N43" i="15"/>
  <c r="O43" i="15"/>
  <c r="AE43" i="15"/>
  <c r="AF43" i="15"/>
  <c r="AG43" i="15"/>
  <c r="AI43" i="15"/>
  <c r="AJ43" i="15"/>
  <c r="AK43" i="15"/>
  <c r="I44" i="15"/>
  <c r="K44" i="15"/>
  <c r="AI44" i="15"/>
  <c r="K45" i="15"/>
  <c r="G46" i="15"/>
  <c r="I46" i="15"/>
  <c r="J46" i="15"/>
  <c r="K46" i="15"/>
  <c r="M46" i="15"/>
  <c r="N46" i="15"/>
  <c r="O46" i="15"/>
  <c r="AD46" i="15"/>
  <c r="AE46" i="15"/>
  <c r="AF46" i="15"/>
  <c r="AG46" i="15"/>
  <c r="AI46" i="15"/>
  <c r="AK46" i="15"/>
  <c r="AL46" i="15"/>
  <c r="G47" i="15"/>
  <c r="H47" i="15"/>
  <c r="I47" i="15"/>
  <c r="J47" i="15"/>
  <c r="K47" i="15"/>
  <c r="K82" i="15" s="1"/>
  <c r="K103" i="15" s="1"/>
  <c r="M47" i="15"/>
  <c r="N47" i="15"/>
  <c r="O47" i="15"/>
  <c r="AE47" i="15"/>
  <c r="AE82" i="15" s="1"/>
  <c r="AE103" i="15" s="1"/>
  <c r="AF47" i="15"/>
  <c r="AG47" i="15"/>
  <c r="AK47" i="15"/>
  <c r="G48" i="15"/>
  <c r="I48" i="15"/>
  <c r="J48" i="15"/>
  <c r="K48" i="15"/>
  <c r="M48" i="15"/>
  <c r="N48" i="15"/>
  <c r="O48" i="15"/>
  <c r="AE48" i="15"/>
  <c r="AF48" i="15"/>
  <c r="AG48" i="15"/>
  <c r="AJ48" i="15"/>
  <c r="AK48" i="15"/>
  <c r="G49" i="15"/>
  <c r="H49" i="15"/>
  <c r="H84" i="15" s="1"/>
  <c r="H105" i="15" s="1"/>
  <c r="I49" i="15"/>
  <c r="J49" i="15"/>
  <c r="K49" i="15"/>
  <c r="M49" i="15"/>
  <c r="O49" i="15"/>
  <c r="AD49" i="15"/>
  <c r="AE49" i="15"/>
  <c r="AF49" i="15"/>
  <c r="AI49" i="15"/>
  <c r="AJ49" i="15"/>
  <c r="AK49" i="15"/>
  <c r="AL49" i="15"/>
  <c r="G50" i="15"/>
  <c r="I50" i="15"/>
  <c r="J50" i="15"/>
  <c r="K50" i="15"/>
  <c r="M50" i="15"/>
  <c r="N50" i="15"/>
  <c r="O50" i="15"/>
  <c r="AD50" i="15"/>
  <c r="AE50" i="15"/>
  <c r="AI50" i="15"/>
  <c r="AK50" i="15"/>
  <c r="AL50" i="15"/>
  <c r="G51" i="15"/>
  <c r="H51" i="15"/>
  <c r="I51" i="15"/>
  <c r="J51" i="15"/>
  <c r="K51" i="15"/>
  <c r="M51" i="15"/>
  <c r="N51" i="15"/>
  <c r="O51" i="15"/>
  <c r="AG51" i="15"/>
  <c r="AI51" i="15"/>
  <c r="AJ51" i="15"/>
  <c r="AK51" i="15"/>
  <c r="I57" i="15"/>
  <c r="J57" i="15"/>
  <c r="I73" i="15" s="1"/>
  <c r="AG57" i="15"/>
  <c r="I58" i="15"/>
  <c r="J58" i="15"/>
  <c r="AF58" i="15"/>
  <c r="AG58" i="15" s="1"/>
  <c r="I59" i="15"/>
  <c r="J59" i="15"/>
  <c r="AF59" i="15"/>
  <c r="AG59" i="15" s="1"/>
  <c r="AD75" i="15" s="1"/>
  <c r="AD96" i="15" s="1"/>
  <c r="I60" i="15"/>
  <c r="J60" i="15"/>
  <c r="AF60" i="15"/>
  <c r="AG60" i="15"/>
  <c r="I61" i="15"/>
  <c r="J61" i="15"/>
  <c r="AF61" i="15"/>
  <c r="AG61" i="15" s="1"/>
  <c r="I62" i="15"/>
  <c r="J62" i="15" s="1"/>
  <c r="AF62" i="15"/>
  <c r="AG62" i="15" s="1"/>
  <c r="AK78" i="15" s="1"/>
  <c r="AK99" i="15" s="1"/>
  <c r="I63" i="15"/>
  <c r="J63" i="15" s="1"/>
  <c r="AF63" i="15"/>
  <c r="AG63" i="15" s="1"/>
  <c r="I64" i="15"/>
  <c r="J64" i="15"/>
  <c r="AF64" i="15"/>
  <c r="AG64" i="15"/>
  <c r="I65" i="15"/>
  <c r="J65" i="15" s="1"/>
  <c r="AF65" i="15"/>
  <c r="AG65" i="15" s="1"/>
  <c r="AI81" i="15" s="1"/>
  <c r="AI102" i="15" s="1"/>
  <c r="I66" i="15"/>
  <c r="J66" i="15"/>
  <c r="AF66" i="15"/>
  <c r="AG66" i="15"/>
  <c r="AK82" i="15" s="1"/>
  <c r="AK103" i="15" s="1"/>
  <c r="I67" i="15"/>
  <c r="J67" i="15"/>
  <c r="G83" i="15" s="1"/>
  <c r="AF67" i="15"/>
  <c r="AG67" i="15" s="1"/>
  <c r="AE83" i="15" s="1"/>
  <c r="AE104" i="15" s="1"/>
  <c r="I68" i="15"/>
  <c r="J68" i="15"/>
  <c r="AF68" i="15"/>
  <c r="AG68" i="15" s="1"/>
  <c r="I69" i="15"/>
  <c r="J69" i="15"/>
  <c r="AF69" i="15"/>
  <c r="AG69" i="15" s="1"/>
  <c r="I70" i="15"/>
  <c r="J70" i="15" s="1"/>
  <c r="AF70" i="15"/>
  <c r="AG70" i="15" s="1"/>
  <c r="G73" i="15"/>
  <c r="G94" i="15" s="1"/>
  <c r="K73" i="15"/>
  <c r="M73" i="15"/>
  <c r="M94" i="15" s="1"/>
  <c r="N74" i="15"/>
  <c r="N95" i="15" s="1"/>
  <c r="G75" i="15"/>
  <c r="I75" i="15"/>
  <c r="K75" i="15"/>
  <c r="O75" i="15"/>
  <c r="O96" i="15" s="1"/>
  <c r="O76" i="15"/>
  <c r="O97" i="15" s="1"/>
  <c r="AD76" i="15"/>
  <c r="AD97" i="15" s="1"/>
  <c r="AE76" i="15"/>
  <c r="AE97" i="15" s="1"/>
  <c r="AI76" i="15"/>
  <c r="AI97" i="15" s="1"/>
  <c r="AK76" i="15"/>
  <c r="AK97" i="15" s="1"/>
  <c r="G77" i="15"/>
  <c r="I77" i="15"/>
  <c r="I98" i="15" s="1"/>
  <c r="K77" i="15"/>
  <c r="K98" i="15" s="1"/>
  <c r="M77" i="15"/>
  <c r="M98" i="15" s="1"/>
  <c r="N77" i="15"/>
  <c r="N98" i="15" s="1"/>
  <c r="AG77" i="15"/>
  <c r="AG98" i="15" s="1"/>
  <c r="AK77" i="15"/>
  <c r="AK98" i="15" s="1"/>
  <c r="AI79" i="15"/>
  <c r="AI100" i="15" s="1"/>
  <c r="G82" i="15"/>
  <c r="I82" i="15"/>
  <c r="J82" i="15"/>
  <c r="J103" i="15" s="1"/>
  <c r="M82" i="15"/>
  <c r="M103" i="15" s="1"/>
  <c r="AG82" i="15"/>
  <c r="G84" i="15"/>
  <c r="I84" i="15"/>
  <c r="J84" i="15"/>
  <c r="J105" i="15" s="1"/>
  <c r="K84" i="15"/>
  <c r="M84" i="15"/>
  <c r="M105" i="15" s="1"/>
  <c r="O84" i="15"/>
  <c r="O105" i="15" s="1"/>
  <c r="K85" i="15"/>
  <c r="K106" i="15" s="1"/>
  <c r="M85" i="15"/>
  <c r="M106" i="15" s="1"/>
  <c r="G91" i="15"/>
  <c r="H91" i="15"/>
  <c r="I91" i="15"/>
  <c r="J91" i="15"/>
  <c r="M91" i="15"/>
  <c r="N91" i="15"/>
  <c r="O91" i="15"/>
  <c r="AD91" i="15"/>
  <c r="AE91" i="15"/>
  <c r="AF91" i="15"/>
  <c r="AG91" i="15"/>
  <c r="AI91" i="15"/>
  <c r="AJ91" i="15"/>
  <c r="AK91" i="15"/>
  <c r="AL91" i="15"/>
  <c r="G96" i="15"/>
  <c r="I96" i="15"/>
  <c r="K96" i="15"/>
  <c r="G103" i="15"/>
  <c r="I103" i="15"/>
  <c r="AG103" i="15"/>
  <c r="G105" i="15"/>
  <c r="I105" i="15"/>
  <c r="K105" i="15"/>
  <c r="S397" i="4"/>
  <c r="R397" i="4"/>
  <c r="Q397" i="4"/>
  <c r="P397" i="4"/>
  <c r="O397" i="4"/>
  <c r="R396" i="4"/>
  <c r="R398" i="4" s="1"/>
  <c r="Q396" i="4"/>
  <c r="Q398" i="4" s="1"/>
  <c r="P396" i="4"/>
  <c r="P398" i="4" s="1"/>
  <c r="O396" i="4"/>
  <c r="O398" i="4" s="1"/>
  <c r="S389" i="4"/>
  <c r="S388" i="4"/>
  <c r="S396" i="4" s="1"/>
  <c r="S398" i="4" s="1"/>
  <c r="P388" i="4"/>
  <c r="O387" i="4"/>
  <c r="P382" i="4"/>
  <c r="P378" i="4"/>
  <c r="P374" i="4"/>
  <c r="P380" i="4" s="1"/>
  <c r="S373" i="4"/>
  <c r="R373" i="4"/>
  <c r="Q373" i="4"/>
  <c r="P373" i="4"/>
  <c r="O373" i="4"/>
  <c r="R372" i="4"/>
  <c r="Q372" i="4"/>
  <c r="P372" i="4"/>
  <c r="R371" i="4"/>
  <c r="R374" i="4" s="1"/>
  <c r="Q371" i="4"/>
  <c r="Q374" i="4" s="1"/>
  <c r="P371" i="4"/>
  <c r="O365" i="4"/>
  <c r="O364" i="4"/>
  <c r="O363" i="4"/>
  <c r="O372" i="4" s="1"/>
  <c r="O362" i="4"/>
  <c r="O359" i="4"/>
  <c r="O358" i="4"/>
  <c r="O357" i="4"/>
  <c r="O356" i="4"/>
  <c r="O371" i="4" s="1"/>
  <c r="S353" i="4"/>
  <c r="O353" i="4"/>
  <c r="S352" i="4"/>
  <c r="O352" i="4"/>
  <c r="S351" i="4"/>
  <c r="S372" i="4" s="1"/>
  <c r="R351" i="4"/>
  <c r="O351" i="4"/>
  <c r="S348" i="4"/>
  <c r="O348" i="4"/>
  <c r="S347" i="4"/>
  <c r="O347" i="4"/>
  <c r="S346" i="4"/>
  <c r="S371" i="4" s="1"/>
  <c r="O346" i="4"/>
  <c r="O345" i="4"/>
  <c r="O337" i="4"/>
  <c r="R336" i="4"/>
  <c r="R332" i="4"/>
  <c r="R338" i="4" s="1"/>
  <c r="S331" i="4"/>
  <c r="R331" i="4"/>
  <c r="Q331" i="4"/>
  <c r="P331" i="4"/>
  <c r="O331" i="4"/>
  <c r="S330" i="4"/>
  <c r="R330" i="4"/>
  <c r="Q330" i="4"/>
  <c r="Q332" i="4" s="1"/>
  <c r="P330" i="4"/>
  <c r="O330" i="4"/>
  <c r="O332" i="4" s="1"/>
  <c r="O336" i="4" s="1"/>
  <c r="S329" i="4"/>
  <c r="S332" i="4" s="1"/>
  <c r="R329" i="4"/>
  <c r="Q329" i="4"/>
  <c r="P329" i="4"/>
  <c r="P332" i="4" s="1"/>
  <c r="O329" i="4"/>
  <c r="O306" i="4"/>
  <c r="S293" i="4"/>
  <c r="S301" i="4" s="1"/>
  <c r="S292" i="4"/>
  <c r="R292" i="4"/>
  <c r="Q292" i="4"/>
  <c r="P292" i="4"/>
  <c r="O292" i="4"/>
  <c r="S291" i="4"/>
  <c r="R291" i="4"/>
  <c r="Q291" i="4"/>
  <c r="P291" i="4"/>
  <c r="O291" i="4"/>
  <c r="S290" i="4"/>
  <c r="R290" i="4"/>
  <c r="Q290" i="4"/>
  <c r="P290" i="4"/>
  <c r="O290" i="4"/>
  <c r="S289" i="4"/>
  <c r="R289" i="4"/>
  <c r="R293" i="4" s="1"/>
  <c r="Q289" i="4"/>
  <c r="Q293" i="4" s="1"/>
  <c r="P289" i="4"/>
  <c r="P293" i="4" s="1"/>
  <c r="O289" i="4"/>
  <c r="S265" i="4"/>
  <c r="R265" i="4"/>
  <c r="Q265" i="4"/>
  <c r="P265" i="4"/>
  <c r="O263" i="4"/>
  <c r="O265" i="4" s="1"/>
  <c r="O261" i="4"/>
  <c r="S258" i="4"/>
  <c r="R258" i="4"/>
  <c r="Q258" i="4"/>
  <c r="P258" i="4"/>
  <c r="O251" i="4"/>
  <c r="O258" i="4" s="1"/>
  <c r="S245" i="4"/>
  <c r="R245" i="4"/>
  <c r="Q245" i="4"/>
  <c r="P245" i="4"/>
  <c r="S243" i="4"/>
  <c r="R243" i="4"/>
  <c r="Q243" i="4"/>
  <c r="P243" i="4"/>
  <c r="O242" i="4"/>
  <c r="S241" i="4"/>
  <c r="R241" i="4"/>
  <c r="Q241" i="4"/>
  <c r="P241" i="4"/>
  <c r="S211" i="4"/>
  <c r="R211" i="4"/>
  <c r="Q211" i="4"/>
  <c r="P211" i="4"/>
  <c r="O211" i="4"/>
  <c r="O207" i="4"/>
  <c r="O190" i="4"/>
  <c r="P189" i="4"/>
  <c r="Q189" i="4"/>
  <c r="R189" i="4"/>
  <c r="S189" i="4"/>
  <c r="S126" i="4"/>
  <c r="R126" i="4"/>
  <c r="Q126" i="4"/>
  <c r="P126" i="4"/>
  <c r="O124" i="4"/>
  <c r="O126" i="4" s="1"/>
  <c r="O122" i="4"/>
  <c r="O100" i="4"/>
  <c r="R90" i="14"/>
  <c r="Q90" i="14"/>
  <c r="P90" i="14"/>
  <c r="R89" i="14"/>
  <c r="Q89" i="14"/>
  <c r="R78" i="14"/>
  <c r="Q78" i="14"/>
  <c r="P78" i="14"/>
  <c r="R75" i="14"/>
  <c r="Q75" i="14"/>
  <c r="F224" i="9"/>
  <c r="AD84" i="15" l="1"/>
  <c r="AK84" i="15"/>
  <c r="AK105" i="15" s="1"/>
  <c r="AL84" i="15"/>
  <c r="AL105" i="15" s="1"/>
  <c r="AK86" i="15"/>
  <c r="AK107" i="15" s="1"/>
  <c r="AG86" i="15"/>
  <c r="AG107" i="15" s="1"/>
  <c r="AI86" i="15"/>
  <c r="AI107" i="15" s="1"/>
  <c r="AJ86" i="15"/>
  <c r="AJ107" i="15" s="1"/>
  <c r="AI83" i="15"/>
  <c r="AI104" i="15" s="1"/>
  <c r="AE78" i="15"/>
  <c r="AE99" i="15" s="1"/>
  <c r="AJ83" i="15"/>
  <c r="AJ104" i="15" s="1"/>
  <c r="AK81" i="15"/>
  <c r="AK102" i="15" s="1"/>
  <c r="AF76" i="15"/>
  <c r="AF97" i="15" s="1"/>
  <c r="AE84" i="15"/>
  <c r="AE105" i="15" s="1"/>
  <c r="AJ75" i="15"/>
  <c r="AJ96" i="15" s="1"/>
  <c r="AG83" i="15"/>
  <c r="AG104" i="15" s="1"/>
  <c r="AI74" i="15"/>
  <c r="AI95" i="15" s="1"/>
  <c r="AF75" i="15"/>
  <c r="AF96" i="15" s="1"/>
  <c r="AF83" i="15"/>
  <c r="AF104" i="15" s="1"/>
  <c r="AE77" i="15"/>
  <c r="AE98" i="15" s="1"/>
  <c r="AG85" i="15"/>
  <c r="AG106" i="15" s="1"/>
  <c r="AK83" i="15"/>
  <c r="AK104" i="15" s="1"/>
  <c r="AE75" i="15"/>
  <c r="AE96" i="15" s="1"/>
  <c r="AF77" i="15"/>
  <c r="AF98" i="15" s="1"/>
  <c r="AE86" i="15"/>
  <c r="AE107" i="15" s="1"/>
  <c r="AI80" i="15"/>
  <c r="AI101" i="15" s="1"/>
  <c r="AI77" i="15"/>
  <c r="AI98" i="15" s="1"/>
  <c r="AF86" i="15"/>
  <c r="AF107" i="15" s="1"/>
  <c r="AF50" i="15"/>
  <c r="AF85" i="15" s="1"/>
  <c r="AF106" i="15" s="1"/>
  <c r="AI47" i="15"/>
  <c r="AI52" i="15" s="1"/>
  <c r="AM29" i="15"/>
  <c r="AH30" i="15"/>
  <c r="AE52" i="15"/>
  <c r="AG23" i="15"/>
  <c r="AG45" i="15" s="1"/>
  <c r="AG44" i="15"/>
  <c r="AG79" i="15" s="1"/>
  <c r="AG100" i="15" s="1"/>
  <c r="AJ44" i="15"/>
  <c r="AJ79" i="15" s="1"/>
  <c r="AJ100" i="15" s="1"/>
  <c r="AJ23" i="15"/>
  <c r="AJ45" i="15" s="1"/>
  <c r="AJ80" i="15" s="1"/>
  <c r="AJ101" i="15" s="1"/>
  <c r="AE30" i="15"/>
  <c r="AE45" i="15"/>
  <c r="AE80" i="15" s="1"/>
  <c r="AE101" i="15" s="1"/>
  <c r="AG40" i="15"/>
  <c r="AM40" i="15" s="1"/>
  <c r="AK22" i="15"/>
  <c r="AI30" i="15"/>
  <c r="AF23" i="15"/>
  <c r="AF45" i="15" s="1"/>
  <c r="AF80" i="15" s="1"/>
  <c r="AF101" i="15" s="1"/>
  <c r="AE44" i="15"/>
  <c r="AE79" i="15" s="1"/>
  <c r="AE100" i="15" s="1"/>
  <c r="G86" i="15"/>
  <c r="N86" i="15"/>
  <c r="N107" i="15" s="1"/>
  <c r="N81" i="15"/>
  <c r="N102" i="15" s="1"/>
  <c r="O81" i="15"/>
  <c r="O102" i="15" s="1"/>
  <c r="K81" i="15"/>
  <c r="K102" i="15" s="1"/>
  <c r="G81" i="15"/>
  <c r="G102" i="15" s="1"/>
  <c r="I81" i="15"/>
  <c r="I102" i="15" s="1"/>
  <c r="M81" i="15"/>
  <c r="M102" i="15" s="1"/>
  <c r="G78" i="15"/>
  <c r="I78" i="15"/>
  <c r="I99" i="15" s="1"/>
  <c r="J78" i="15"/>
  <c r="J99" i="15" s="1"/>
  <c r="M86" i="15"/>
  <c r="M107" i="15" s="1"/>
  <c r="M78" i="15"/>
  <c r="M99" i="15" s="1"/>
  <c r="J86" i="15"/>
  <c r="J107" i="15" s="1"/>
  <c r="O74" i="15"/>
  <c r="O95" i="15" s="1"/>
  <c r="J83" i="15"/>
  <c r="J104" i="15" s="1"/>
  <c r="G74" i="15"/>
  <c r="I83" i="15"/>
  <c r="I104" i="15" s="1"/>
  <c r="H82" i="15"/>
  <c r="H103" i="15" s="1"/>
  <c r="N85" i="15"/>
  <c r="N106" i="15" s="1"/>
  <c r="N82" i="15"/>
  <c r="N103" i="15" s="1"/>
  <c r="K80" i="15"/>
  <c r="K101" i="15" s="1"/>
  <c r="K76" i="15"/>
  <c r="K97" i="15" s="1"/>
  <c r="K52" i="15"/>
  <c r="O44" i="15"/>
  <c r="O52" i="15" s="1"/>
  <c r="G44" i="15"/>
  <c r="G79" i="15" s="1"/>
  <c r="O23" i="15"/>
  <c r="O45" i="15" s="1"/>
  <c r="N44" i="15"/>
  <c r="N23" i="15"/>
  <c r="M44" i="15"/>
  <c r="H23" i="15"/>
  <c r="H45" i="15" s="1"/>
  <c r="H80" i="15" s="1"/>
  <c r="H101" i="15" s="1"/>
  <c r="H44" i="15"/>
  <c r="H79" i="15" s="1"/>
  <c r="H100" i="15" s="1"/>
  <c r="G99" i="15"/>
  <c r="G107" i="15"/>
  <c r="G95" i="15"/>
  <c r="J23" i="15"/>
  <c r="J45" i="15" s="1"/>
  <c r="J80" i="15" s="1"/>
  <c r="J101" i="15" s="1"/>
  <c r="J44" i="15"/>
  <c r="J79" i="15" s="1"/>
  <c r="J100" i="15" s="1"/>
  <c r="I86" i="15"/>
  <c r="I107" i="15" s="1"/>
  <c r="K86" i="15"/>
  <c r="K107" i="15" s="1"/>
  <c r="O86" i="15"/>
  <c r="O107" i="15" s="1"/>
  <c r="H86" i="15"/>
  <c r="H107" i="15" s="1"/>
  <c r="AD81" i="15"/>
  <c r="AL81" i="15"/>
  <c r="AL102" i="15" s="1"/>
  <c r="AE81" i="15"/>
  <c r="AE102" i="15" s="1"/>
  <c r="AG81" i="15"/>
  <c r="AG102" i="15" s="1"/>
  <c r="AF81" i="15"/>
  <c r="AF102" i="15" s="1"/>
  <c r="N79" i="15"/>
  <c r="N100" i="15" s="1"/>
  <c r="K79" i="15"/>
  <c r="K100" i="15" s="1"/>
  <c r="I79" i="15"/>
  <c r="I100" i="15" s="1"/>
  <c r="AF74" i="15"/>
  <c r="AF95" i="15" s="1"/>
  <c r="AE74" i="15"/>
  <c r="AE95" i="15" s="1"/>
  <c r="AG74" i="15"/>
  <c r="AG95" i="15" s="1"/>
  <c r="AJ74" i="15"/>
  <c r="AJ95" i="15" s="1"/>
  <c r="AK74" i="15"/>
  <c r="AK95" i="15" s="1"/>
  <c r="P40" i="15"/>
  <c r="G98" i="15"/>
  <c r="AJ30" i="15"/>
  <c r="AH41" i="15"/>
  <c r="AH76" i="15" s="1"/>
  <c r="AH45" i="15"/>
  <c r="AH80" i="15" s="1"/>
  <c r="AH101" i="15" s="1"/>
  <c r="AH49" i="15"/>
  <c r="AM49" i="15" s="1"/>
  <c r="AH43" i="15"/>
  <c r="AH46" i="15"/>
  <c r="AH81" i="15" s="1"/>
  <c r="AH102" i="15" s="1"/>
  <c r="AH47" i="15"/>
  <c r="AH82" i="15" s="1"/>
  <c r="AH103" i="15" s="1"/>
  <c r="AH40" i="15"/>
  <c r="AH75" i="15" s="1"/>
  <c r="AH96" i="15" s="1"/>
  <c r="AH38" i="15"/>
  <c r="AH48" i="15"/>
  <c r="AH83" i="15" s="1"/>
  <c r="AH104" i="15" s="1"/>
  <c r="AH44" i="15"/>
  <c r="AH79" i="15" s="1"/>
  <c r="AH100" i="15" s="1"/>
  <c r="AH50" i="15"/>
  <c r="AH85" i="15" s="1"/>
  <c r="AH106" i="15" s="1"/>
  <c r="AH51" i="15"/>
  <c r="AH86" i="15" s="1"/>
  <c r="AH107" i="15" s="1"/>
  <c r="L40" i="15"/>
  <c r="L75" i="15" s="1"/>
  <c r="L96" i="15" s="1"/>
  <c r="L44" i="15"/>
  <c r="L79" i="15" s="1"/>
  <c r="L100" i="15" s="1"/>
  <c r="L48" i="15"/>
  <c r="L83" i="15" s="1"/>
  <c r="L104" i="15" s="1"/>
  <c r="L41" i="15"/>
  <c r="L76" i="15" s="1"/>
  <c r="L97" i="15" s="1"/>
  <c r="L43" i="15"/>
  <c r="P43" i="15" s="1"/>
  <c r="L46" i="15"/>
  <c r="L81" i="15" s="1"/>
  <c r="L102" i="15" s="1"/>
  <c r="L39" i="15"/>
  <c r="P39" i="15" s="1"/>
  <c r="L45" i="15"/>
  <c r="L80" i="15" s="1"/>
  <c r="L101" i="15" s="1"/>
  <c r="L47" i="15"/>
  <c r="L91" i="15"/>
  <c r="L38" i="15"/>
  <c r="L49" i="15"/>
  <c r="L84" i="15" s="1"/>
  <c r="L105" i="15" s="1"/>
  <c r="L50" i="15"/>
  <c r="L85" i="15" s="1"/>
  <c r="L106" i="15" s="1"/>
  <c r="M79" i="15"/>
  <c r="M100" i="15" s="1"/>
  <c r="L51" i="15"/>
  <c r="P51" i="15" s="1"/>
  <c r="I94" i="15"/>
  <c r="G104" i="15"/>
  <c r="AD105" i="15"/>
  <c r="AF82" i="15"/>
  <c r="AF103" i="15" s="1"/>
  <c r="AJ82" i="15"/>
  <c r="AJ103" i="15" s="1"/>
  <c r="K78" i="15"/>
  <c r="K99" i="15" s="1"/>
  <c r="N78" i="15"/>
  <c r="N99" i="15" s="1"/>
  <c r="O78" i="15"/>
  <c r="O99" i="15" s="1"/>
  <c r="H78" i="15"/>
  <c r="H99" i="15" s="1"/>
  <c r="AD73" i="15"/>
  <c r="AL73" i="15"/>
  <c r="AG73" i="15"/>
  <c r="AI73" i="15"/>
  <c r="AE73" i="15"/>
  <c r="AF73" i="15"/>
  <c r="AK73" i="15"/>
  <c r="AH39" i="15"/>
  <c r="AH74" i="15" s="1"/>
  <c r="AH95" i="15" s="1"/>
  <c r="K94" i="15"/>
  <c r="AI85" i="15"/>
  <c r="AI106" i="15" s="1"/>
  <c r="AK85" i="15"/>
  <c r="AK106" i="15" s="1"/>
  <c r="AD85" i="15"/>
  <c r="AL85" i="15"/>
  <c r="AL106" i="15" s="1"/>
  <c r="K83" i="15"/>
  <c r="K104" i="15" s="1"/>
  <c r="M83" i="15"/>
  <c r="M104" i="15" s="1"/>
  <c r="N83" i="15"/>
  <c r="N104" i="15" s="1"/>
  <c r="AF78" i="15"/>
  <c r="AF99" i="15" s="1"/>
  <c r="AG78" i="15"/>
  <c r="AG99" i="15" s="1"/>
  <c r="AI78" i="15"/>
  <c r="AI99" i="15" s="1"/>
  <c r="AJ78" i="15"/>
  <c r="AJ99" i="15" s="1"/>
  <c r="H74" i="15"/>
  <c r="H95" i="15" s="1"/>
  <c r="J74" i="15"/>
  <c r="J95" i="15" s="1"/>
  <c r="K74" i="15"/>
  <c r="K95" i="15" s="1"/>
  <c r="AE85" i="15"/>
  <c r="AE106" i="15" s="1"/>
  <c r="AH78" i="15"/>
  <c r="AH99" i="15" s="1"/>
  <c r="G85" i="15"/>
  <c r="O85" i="15"/>
  <c r="O106" i="15" s="1"/>
  <c r="I85" i="15"/>
  <c r="I106" i="15" s="1"/>
  <c r="J85" i="15"/>
  <c r="J106" i="15" s="1"/>
  <c r="AL80" i="15"/>
  <c r="AL101" i="15" s="1"/>
  <c r="H76" i="15"/>
  <c r="H97" i="15" s="1"/>
  <c r="J76" i="15"/>
  <c r="J97" i="15" s="1"/>
  <c r="M76" i="15"/>
  <c r="M97" i="15" s="1"/>
  <c r="H96" i="15"/>
  <c r="AL23" i="15"/>
  <c r="AL45" i="15" s="1"/>
  <c r="AL44" i="15"/>
  <c r="AL79" i="15" s="1"/>
  <c r="AL100" i="15" s="1"/>
  <c r="AL30" i="15"/>
  <c r="AD23" i="15"/>
  <c r="AM22" i="15"/>
  <c r="AG84" i="15"/>
  <c r="AG105" i="15" s="1"/>
  <c r="AI84" i="15"/>
  <c r="AI105" i="15" s="1"/>
  <c r="AJ84" i="15"/>
  <c r="AJ105" i="15" s="1"/>
  <c r="O80" i="15"/>
  <c r="O101" i="15" s="1"/>
  <c r="G80" i="15"/>
  <c r="J73" i="15"/>
  <c r="L73" i="15"/>
  <c r="N73" i="15"/>
  <c r="O73" i="15"/>
  <c r="I76" i="15"/>
  <c r="I97" i="15" s="1"/>
  <c r="M74" i="15"/>
  <c r="M95" i="15" s="1"/>
  <c r="P47" i="15"/>
  <c r="AI75" i="15"/>
  <c r="AI96" i="15" s="1"/>
  <c r="AK75" i="15"/>
  <c r="AK96" i="15" s="1"/>
  <c r="AL75" i="15"/>
  <c r="AL96" i="15" s="1"/>
  <c r="AF84" i="15"/>
  <c r="AF105" i="15" s="1"/>
  <c r="O83" i="15"/>
  <c r="O104" i="15" s="1"/>
  <c r="G76" i="15"/>
  <c r="I74" i="15"/>
  <c r="I95" i="15" s="1"/>
  <c r="L82" i="15"/>
  <c r="AD77" i="15"/>
  <c r="AL77" i="15"/>
  <c r="AL98" i="15" s="1"/>
  <c r="N75" i="15"/>
  <c r="N96" i="15" s="1"/>
  <c r="J77" i="15"/>
  <c r="J98" i="15" s="1"/>
  <c r="AM42" i="15"/>
  <c r="P42" i="15"/>
  <c r="AL39" i="15"/>
  <c r="AL74" i="15" s="1"/>
  <c r="AL95" i="15" s="1"/>
  <c r="AL43" i="15"/>
  <c r="AL78" i="15" s="1"/>
  <c r="AL99" i="15" s="1"/>
  <c r="AL47" i="15"/>
  <c r="AL82" i="15" s="1"/>
  <c r="AL103" i="15" s="1"/>
  <c r="AL51" i="15"/>
  <c r="AL86" i="15" s="1"/>
  <c r="AL107" i="15" s="1"/>
  <c r="AD39" i="15"/>
  <c r="AD74" i="15" s="1"/>
  <c r="AD43" i="15"/>
  <c r="AD47" i="15"/>
  <c r="AD82" i="15" s="1"/>
  <c r="AD51" i="15"/>
  <c r="H38" i="15"/>
  <c r="H42" i="15"/>
  <c r="H77" i="15" s="1"/>
  <c r="H98" i="15" s="1"/>
  <c r="H46" i="15"/>
  <c r="H81" i="15" s="1"/>
  <c r="H50" i="15"/>
  <c r="H85" i="15" s="1"/>
  <c r="H106" i="15" s="1"/>
  <c r="M45" i="15"/>
  <c r="M52" i="15" s="1"/>
  <c r="O82" i="15"/>
  <c r="O103" i="15" s="1"/>
  <c r="AJ77" i="15"/>
  <c r="AJ98" i="15" s="1"/>
  <c r="O77" i="15"/>
  <c r="O98" i="15" s="1"/>
  <c r="M75" i="15"/>
  <c r="M96" i="15" s="1"/>
  <c r="J81" i="15"/>
  <c r="J102" i="15" s="1"/>
  <c r="AJ76" i="15"/>
  <c r="AJ97" i="15" s="1"/>
  <c r="AL48" i="15"/>
  <c r="AL83" i="15" s="1"/>
  <c r="AL104" i="15" s="1"/>
  <c r="AD48" i="15"/>
  <c r="H48" i="15"/>
  <c r="H83" i="15" s="1"/>
  <c r="H104" i="15" s="1"/>
  <c r="AL41" i="15"/>
  <c r="AL76" i="15" s="1"/>
  <c r="AL97" i="15" s="1"/>
  <c r="AJ38" i="15"/>
  <c r="AJ42" i="15"/>
  <c r="AJ46" i="15"/>
  <c r="AJ50" i="15"/>
  <c r="N41" i="15"/>
  <c r="N76" i="15" s="1"/>
  <c r="N97" i="15" s="1"/>
  <c r="N45" i="15"/>
  <c r="N80" i="15" s="1"/>
  <c r="N101" i="15" s="1"/>
  <c r="N49" i="15"/>
  <c r="N84" i="15" s="1"/>
  <c r="N105" i="15" s="1"/>
  <c r="P23" i="15"/>
  <c r="I45" i="15"/>
  <c r="AF44" i="15"/>
  <c r="AF79" i="15" s="1"/>
  <c r="AF100" i="15" s="1"/>
  <c r="P22" i="15"/>
  <c r="O293" i="4"/>
  <c r="O338" i="4"/>
  <c r="R406" i="4"/>
  <c r="R402" i="4"/>
  <c r="R404" i="4"/>
  <c r="S338" i="4"/>
  <c r="S340" i="4"/>
  <c r="S336" i="4"/>
  <c r="R301" i="4"/>
  <c r="R297" i="4"/>
  <c r="R299" i="4"/>
  <c r="Q402" i="4"/>
  <c r="Q406" i="4"/>
  <c r="Q404" i="4"/>
  <c r="Q336" i="4"/>
  <c r="Q338" i="4"/>
  <c r="Q340" i="4"/>
  <c r="O374" i="4"/>
  <c r="S406" i="4"/>
  <c r="S402" i="4"/>
  <c r="S404" i="4"/>
  <c r="Q301" i="4"/>
  <c r="Q297" i="4"/>
  <c r="Q299" i="4"/>
  <c r="P404" i="4"/>
  <c r="P402" i="4"/>
  <c r="P406" i="4"/>
  <c r="O299" i="4"/>
  <c r="O301" i="4"/>
  <c r="O297" i="4"/>
  <c r="Q380" i="4"/>
  <c r="Q382" i="4"/>
  <c r="Q378" i="4"/>
  <c r="S374" i="4"/>
  <c r="P336" i="4"/>
  <c r="P338" i="4"/>
  <c r="P340" i="4"/>
  <c r="P299" i="4"/>
  <c r="P297" i="4"/>
  <c r="P301" i="4"/>
  <c r="R380" i="4"/>
  <c r="R378" i="4"/>
  <c r="R382" i="4"/>
  <c r="O404" i="4"/>
  <c r="O406" i="4"/>
  <c r="O402" i="4"/>
  <c r="O340" i="4"/>
  <c r="S299" i="4"/>
  <c r="R340" i="4"/>
  <c r="S297" i="4"/>
  <c r="T52" i="21"/>
  <c r="AD38" i="17"/>
  <c r="AM50" i="15" l="1"/>
  <c r="AF30" i="15"/>
  <c r="AG75" i="15"/>
  <c r="AG96" i="15" s="1"/>
  <c r="AM96" i="15" s="1"/>
  <c r="AI82" i="15"/>
  <c r="AI103" i="15" s="1"/>
  <c r="AF52" i="15"/>
  <c r="AM46" i="15"/>
  <c r="AH84" i="15"/>
  <c r="AH105" i="15" s="1"/>
  <c r="AM105" i="15" s="1"/>
  <c r="AJ85" i="15"/>
  <c r="AJ106" i="15" s="1"/>
  <c r="AK23" i="15"/>
  <c r="AK45" i="15" s="1"/>
  <c r="AK80" i="15" s="1"/>
  <c r="AK101" i="15" s="1"/>
  <c r="AK44" i="15"/>
  <c r="AK79" i="15" s="1"/>
  <c r="AK100" i="15" s="1"/>
  <c r="AG30" i="15"/>
  <c r="AM38" i="15"/>
  <c r="AM100" i="15"/>
  <c r="AM44" i="15"/>
  <c r="P75" i="15"/>
  <c r="P105" i="15"/>
  <c r="K108" i="15"/>
  <c r="L74" i="15"/>
  <c r="L95" i="15" s="1"/>
  <c r="O79" i="15"/>
  <c r="O100" i="15" s="1"/>
  <c r="G52" i="15"/>
  <c r="L78" i="15"/>
  <c r="L99" i="15" s="1"/>
  <c r="P99" i="15" s="1"/>
  <c r="J52" i="15"/>
  <c r="J110" i="15" s="1"/>
  <c r="AM74" i="15"/>
  <c r="AD95" i="15"/>
  <c r="AM95" i="15" s="1"/>
  <c r="L94" i="15"/>
  <c r="AD94" i="15"/>
  <c r="P81" i="15"/>
  <c r="H102" i="15"/>
  <c r="P102" i="15" s="1"/>
  <c r="AK94" i="15"/>
  <c r="L52" i="15"/>
  <c r="P30" i="15"/>
  <c r="I31" i="15" s="1"/>
  <c r="G101" i="15"/>
  <c r="P44" i="15"/>
  <c r="AF94" i="15"/>
  <c r="AF108" i="15" s="1"/>
  <c r="AF87" i="15"/>
  <c r="P83" i="15"/>
  <c r="AM41" i="15"/>
  <c r="AJ81" i="15"/>
  <c r="AJ102" i="15" s="1"/>
  <c r="P38" i="15"/>
  <c r="H73" i="15"/>
  <c r="H52" i="15"/>
  <c r="AL52" i="15"/>
  <c r="N52" i="15"/>
  <c r="AD45" i="15"/>
  <c r="AD52" i="15" s="1"/>
  <c r="AD30" i="15"/>
  <c r="AE87" i="15"/>
  <c r="AE94" i="15"/>
  <c r="AE108" i="15" s="1"/>
  <c r="L86" i="15"/>
  <c r="AM77" i="15"/>
  <c r="AD98" i="15"/>
  <c r="AM98" i="15" s="1"/>
  <c r="AM82" i="15"/>
  <c r="AD103" i="15"/>
  <c r="AM103" i="15" s="1"/>
  <c r="AM85" i="15"/>
  <c r="AD106" i="15"/>
  <c r="P76" i="15"/>
  <c r="G97" i="15"/>
  <c r="M80" i="15"/>
  <c r="P41" i="15"/>
  <c r="AM75" i="15"/>
  <c r="AM47" i="15"/>
  <c r="P46" i="15"/>
  <c r="K87" i="15"/>
  <c r="AI87" i="15"/>
  <c r="AI94" i="15"/>
  <c r="AI108" i="15" s="1"/>
  <c r="P84" i="15"/>
  <c r="I52" i="15"/>
  <c r="P45" i="15"/>
  <c r="I80" i="15"/>
  <c r="I101" i="15" s="1"/>
  <c r="P48" i="15"/>
  <c r="AM43" i="15"/>
  <c r="AD78" i="15"/>
  <c r="O94" i="15"/>
  <c r="O108" i="15" s="1"/>
  <c r="AG94" i="15"/>
  <c r="P104" i="15"/>
  <c r="G87" i="15"/>
  <c r="P77" i="15"/>
  <c r="P95" i="15"/>
  <c r="I108" i="15"/>
  <c r="AH52" i="15"/>
  <c r="AH73" i="15"/>
  <c r="P49" i="15"/>
  <c r="AD102" i="15"/>
  <c r="P82" i="15"/>
  <c r="L103" i="15"/>
  <c r="P103" i="15" s="1"/>
  <c r="J94" i="15"/>
  <c r="J108" i="15" s="1"/>
  <c r="J87" i="15"/>
  <c r="AJ52" i="15"/>
  <c r="AM51" i="15"/>
  <c r="AD86" i="15"/>
  <c r="P50" i="15"/>
  <c r="AJ73" i="15"/>
  <c r="AM79" i="15"/>
  <c r="G100" i="15"/>
  <c r="P79" i="15"/>
  <c r="AM48" i="15"/>
  <c r="AD83" i="15"/>
  <c r="AM39" i="15"/>
  <c r="N87" i="15"/>
  <c r="N94" i="15"/>
  <c r="N108" i="15" s="1"/>
  <c r="P96" i="15"/>
  <c r="P85" i="15"/>
  <c r="G106" i="15"/>
  <c r="P106" i="15" s="1"/>
  <c r="AG52" i="15"/>
  <c r="AG80" i="15"/>
  <c r="AG101" i="15" s="1"/>
  <c r="AL94" i="15"/>
  <c r="AL108" i="15" s="1"/>
  <c r="AL87" i="15"/>
  <c r="AM76" i="15"/>
  <c r="AH97" i="15"/>
  <c r="AM97" i="15" s="1"/>
  <c r="P98" i="15"/>
  <c r="S378" i="4"/>
  <c r="S382" i="4"/>
  <c r="S380" i="4"/>
  <c r="O378" i="4"/>
  <c r="O380" i="4"/>
  <c r="O382" i="4"/>
  <c r="H22" i="17"/>
  <c r="G22" i="17"/>
  <c r="AM81" i="15" l="1"/>
  <c r="AM84" i="15"/>
  <c r="AF110" i="15"/>
  <c r="AG108" i="15"/>
  <c r="AM23" i="15"/>
  <c r="AM30" i="15" s="1"/>
  <c r="AG87" i="15"/>
  <c r="AG110" i="15" s="1"/>
  <c r="AK30" i="15"/>
  <c r="AM106" i="15"/>
  <c r="AM102" i="15"/>
  <c r="AM73" i="15"/>
  <c r="AK52" i="15"/>
  <c r="P78" i="15"/>
  <c r="P100" i="15"/>
  <c r="O87" i="15"/>
  <c r="P74" i="15"/>
  <c r="O110" i="15"/>
  <c r="AM86" i="15"/>
  <c r="AD107" i="15"/>
  <c r="AM107" i="15" s="1"/>
  <c r="M101" i="15"/>
  <c r="M108" i="15" s="1"/>
  <c r="M87" i="15"/>
  <c r="AE110" i="15"/>
  <c r="P52" i="15"/>
  <c r="Q30" i="15"/>
  <c r="Q25" i="15"/>
  <c r="Q27" i="15"/>
  <c r="Q29" i="15"/>
  <c r="Q15" i="15"/>
  <c r="Q17" i="15"/>
  <c r="Q19" i="15"/>
  <c r="G31" i="15"/>
  <c r="O31" i="15"/>
  <c r="Q28" i="15"/>
  <c r="Q26" i="15"/>
  <c r="Q24" i="15"/>
  <c r="P31" i="15"/>
  <c r="Q18" i="15"/>
  <c r="K31" i="15"/>
  <c r="Q14" i="15"/>
  <c r="Q16" i="15"/>
  <c r="H31" i="15"/>
  <c r="AI110" i="15"/>
  <c r="M31" i="15"/>
  <c r="Q44" i="15"/>
  <c r="Q22" i="15"/>
  <c r="P97" i="15"/>
  <c r="G108" i="15"/>
  <c r="AM45" i="15"/>
  <c r="AD80" i="15"/>
  <c r="AD87" i="15" s="1"/>
  <c r="AM83" i="15"/>
  <c r="AD104" i="15"/>
  <c r="AM104" i="15" s="1"/>
  <c r="N110" i="15"/>
  <c r="P80" i="15"/>
  <c r="L31" i="15"/>
  <c r="L107" i="15"/>
  <c r="P107" i="15" s="1"/>
  <c r="P86" i="15"/>
  <c r="AL110" i="15"/>
  <c r="Q23" i="15"/>
  <c r="G110" i="15"/>
  <c r="AM78" i="15"/>
  <c r="AD99" i="15"/>
  <c r="AM99" i="15" s="1"/>
  <c r="AK87" i="15"/>
  <c r="L87" i="15"/>
  <c r="L110" i="15" s="1"/>
  <c r="K110" i="15"/>
  <c r="J31" i="15"/>
  <c r="AJ87" i="15"/>
  <c r="AJ110" i="15" s="1"/>
  <c r="AJ94" i="15"/>
  <c r="AJ108" i="15" s="1"/>
  <c r="I87" i="15"/>
  <c r="I110" i="15" s="1"/>
  <c r="AH87" i="15"/>
  <c r="AH110" i="15" s="1"/>
  <c r="AH94" i="15"/>
  <c r="AH108" i="15" s="1"/>
  <c r="H94" i="15"/>
  <c r="H87" i="15"/>
  <c r="H110" i="15" s="1"/>
  <c r="P73" i="15"/>
  <c r="AK108" i="15"/>
  <c r="G44" i="17"/>
  <c r="AL22" i="17"/>
  <c r="AK22" i="17"/>
  <c r="AJ22" i="17"/>
  <c r="AI22" i="17"/>
  <c r="AH22" i="17"/>
  <c r="AG22" i="17"/>
  <c r="AF22" i="17"/>
  <c r="AE22" i="17"/>
  <c r="AD22" i="17"/>
  <c r="AM94" i="15" l="1"/>
  <c r="Q49" i="15"/>
  <c r="H53" i="15"/>
  <c r="Q41" i="15"/>
  <c r="Q38" i="15"/>
  <c r="Q45" i="15"/>
  <c r="Q50" i="15"/>
  <c r="AD110" i="15"/>
  <c r="AM52" i="15"/>
  <c r="L108" i="15"/>
  <c r="Q52" i="15"/>
  <c r="G53" i="15"/>
  <c r="O53" i="15"/>
  <c r="P53" i="15"/>
  <c r="K53" i="15"/>
  <c r="Q42" i="15"/>
  <c r="Q51" i="15"/>
  <c r="M53" i="15"/>
  <c r="Q43" i="15"/>
  <c r="J53" i="15"/>
  <c r="Q39" i="15"/>
  <c r="Q47" i="15"/>
  <c r="Q40" i="15"/>
  <c r="Q48" i="15"/>
  <c r="Q46" i="15"/>
  <c r="I53" i="15"/>
  <c r="P87" i="15"/>
  <c r="N53" i="15"/>
  <c r="L53" i="15"/>
  <c r="P101" i="15"/>
  <c r="H108" i="15"/>
  <c r="P94" i="15"/>
  <c r="AK110" i="15"/>
  <c r="AM80" i="15"/>
  <c r="AD101" i="15"/>
  <c r="M110" i="15"/>
  <c r="G23" i="17"/>
  <c r="G45" i="17" s="1"/>
  <c r="Q86" i="15" l="1"/>
  <c r="M88" i="15"/>
  <c r="Q80" i="15"/>
  <c r="P110" i="15"/>
  <c r="P88" i="15"/>
  <c r="Q87" i="15"/>
  <c r="Q75" i="15"/>
  <c r="Q83" i="15"/>
  <c r="O88" i="15"/>
  <c r="J88" i="15"/>
  <c r="Q85" i="15"/>
  <c r="Q78" i="15"/>
  <c r="Q77" i="15"/>
  <c r="Q82" i="15"/>
  <c r="Q81" i="15"/>
  <c r="Q84" i="15"/>
  <c r="N88" i="15"/>
  <c r="Q79" i="15"/>
  <c r="Q76" i="15"/>
  <c r="K88" i="15"/>
  <c r="Q74" i="15"/>
  <c r="G88" i="15"/>
  <c r="P108" i="15"/>
  <c r="Q101" i="15" s="1"/>
  <c r="Q73" i="15"/>
  <c r="L88" i="15"/>
  <c r="H88" i="15"/>
  <c r="I88" i="15"/>
  <c r="AM101" i="15"/>
  <c r="AD108" i="15"/>
  <c r="AM87" i="15"/>
  <c r="B17" i="4"/>
  <c r="AM110" i="15" l="1"/>
  <c r="Q94" i="15"/>
  <c r="H109" i="15"/>
  <c r="L109" i="15"/>
  <c r="AM108" i="15"/>
  <c r="Q108" i="15"/>
  <c r="P109" i="15"/>
  <c r="K109" i="15"/>
  <c r="Q105" i="15"/>
  <c r="Q99" i="15"/>
  <c r="I109" i="15"/>
  <c r="N109" i="15"/>
  <c r="O109" i="15"/>
  <c r="Q103" i="15"/>
  <c r="Q102" i="15"/>
  <c r="Q106" i="15"/>
  <c r="Q100" i="15"/>
  <c r="Q96" i="15"/>
  <c r="Q104" i="15"/>
  <c r="Q98" i="15"/>
  <c r="J109" i="15"/>
  <c r="Q95" i="15"/>
  <c r="Q107" i="15"/>
  <c r="Q97" i="15"/>
  <c r="M109" i="15"/>
  <c r="G109" i="15"/>
  <c r="AF23" i="17"/>
  <c r="AH23" i="17"/>
  <c r="AJ23" i="17"/>
  <c r="AK23" i="17"/>
  <c r="AL23" i="17"/>
  <c r="AD23" i="17"/>
  <c r="AE23" i="17"/>
  <c r="AM24" i="17"/>
  <c r="AM25" i="17"/>
  <c r="AM26" i="17"/>
  <c r="AM27" i="17"/>
  <c r="AM28" i="17"/>
  <c r="AM29" i="17"/>
  <c r="AM14" i="17"/>
  <c r="AM15" i="17"/>
  <c r="AM16" i="17"/>
  <c r="AM17" i="17"/>
  <c r="AM18" i="17"/>
  <c r="AM19" i="17"/>
  <c r="AM20" i="17"/>
  <c r="I22" i="17"/>
  <c r="I23" i="17" s="1"/>
  <c r="J22" i="17"/>
  <c r="J30" i="17" s="1"/>
  <c r="K22" i="17"/>
  <c r="L22" i="17"/>
  <c r="L23" i="17" s="1"/>
  <c r="M22" i="17"/>
  <c r="M23" i="17" s="1"/>
  <c r="N22" i="17"/>
  <c r="N23" i="17" s="1"/>
  <c r="O22" i="17"/>
  <c r="H23" i="17"/>
  <c r="H30" i="17" s="1"/>
  <c r="J23" i="17"/>
  <c r="K23" i="17"/>
  <c r="P24" i="17"/>
  <c r="P25" i="17"/>
  <c r="P26" i="17"/>
  <c r="P27" i="17"/>
  <c r="P28" i="17"/>
  <c r="P29" i="17"/>
  <c r="P14" i="17"/>
  <c r="P15" i="17"/>
  <c r="P16" i="17"/>
  <c r="P17" i="17"/>
  <c r="P18" i="17"/>
  <c r="P19" i="17"/>
  <c r="P20" i="17"/>
  <c r="B18" i="4"/>
  <c r="B21" i="4"/>
  <c r="B20" i="4"/>
  <c r="B19" i="4"/>
  <c r="I30" i="17" l="1"/>
  <c r="AM22" i="17"/>
  <c r="O23" i="17"/>
  <c r="O30" i="17" s="1"/>
  <c r="P22" i="17"/>
  <c r="M30" i="17"/>
  <c r="K30" i="17"/>
  <c r="AG23" i="17"/>
  <c r="AI23" i="17"/>
  <c r="AM23" i="17" s="1"/>
  <c r="AM30" i="17" s="1"/>
  <c r="L30" i="17"/>
  <c r="G30" i="17"/>
  <c r="N30" i="17"/>
  <c r="J131" i="9"/>
  <c r="J135" i="9" s="1"/>
  <c r="J452" i="9"/>
  <c r="J460" i="9" s="1"/>
  <c r="K451" i="9"/>
  <c r="K452" i="9" s="1"/>
  <c r="J451" i="9"/>
  <c r="K450" i="9"/>
  <c r="J450" i="9"/>
  <c r="K431" i="9"/>
  <c r="J431" i="9"/>
  <c r="K430" i="9"/>
  <c r="J430" i="9"/>
  <c r="K429" i="9"/>
  <c r="K432" i="9" s="1"/>
  <c r="J429" i="9"/>
  <c r="K391" i="9"/>
  <c r="J391" i="9"/>
  <c r="K390" i="9"/>
  <c r="J390" i="9"/>
  <c r="K389" i="9"/>
  <c r="J389" i="9"/>
  <c r="K388" i="9"/>
  <c r="J388" i="9"/>
  <c r="K387" i="9"/>
  <c r="J387" i="9"/>
  <c r="K386" i="9"/>
  <c r="J386" i="9"/>
  <c r="K385" i="9"/>
  <c r="J385" i="9"/>
  <c r="K354" i="9"/>
  <c r="J354" i="9"/>
  <c r="K353" i="9"/>
  <c r="J353" i="9"/>
  <c r="K352" i="9"/>
  <c r="J352" i="9"/>
  <c r="K351" i="9"/>
  <c r="K355" i="9" s="1"/>
  <c r="J351" i="9"/>
  <c r="K327" i="9"/>
  <c r="J327" i="9"/>
  <c r="K307" i="9"/>
  <c r="J307" i="9"/>
  <c r="K306" i="9"/>
  <c r="J306" i="9"/>
  <c r="K305" i="9"/>
  <c r="J305" i="9"/>
  <c r="K304" i="9"/>
  <c r="J304" i="9"/>
  <c r="K261" i="9"/>
  <c r="J261" i="9"/>
  <c r="K243" i="9"/>
  <c r="J243" i="9"/>
  <c r="K215" i="9"/>
  <c r="J215" i="9"/>
  <c r="K214" i="9"/>
  <c r="J214" i="9"/>
  <c r="K213" i="9"/>
  <c r="J213" i="9"/>
  <c r="K212" i="9"/>
  <c r="K216" i="9" s="1"/>
  <c r="J212" i="9"/>
  <c r="K176" i="9"/>
  <c r="J176" i="9"/>
  <c r="K162" i="9"/>
  <c r="J162" i="9"/>
  <c r="K157" i="9"/>
  <c r="J157" i="9"/>
  <c r="K134" i="9"/>
  <c r="J134" i="9"/>
  <c r="K133" i="9"/>
  <c r="J133" i="9"/>
  <c r="K132" i="9"/>
  <c r="J132" i="9"/>
  <c r="K131" i="9"/>
  <c r="K80" i="9"/>
  <c r="J80" i="9"/>
  <c r="K72" i="9"/>
  <c r="J72" i="9"/>
  <c r="K64" i="9"/>
  <c r="J64" i="9"/>
  <c r="K56" i="9"/>
  <c r="J56" i="9"/>
  <c r="K38" i="9"/>
  <c r="J38" i="9"/>
  <c r="Q38" i="14"/>
  <c r="Q39" i="14" s="1"/>
  <c r="Q47" i="14" s="1"/>
  <c r="Q49" i="14" s="1"/>
  <c r="R233" i="4"/>
  <c r="Q233" i="4"/>
  <c r="P233" i="4"/>
  <c r="R81" i="14"/>
  <c r="R87" i="14" s="1"/>
  <c r="R91" i="14" s="1"/>
  <c r="Q81" i="14"/>
  <c r="Q87" i="14" s="1"/>
  <c r="Q91" i="14" s="1"/>
  <c r="S236" i="4"/>
  <c r="R236" i="4"/>
  <c r="S235" i="4"/>
  <c r="R235" i="4"/>
  <c r="S234" i="4"/>
  <c r="R234" i="4"/>
  <c r="S233" i="4"/>
  <c r="S204" i="4"/>
  <c r="R72" i="14" s="1"/>
  <c r="R204" i="4"/>
  <c r="Q72" i="14" s="1"/>
  <c r="S184" i="4"/>
  <c r="R184" i="4"/>
  <c r="S183" i="4"/>
  <c r="R183" i="4"/>
  <c r="S182" i="4"/>
  <c r="R182" i="4"/>
  <c r="S181" i="4"/>
  <c r="R181" i="4"/>
  <c r="S145" i="4"/>
  <c r="S33" i="4" s="1"/>
  <c r="R23" i="14" s="1"/>
  <c r="R24" i="14" s="1"/>
  <c r="R34" i="14" s="1"/>
  <c r="R145" i="4"/>
  <c r="R33" i="4" s="1"/>
  <c r="Q23" i="14" s="1"/>
  <c r="Q24" i="14" s="1"/>
  <c r="Q34" i="14" s="1"/>
  <c r="S131" i="4"/>
  <c r="R131" i="4"/>
  <c r="S119" i="4"/>
  <c r="R60" i="14" s="1"/>
  <c r="R119" i="4"/>
  <c r="Q60" i="14" s="1"/>
  <c r="S94" i="4"/>
  <c r="R94" i="4"/>
  <c r="S93" i="4"/>
  <c r="R93" i="4"/>
  <c r="S92" i="4"/>
  <c r="R92" i="4"/>
  <c r="S91" i="4"/>
  <c r="R91" i="4"/>
  <c r="S66" i="4"/>
  <c r="S32" i="4" s="1"/>
  <c r="R66" i="4"/>
  <c r="R32" i="4" s="1"/>
  <c r="S58" i="4"/>
  <c r="R58" i="4"/>
  <c r="S46" i="4"/>
  <c r="R51" i="14" s="1"/>
  <c r="R46" i="4"/>
  <c r="Q51" i="14" s="1"/>
  <c r="S35" i="4"/>
  <c r="R38" i="14" s="1"/>
  <c r="R39" i="14" s="1"/>
  <c r="R47" i="14" s="1"/>
  <c r="R49" i="14" s="1"/>
  <c r="R35" i="4"/>
  <c r="S34" i="4"/>
  <c r="R34" i="4"/>
  <c r="S30" i="4"/>
  <c r="R30" i="4"/>
  <c r="S29" i="4"/>
  <c r="R29" i="4"/>
  <c r="S28" i="4"/>
  <c r="R28" i="4"/>
  <c r="P30" i="17" l="1"/>
  <c r="P23" i="17"/>
  <c r="Q77" i="14"/>
  <c r="Q79" i="14" s="1"/>
  <c r="R77" i="14"/>
  <c r="R79" i="14" s="1"/>
  <c r="S95" i="4"/>
  <c r="S15" i="4" s="1"/>
  <c r="K460" i="9"/>
  <c r="K17" i="9"/>
  <c r="S99" i="4"/>
  <c r="S103" i="4"/>
  <c r="J308" i="9"/>
  <c r="J312" i="9" s="1"/>
  <c r="J432" i="9"/>
  <c r="J216" i="9"/>
  <c r="J220" i="9" s="1"/>
  <c r="R21" i="4"/>
  <c r="R185" i="4"/>
  <c r="K308" i="9"/>
  <c r="S185" i="4"/>
  <c r="R237" i="4"/>
  <c r="J355" i="9"/>
  <c r="J361" i="9" s="1"/>
  <c r="J392" i="9"/>
  <c r="R95" i="4"/>
  <c r="S237" i="4"/>
  <c r="K392" i="9"/>
  <c r="S101" i="4"/>
  <c r="S21" i="4"/>
  <c r="K135" i="9"/>
  <c r="K11" i="9" s="1"/>
  <c r="J222" i="9"/>
  <c r="J12" i="9"/>
  <c r="K316" i="9"/>
  <c r="K314" i="9"/>
  <c r="K13" i="9"/>
  <c r="K312" i="9"/>
  <c r="K222" i="9"/>
  <c r="K12" i="9"/>
  <c r="K220" i="9"/>
  <c r="K224" i="9"/>
  <c r="J139" i="9"/>
  <c r="J141" i="9"/>
  <c r="J11" i="9"/>
  <c r="J143" i="9"/>
  <c r="K139" i="9"/>
  <c r="J13" i="9"/>
  <c r="J363" i="9"/>
  <c r="J396" i="9"/>
  <c r="J15" i="9"/>
  <c r="J398" i="9"/>
  <c r="K363" i="9"/>
  <c r="K361" i="9"/>
  <c r="K359" i="9"/>
  <c r="K14" i="9"/>
  <c r="K15" i="9"/>
  <c r="K398" i="9"/>
  <c r="K396" i="9"/>
  <c r="J456" i="9"/>
  <c r="K456" i="9"/>
  <c r="J458" i="9"/>
  <c r="K458" i="9"/>
  <c r="J17" i="9"/>
  <c r="S17" i="4"/>
  <c r="S20" i="4"/>
  <c r="R19" i="4"/>
  <c r="S19" i="4"/>
  <c r="R18" i="4"/>
  <c r="R20" i="4"/>
  <c r="S18" i="4"/>
  <c r="R191" i="4" l="1"/>
  <c r="S191" i="4"/>
  <c r="S193" i="4"/>
  <c r="R193" i="4"/>
  <c r="R16" i="4"/>
  <c r="R15" i="4"/>
  <c r="R103" i="4"/>
  <c r="R99" i="4"/>
  <c r="R101" i="4"/>
  <c r="J314" i="9"/>
  <c r="J316" i="9"/>
  <c r="S16" i="4"/>
  <c r="S22" i="4" s="1"/>
  <c r="R10" i="14" s="1"/>
  <c r="R19" i="14" s="1"/>
  <c r="R17" i="4"/>
  <c r="J14" i="9"/>
  <c r="K143" i="9"/>
  <c r="J224" i="9"/>
  <c r="J359" i="9"/>
  <c r="K141" i="9"/>
  <c r="K18" i="9"/>
  <c r="J18" i="9"/>
  <c r="S24" i="4" l="1"/>
  <c r="R22" i="4"/>
  <c r="Q10" i="14" s="1"/>
  <c r="Q19" i="14" s="1"/>
  <c r="S25" i="4"/>
  <c r="S26" i="4"/>
  <c r="G450" i="9"/>
  <c r="H450" i="9"/>
  <c r="I450" i="9"/>
  <c r="G451" i="9"/>
  <c r="H451" i="9"/>
  <c r="I451" i="9"/>
  <c r="I452" i="9" s="1"/>
  <c r="I17" i="9" s="1"/>
  <c r="G429" i="9"/>
  <c r="H429" i="9"/>
  <c r="I429" i="9"/>
  <c r="G430" i="9"/>
  <c r="G432" i="9" s="1"/>
  <c r="H430" i="9"/>
  <c r="I430" i="9"/>
  <c r="I432" i="9" s="1"/>
  <c r="G431" i="9"/>
  <c r="H431" i="9"/>
  <c r="I431" i="9"/>
  <c r="G385" i="9"/>
  <c r="H385" i="9"/>
  <c r="I385" i="9"/>
  <c r="G386" i="9"/>
  <c r="H386" i="9"/>
  <c r="I386" i="9"/>
  <c r="G387" i="9"/>
  <c r="G392" i="9" s="1"/>
  <c r="G15" i="9" s="1"/>
  <c r="H387" i="9"/>
  <c r="I387" i="9"/>
  <c r="G388" i="9"/>
  <c r="H388" i="9"/>
  <c r="I388" i="9"/>
  <c r="G389" i="9"/>
  <c r="H389" i="9"/>
  <c r="I389" i="9"/>
  <c r="G390" i="9"/>
  <c r="H390" i="9"/>
  <c r="I390" i="9"/>
  <c r="G391" i="9"/>
  <c r="H391" i="9"/>
  <c r="H392" i="9" s="1"/>
  <c r="I391" i="9"/>
  <c r="G351" i="9"/>
  <c r="H351" i="9"/>
  <c r="I351" i="9"/>
  <c r="G352" i="9"/>
  <c r="H352" i="9"/>
  <c r="I352" i="9"/>
  <c r="G353" i="9"/>
  <c r="H353" i="9"/>
  <c r="I353" i="9"/>
  <c r="G354" i="9"/>
  <c r="H354" i="9"/>
  <c r="I354" i="9"/>
  <c r="G327" i="9"/>
  <c r="H327" i="9"/>
  <c r="I327" i="9"/>
  <c r="G304" i="9"/>
  <c r="H304" i="9"/>
  <c r="I304" i="9"/>
  <c r="G305" i="9"/>
  <c r="H305" i="9"/>
  <c r="I305" i="9"/>
  <c r="G306" i="9"/>
  <c r="H306" i="9"/>
  <c r="I306" i="9"/>
  <c r="G307" i="9"/>
  <c r="H307" i="9"/>
  <c r="I307" i="9"/>
  <c r="G261" i="9"/>
  <c r="H261" i="9"/>
  <c r="I261" i="9"/>
  <c r="G243" i="9"/>
  <c r="H243" i="9"/>
  <c r="I243" i="9"/>
  <c r="G212" i="9"/>
  <c r="H212" i="9"/>
  <c r="I212" i="9"/>
  <c r="I216" i="9" s="1"/>
  <c r="I12" i="9" s="1"/>
  <c r="G213" i="9"/>
  <c r="H213" i="9"/>
  <c r="I213" i="9"/>
  <c r="G214" i="9"/>
  <c r="H214" i="9"/>
  <c r="I214" i="9"/>
  <c r="G215" i="9"/>
  <c r="H215" i="9"/>
  <c r="I215" i="9"/>
  <c r="G176" i="9"/>
  <c r="H176" i="9"/>
  <c r="I176" i="9"/>
  <c r="G162" i="9"/>
  <c r="H162" i="9"/>
  <c r="I162" i="9"/>
  <c r="G157" i="9"/>
  <c r="H157" i="9"/>
  <c r="I157" i="9"/>
  <c r="G131" i="9"/>
  <c r="H131" i="9"/>
  <c r="I131" i="9"/>
  <c r="G132" i="9"/>
  <c r="H132" i="9"/>
  <c r="I132" i="9"/>
  <c r="G133" i="9"/>
  <c r="H133" i="9"/>
  <c r="I133" i="9"/>
  <c r="G134" i="9"/>
  <c r="H134" i="9"/>
  <c r="I134" i="9"/>
  <c r="G80" i="9"/>
  <c r="H80" i="9"/>
  <c r="I80" i="9"/>
  <c r="G72" i="9"/>
  <c r="H72" i="9"/>
  <c r="I72" i="9"/>
  <c r="G64" i="9"/>
  <c r="H64" i="9"/>
  <c r="I64" i="9"/>
  <c r="G56" i="9"/>
  <c r="H56" i="9"/>
  <c r="I56" i="9"/>
  <c r="G38" i="9"/>
  <c r="H38" i="9"/>
  <c r="I38" i="9"/>
  <c r="AF58" i="17"/>
  <c r="AG58" i="17" s="1"/>
  <c r="I58" i="17"/>
  <c r="J58" i="17" s="1"/>
  <c r="AF57" i="17"/>
  <c r="AG57" i="17" s="1"/>
  <c r="I57" i="17"/>
  <c r="J57" i="17" s="1"/>
  <c r="R24" i="4" l="1"/>
  <c r="R25" i="4"/>
  <c r="R26" i="4"/>
  <c r="I135" i="9"/>
  <c r="I11" i="9" s="1"/>
  <c r="G452" i="9"/>
  <c r="I355" i="9"/>
  <c r="H15" i="9"/>
  <c r="H398" i="9"/>
  <c r="H396" i="9"/>
  <c r="G17" i="9"/>
  <c r="G460" i="9"/>
  <c r="G458" i="9"/>
  <c r="G456" i="9"/>
  <c r="I141" i="9"/>
  <c r="I392" i="9"/>
  <c r="G396" i="9"/>
  <c r="I458" i="9"/>
  <c r="I222" i="9"/>
  <c r="I308" i="9"/>
  <c r="H216" i="9"/>
  <c r="I224" i="9"/>
  <c r="H135" i="9"/>
  <c r="I143" i="9"/>
  <c r="G216" i="9"/>
  <c r="G398" i="9"/>
  <c r="H452" i="9"/>
  <c r="I460" i="9"/>
  <c r="G135" i="9"/>
  <c r="I220" i="9"/>
  <c r="H432" i="9"/>
  <c r="I139" i="9"/>
  <c r="H308" i="9"/>
  <c r="H355" i="9"/>
  <c r="I363" i="9"/>
  <c r="I456" i="9"/>
  <c r="G308" i="9"/>
  <c r="G355" i="9"/>
  <c r="F134" i="9"/>
  <c r="D91" i="4"/>
  <c r="I14" i="9" l="1"/>
  <c r="I359" i="9"/>
  <c r="I361" i="9"/>
  <c r="G13" i="9"/>
  <c r="G314" i="9"/>
  <c r="G312" i="9"/>
  <c r="G316" i="9"/>
  <c r="G11" i="9"/>
  <c r="G143" i="9"/>
  <c r="G141" i="9"/>
  <c r="G139" i="9"/>
  <c r="H12" i="9"/>
  <c r="H220" i="9"/>
  <c r="H224" i="9"/>
  <c r="H222" i="9"/>
  <c r="I13" i="9"/>
  <c r="I18" i="9" s="1"/>
  <c r="I316" i="9"/>
  <c r="I314" i="9"/>
  <c r="I312" i="9"/>
  <c r="H17" i="9"/>
  <c r="H456" i="9"/>
  <c r="H460" i="9"/>
  <c r="H458" i="9"/>
  <c r="G14" i="9"/>
  <c r="G361" i="9"/>
  <c r="G359" i="9"/>
  <c r="G363" i="9"/>
  <c r="H11" i="9"/>
  <c r="H139" i="9"/>
  <c r="H143" i="9"/>
  <c r="H141" i="9"/>
  <c r="H14" i="9"/>
  <c r="H363" i="9"/>
  <c r="H361" i="9"/>
  <c r="H359" i="9"/>
  <c r="H13" i="9"/>
  <c r="H316" i="9"/>
  <c r="H314" i="9"/>
  <c r="H312" i="9"/>
  <c r="G12" i="9"/>
  <c r="G220" i="9"/>
  <c r="G224" i="9"/>
  <c r="G222" i="9"/>
  <c r="I15" i="9"/>
  <c r="I396" i="9"/>
  <c r="I398" i="9"/>
  <c r="F42" i="20"/>
  <c r="F41" i="20"/>
  <c r="F40" i="20"/>
  <c r="F39" i="20"/>
  <c r="G18" i="9" l="1"/>
  <c r="H18" i="9"/>
  <c r="AF70" i="17"/>
  <c r="AG70" i="17" s="1"/>
  <c r="I70" i="17"/>
  <c r="J70" i="17" s="1"/>
  <c r="AF69" i="17"/>
  <c r="AG69" i="17" s="1"/>
  <c r="I69" i="17"/>
  <c r="J69" i="17" s="1"/>
  <c r="AF68" i="17"/>
  <c r="AG68" i="17" s="1"/>
  <c r="I68" i="17"/>
  <c r="J68" i="17" s="1"/>
  <c r="AF67" i="17"/>
  <c r="AG67" i="17" s="1"/>
  <c r="I67" i="17"/>
  <c r="J67" i="17" s="1"/>
  <c r="AF66" i="17"/>
  <c r="AG66" i="17" s="1"/>
  <c r="I66" i="17"/>
  <c r="J66" i="17" s="1"/>
  <c r="AF65" i="17"/>
  <c r="AG65" i="17" s="1"/>
  <c r="I65" i="17"/>
  <c r="J65" i="17" s="1"/>
  <c r="AF64" i="17"/>
  <c r="AG64" i="17" s="1"/>
  <c r="I64" i="17"/>
  <c r="J64" i="17" s="1"/>
  <c r="G80" i="17" s="1"/>
  <c r="AF63" i="17"/>
  <c r="AG63" i="17" s="1"/>
  <c r="I63" i="17"/>
  <c r="J63" i="17" s="1"/>
  <c r="G79" i="17" s="1"/>
  <c r="AF62" i="17"/>
  <c r="AG62" i="17" s="1"/>
  <c r="I62" i="17"/>
  <c r="J62" i="17" s="1"/>
  <c r="AF61" i="17"/>
  <c r="AG61" i="17" s="1"/>
  <c r="I61" i="17"/>
  <c r="J61" i="17" s="1"/>
  <c r="AF60" i="17"/>
  <c r="AG60" i="17" s="1"/>
  <c r="I60" i="17"/>
  <c r="J60" i="17" s="1"/>
  <c r="AF59" i="17"/>
  <c r="AG59" i="17" s="1"/>
  <c r="AD73" i="17" s="1"/>
  <c r="I59" i="17"/>
  <c r="J59" i="17" s="1"/>
  <c r="AL35" i="17"/>
  <c r="AK35" i="17"/>
  <c r="AJ35" i="17"/>
  <c r="AI35" i="17"/>
  <c r="AH35" i="17"/>
  <c r="AG35" i="17"/>
  <c r="AF35" i="17"/>
  <c r="AE35" i="17"/>
  <c r="AD35" i="17"/>
  <c r="O35" i="17"/>
  <c r="N35" i="17"/>
  <c r="M35" i="17"/>
  <c r="L35" i="17"/>
  <c r="K35" i="17"/>
  <c r="J35" i="17"/>
  <c r="I35" i="17"/>
  <c r="H35" i="17"/>
  <c r="G35" i="17"/>
  <c r="I84" i="21"/>
  <c r="F84" i="21"/>
  <c r="I61" i="21"/>
  <c r="F61" i="21"/>
  <c r="J51" i="17" l="1"/>
  <c r="J39" i="17"/>
  <c r="J40" i="17"/>
  <c r="AF42" i="17"/>
  <c r="AF39" i="17"/>
  <c r="AF40" i="17"/>
  <c r="K39" i="17"/>
  <c r="K40" i="17"/>
  <c r="AG91" i="17"/>
  <c r="AG39" i="17"/>
  <c r="AG40" i="17"/>
  <c r="M42" i="17"/>
  <c r="M40" i="17"/>
  <c r="M39" i="17"/>
  <c r="AI45" i="17"/>
  <c r="AI40" i="17"/>
  <c r="AI39" i="17"/>
  <c r="I50" i="17"/>
  <c r="I85" i="17" s="1"/>
  <c r="I106" i="17" s="1"/>
  <c r="I40" i="17"/>
  <c r="I39" i="17"/>
  <c r="AE91" i="17"/>
  <c r="AE40" i="17"/>
  <c r="AE39" i="17"/>
  <c r="L41" i="17"/>
  <c r="L76" i="17" s="1"/>
  <c r="L97" i="17" s="1"/>
  <c r="L39" i="17"/>
  <c r="L40" i="17"/>
  <c r="N38" i="17"/>
  <c r="N73" i="17" s="1"/>
  <c r="N40" i="17"/>
  <c r="N39" i="17"/>
  <c r="AJ41" i="17"/>
  <c r="AJ40" i="17"/>
  <c r="AJ39" i="17"/>
  <c r="AH46" i="17"/>
  <c r="AH81" i="17" s="1"/>
  <c r="AH39" i="17"/>
  <c r="AH40" i="17"/>
  <c r="G40" i="17"/>
  <c r="G39" i="17"/>
  <c r="G74" i="17" s="1"/>
  <c r="O45" i="17"/>
  <c r="O80" i="17" s="1"/>
  <c r="O101" i="17" s="1"/>
  <c r="O40" i="17"/>
  <c r="O39" i="17"/>
  <c r="AK50" i="17"/>
  <c r="AK40" i="17"/>
  <c r="AK39" i="17"/>
  <c r="H41" i="17"/>
  <c r="H76" i="17" s="1"/>
  <c r="H97" i="17" s="1"/>
  <c r="H40" i="17"/>
  <c r="H39" i="17"/>
  <c r="AD42" i="17"/>
  <c r="AD40" i="17"/>
  <c r="AD75" i="17" s="1"/>
  <c r="AD39" i="17"/>
  <c r="AL50" i="17"/>
  <c r="AL40" i="17"/>
  <c r="AL39" i="17"/>
  <c r="AL42" i="17"/>
  <c r="AJ91" i="17"/>
  <c r="L38" i="17"/>
  <c r="L73" i="17" s="1"/>
  <c r="H38" i="17"/>
  <c r="H73" i="17" s="1"/>
  <c r="L42" i="17"/>
  <c r="L77" i="17" s="1"/>
  <c r="L98" i="17" s="1"/>
  <c r="Q15" i="17"/>
  <c r="AH38" i="17"/>
  <c r="AI38" i="17"/>
  <c r="L43" i="17"/>
  <c r="L78" i="17" s="1"/>
  <c r="L99" i="17" s="1"/>
  <c r="AJ38" i="17"/>
  <c r="N43" i="17"/>
  <c r="N78" i="17" s="1"/>
  <c r="N99" i="17" s="1"/>
  <c r="AI47" i="17"/>
  <c r="AL38" i="17"/>
  <c r="L44" i="17"/>
  <c r="L79" i="17" s="1"/>
  <c r="L100" i="17" s="1"/>
  <c r="N44" i="17"/>
  <c r="N79" i="17" s="1"/>
  <c r="N100" i="17" s="1"/>
  <c r="J42" i="17"/>
  <c r="J77" i="17" s="1"/>
  <c r="J98" i="17" s="1"/>
  <c r="AL43" i="17"/>
  <c r="AF91" i="17"/>
  <c r="AD91" i="17"/>
  <c r="AK91" i="17"/>
  <c r="J43" i="17"/>
  <c r="J78" i="17" s="1"/>
  <c r="J99" i="17" s="1"/>
  <c r="AI44" i="17"/>
  <c r="AI48" i="17"/>
  <c r="AL91" i="17"/>
  <c r="AI91" i="17"/>
  <c r="AD94" i="17"/>
  <c r="M41" i="17"/>
  <c r="M76" i="17" s="1"/>
  <c r="M97" i="17" s="1"/>
  <c r="AF38" i="17"/>
  <c r="M43" i="17"/>
  <c r="M78" i="17" s="1"/>
  <c r="M99" i="17" s="1"/>
  <c r="AG47" i="17"/>
  <c r="AG48" i="17"/>
  <c r="AG49" i="17"/>
  <c r="AG50" i="17"/>
  <c r="AG51" i="17"/>
  <c r="G48" i="17"/>
  <c r="G83" i="17" s="1"/>
  <c r="I49" i="17"/>
  <c r="I84" i="17" s="1"/>
  <c r="I105" i="17" s="1"/>
  <c r="AE51" i="17"/>
  <c r="M77" i="17"/>
  <c r="M98" i="17" s="1"/>
  <c r="J86" i="17"/>
  <c r="J107" i="17" s="1"/>
  <c r="L91" i="17"/>
  <c r="L46" i="17"/>
  <c r="L81" i="17" s="1"/>
  <c r="L102" i="17" s="1"/>
  <c r="L47" i="17"/>
  <c r="L82" i="17" s="1"/>
  <c r="L103" i="17" s="1"/>
  <c r="L48" i="17"/>
  <c r="L83" i="17" s="1"/>
  <c r="L104" i="17" s="1"/>
  <c r="L49" i="17"/>
  <c r="L84" i="17" s="1"/>
  <c r="L105" i="17" s="1"/>
  <c r="L50" i="17"/>
  <c r="L85" i="17" s="1"/>
  <c r="L106" i="17" s="1"/>
  <c r="L51" i="17"/>
  <c r="L86" i="17" s="1"/>
  <c r="L107" i="17" s="1"/>
  <c r="AH48" i="17"/>
  <c r="AH83" i="17" s="1"/>
  <c r="AH49" i="17"/>
  <c r="AH41" i="17"/>
  <c r="AH50" i="17"/>
  <c r="AH42" i="17"/>
  <c r="AH51" i="17"/>
  <c r="AH45" i="17"/>
  <c r="I38" i="17"/>
  <c r="I73" i="17" s="1"/>
  <c r="AK38" i="17"/>
  <c r="AK73" i="17" s="1"/>
  <c r="AL41" i="17"/>
  <c r="AD43" i="17"/>
  <c r="AD78" i="17" s="1"/>
  <c r="AF44" i="17"/>
  <c r="L45" i="17"/>
  <c r="L80" i="17" s="1"/>
  <c r="L101" i="17" s="1"/>
  <c r="H46" i="17"/>
  <c r="H81" i="17" s="1"/>
  <c r="H102" i="17" s="1"/>
  <c r="G47" i="17"/>
  <c r="G82" i="17" s="1"/>
  <c r="H48" i="17"/>
  <c r="H83" i="17" s="1"/>
  <c r="H104" i="17" s="1"/>
  <c r="AD50" i="17"/>
  <c r="AL51" i="17"/>
  <c r="K45" i="17"/>
  <c r="K80" i="17" s="1"/>
  <c r="K101" i="17" s="1"/>
  <c r="K46" i="17"/>
  <c r="K81" i="17" s="1"/>
  <c r="K102" i="17" s="1"/>
  <c r="K47" i="17"/>
  <c r="K82" i="17" s="1"/>
  <c r="K103" i="17" s="1"/>
  <c r="K48" i="17"/>
  <c r="K83" i="17" s="1"/>
  <c r="K104" i="17" s="1"/>
  <c r="K49" i="17"/>
  <c r="K84" i="17" s="1"/>
  <c r="K105" i="17" s="1"/>
  <c r="K50" i="17"/>
  <c r="K85" i="17" s="1"/>
  <c r="K106" i="17" s="1"/>
  <c r="AK41" i="17"/>
  <c r="AK76" i="17" s="1"/>
  <c r="AK97" i="17" s="1"/>
  <c r="AE44" i="17"/>
  <c r="M91" i="17"/>
  <c r="M47" i="17"/>
  <c r="M82" i="17" s="1"/>
  <c r="M103" i="17" s="1"/>
  <c r="M48" i="17"/>
  <c r="M83" i="17" s="1"/>
  <c r="M104" i="17" s="1"/>
  <c r="M49" i="17"/>
  <c r="M84" i="17" s="1"/>
  <c r="M105" i="17" s="1"/>
  <c r="M50" i="17"/>
  <c r="M85" i="17" s="1"/>
  <c r="M106" i="17" s="1"/>
  <c r="M51" i="17"/>
  <c r="M86" i="17" s="1"/>
  <c r="M107" i="17" s="1"/>
  <c r="AI49" i="17"/>
  <c r="AI41" i="17"/>
  <c r="AI50" i="17"/>
  <c r="AI42" i="17"/>
  <c r="AI51" i="17"/>
  <c r="AI43" i="17"/>
  <c r="AI46" i="17"/>
  <c r="J38" i="17"/>
  <c r="J73" i="17" s="1"/>
  <c r="AE43" i="17"/>
  <c r="AG44" i="17"/>
  <c r="M45" i="17"/>
  <c r="M80" i="17" s="1"/>
  <c r="M101" i="17" s="1"/>
  <c r="M46" i="17"/>
  <c r="M81" i="17" s="1"/>
  <c r="M102" i="17" s="1"/>
  <c r="I47" i="17"/>
  <c r="I82" i="17" s="1"/>
  <c r="I103" i="17" s="1"/>
  <c r="O48" i="17"/>
  <c r="O83" i="17" s="1"/>
  <c r="O104" i="17" s="1"/>
  <c r="N91" i="17"/>
  <c r="N48" i="17"/>
  <c r="N83" i="17" s="1"/>
  <c r="N104" i="17" s="1"/>
  <c r="N49" i="17"/>
  <c r="N84" i="17" s="1"/>
  <c r="N105" i="17" s="1"/>
  <c r="N41" i="17"/>
  <c r="N50" i="17"/>
  <c r="N85" i="17" s="1"/>
  <c r="N106" i="17" s="1"/>
  <c r="N42" i="17"/>
  <c r="N77" i="17" s="1"/>
  <c r="N98" i="17" s="1"/>
  <c r="N51" i="17"/>
  <c r="N86" i="17" s="1"/>
  <c r="N107" i="17" s="1"/>
  <c r="N45" i="17"/>
  <c r="N80" i="17" s="1"/>
  <c r="N101" i="17" s="1"/>
  <c r="AJ50" i="17"/>
  <c r="AJ42" i="17"/>
  <c r="AJ51" i="17"/>
  <c r="AJ43" i="17"/>
  <c r="AJ44" i="17"/>
  <c r="AJ45" i="17"/>
  <c r="AJ47" i="17"/>
  <c r="K38" i="17"/>
  <c r="K73" i="17" s="1"/>
  <c r="AE38" i="17"/>
  <c r="AE73" i="17" s="1"/>
  <c r="AD41" i="17"/>
  <c r="AF43" i="17"/>
  <c r="K44" i="17"/>
  <c r="K79" i="17" s="1"/>
  <c r="K100" i="17" s="1"/>
  <c r="AH44" i="17"/>
  <c r="N46" i="17"/>
  <c r="N81" i="17" s="1"/>
  <c r="N102" i="17" s="1"/>
  <c r="N47" i="17"/>
  <c r="N82" i="17" s="1"/>
  <c r="N103" i="17" s="1"/>
  <c r="AJ49" i="17"/>
  <c r="AH102" i="17"/>
  <c r="AH104" i="17"/>
  <c r="O91" i="17"/>
  <c r="O49" i="17"/>
  <c r="O84" i="17" s="1"/>
  <c r="O105" i="17" s="1"/>
  <c r="O41" i="17"/>
  <c r="O76" i="17" s="1"/>
  <c r="O97" i="17" s="1"/>
  <c r="O50" i="17"/>
  <c r="O85" i="17" s="1"/>
  <c r="O106" i="17" s="1"/>
  <c r="O42" i="17"/>
  <c r="O77" i="17" s="1"/>
  <c r="O98" i="17" s="1"/>
  <c r="O51" i="17"/>
  <c r="O86" i="17" s="1"/>
  <c r="O107" i="17" s="1"/>
  <c r="O43" i="17"/>
  <c r="O78" i="17" s="1"/>
  <c r="O99" i="17" s="1"/>
  <c r="O46" i="17"/>
  <c r="O81" i="17" s="1"/>
  <c r="O102" i="17" s="1"/>
  <c r="AE42" i="17"/>
  <c r="AE77" i="17" s="1"/>
  <c r="AG43" i="17"/>
  <c r="G49" i="17"/>
  <c r="G84" i="17" s="1"/>
  <c r="G41" i="17"/>
  <c r="G76" i="17" s="1"/>
  <c r="G50" i="17"/>
  <c r="G85" i="17" s="1"/>
  <c r="G42" i="17"/>
  <c r="G77" i="17" s="1"/>
  <c r="G91" i="17"/>
  <c r="G51" i="17"/>
  <c r="G86" i="17" s="1"/>
  <c r="G43" i="17"/>
  <c r="G78" i="17" s="1"/>
  <c r="G46" i="17"/>
  <c r="G81" i="17" s="1"/>
  <c r="AK51" i="17"/>
  <c r="AK43" i="17"/>
  <c r="AK44" i="17"/>
  <c r="AK45" i="17"/>
  <c r="AK46" i="17"/>
  <c r="AK47" i="17"/>
  <c r="AK48" i="17"/>
  <c r="I41" i="17"/>
  <c r="I76" i="17" s="1"/>
  <c r="I97" i="17" s="1"/>
  <c r="AE41" i="17"/>
  <c r="AF45" i="17"/>
  <c r="O47" i="17"/>
  <c r="O82" i="17" s="1"/>
  <c r="O103" i="17" s="1"/>
  <c r="AK49" i="17"/>
  <c r="H50" i="17"/>
  <c r="H85" i="17" s="1"/>
  <c r="H106" i="17" s="1"/>
  <c r="H42" i="17"/>
  <c r="H91" i="17"/>
  <c r="H51" i="17"/>
  <c r="H86" i="17" s="1"/>
  <c r="H107" i="17" s="1"/>
  <c r="H43" i="17"/>
  <c r="H78" i="17" s="1"/>
  <c r="H99" i="17" s="1"/>
  <c r="H44" i="17"/>
  <c r="H79" i="17" s="1"/>
  <c r="H100" i="17" s="1"/>
  <c r="H45" i="17"/>
  <c r="H47" i="17"/>
  <c r="H82" i="17" s="1"/>
  <c r="H103" i="17" s="1"/>
  <c r="AD44" i="17"/>
  <c r="AD45" i="17"/>
  <c r="AD46" i="17"/>
  <c r="AD47" i="17"/>
  <c r="AD48" i="17"/>
  <c r="AD49" i="17"/>
  <c r="AD84" i="17" s="1"/>
  <c r="AL44" i="17"/>
  <c r="AL45" i="17"/>
  <c r="AL46" i="17"/>
  <c r="AL47" i="17"/>
  <c r="AL48" i="17"/>
  <c r="AL49" i="17"/>
  <c r="M38" i="17"/>
  <c r="AG38" i="17"/>
  <c r="AG73" i="17" s="1"/>
  <c r="J41" i="17"/>
  <c r="J76" i="17" s="1"/>
  <c r="J97" i="17" s="1"/>
  <c r="AF41" i="17"/>
  <c r="AF76" i="17" s="1"/>
  <c r="I42" i="17"/>
  <c r="I77" i="17" s="1"/>
  <c r="I98" i="17" s="1"/>
  <c r="K43" i="17"/>
  <c r="K78" i="17" s="1"/>
  <c r="K99" i="17" s="1"/>
  <c r="AH43" i="17"/>
  <c r="M44" i="17"/>
  <c r="M79" i="17" s="1"/>
  <c r="M100" i="17" s="1"/>
  <c r="AG45" i="17"/>
  <c r="AG46" i="17"/>
  <c r="AH47" i="17"/>
  <c r="AJ48" i="17"/>
  <c r="K41" i="17"/>
  <c r="K76" i="17" s="1"/>
  <c r="K97" i="17" s="1"/>
  <c r="AG41" i="17"/>
  <c r="AG42" i="17"/>
  <c r="K51" i="17"/>
  <c r="K86" i="17" s="1"/>
  <c r="K107" i="17" s="1"/>
  <c r="I91" i="17"/>
  <c r="I51" i="17"/>
  <c r="I86" i="17" s="1"/>
  <c r="I107" i="17" s="1"/>
  <c r="I43" i="17"/>
  <c r="I78" i="17" s="1"/>
  <c r="I99" i="17" s="1"/>
  <c r="I44" i="17"/>
  <c r="I79" i="17" s="1"/>
  <c r="I100" i="17" s="1"/>
  <c r="I45" i="17"/>
  <c r="I80" i="17" s="1"/>
  <c r="I101" i="17" s="1"/>
  <c r="I46" i="17"/>
  <c r="I81" i="17" s="1"/>
  <c r="I102" i="17" s="1"/>
  <c r="I48" i="17"/>
  <c r="I83" i="17" s="1"/>
  <c r="I104" i="17" s="1"/>
  <c r="AE45" i="17"/>
  <c r="AE46" i="17"/>
  <c r="AE47" i="17"/>
  <c r="AE82" i="17" s="1"/>
  <c r="AE48" i="17"/>
  <c r="AE49" i="17"/>
  <c r="AE50" i="17"/>
  <c r="J91" i="17"/>
  <c r="J44" i="17"/>
  <c r="J79" i="17" s="1"/>
  <c r="J100" i="17" s="1"/>
  <c r="J45" i="17"/>
  <c r="J80" i="17" s="1"/>
  <c r="J101" i="17" s="1"/>
  <c r="J46" i="17"/>
  <c r="J81" i="17" s="1"/>
  <c r="J102" i="17" s="1"/>
  <c r="J47" i="17"/>
  <c r="J82" i="17" s="1"/>
  <c r="J103" i="17" s="1"/>
  <c r="J48" i="17"/>
  <c r="J83" i="17" s="1"/>
  <c r="J104" i="17" s="1"/>
  <c r="J49" i="17"/>
  <c r="J84" i="17" s="1"/>
  <c r="J105" i="17" s="1"/>
  <c r="AF46" i="17"/>
  <c r="AF47" i="17"/>
  <c r="AF48" i="17"/>
  <c r="AF49" i="17"/>
  <c r="AF84" i="17" s="1"/>
  <c r="AF105" i="17" s="1"/>
  <c r="AF50" i="17"/>
  <c r="AF51" i="17"/>
  <c r="G38" i="17"/>
  <c r="G73" i="17" s="1"/>
  <c r="O38" i="17"/>
  <c r="K42" i="17"/>
  <c r="AK42" i="17"/>
  <c r="O44" i="17"/>
  <c r="O79" i="17" s="1"/>
  <c r="O100" i="17" s="1"/>
  <c r="AJ46" i="17"/>
  <c r="H49" i="17"/>
  <c r="H84" i="17" s="1"/>
  <c r="H105" i="17" s="1"/>
  <c r="J50" i="17"/>
  <c r="J85" i="17" s="1"/>
  <c r="J106" i="17" s="1"/>
  <c r="AD51" i="17"/>
  <c r="AD86" i="17" s="1"/>
  <c r="H80" i="17"/>
  <c r="H101" i="17" s="1"/>
  <c r="T83" i="21"/>
  <c r="T82" i="21"/>
  <c r="T81" i="21"/>
  <c r="T80" i="21"/>
  <c r="T79" i="21"/>
  <c r="T78" i="21"/>
  <c r="T77" i="21"/>
  <c r="T76" i="21"/>
  <c r="T75" i="21"/>
  <c r="T54" i="21"/>
  <c r="T55" i="21"/>
  <c r="T56" i="21"/>
  <c r="T57" i="21"/>
  <c r="T58" i="21"/>
  <c r="T59" i="21"/>
  <c r="T60" i="21"/>
  <c r="T53" i="21"/>
  <c r="AH82" i="17" l="1"/>
  <c r="AH103" i="17" s="1"/>
  <c r="AE84" i="17"/>
  <c r="AE105" i="17" s="1"/>
  <c r="AJ83" i="17"/>
  <c r="AJ104" i="17" s="1"/>
  <c r="AK84" i="17"/>
  <c r="AK105" i="17" s="1"/>
  <c r="AJ84" i="17"/>
  <c r="AJ105" i="17" s="1"/>
  <c r="AH86" i="17"/>
  <c r="AH107" i="17" s="1"/>
  <c r="AI82" i="17"/>
  <c r="AI103" i="17" s="1"/>
  <c r="AE83" i="17"/>
  <c r="AM83" i="17" s="1"/>
  <c r="AH85" i="17"/>
  <c r="AH106" i="17" s="1"/>
  <c r="AG86" i="17"/>
  <c r="AG107" i="17" s="1"/>
  <c r="AJ82" i="17"/>
  <c r="AJ103" i="17" s="1"/>
  <c r="AF86" i="17"/>
  <c r="AF107" i="17" s="1"/>
  <c r="AF85" i="17"/>
  <c r="AF106" i="17" s="1"/>
  <c r="AD83" i="17"/>
  <c r="AD104" i="17" s="1"/>
  <c r="AK86" i="17"/>
  <c r="AK107" i="17" s="1"/>
  <c r="AI85" i="17"/>
  <c r="AI106" i="17" s="1"/>
  <c r="AG85" i="17"/>
  <c r="AG106" i="17" s="1"/>
  <c r="AL86" i="17"/>
  <c r="AL107" i="17" s="1"/>
  <c r="AH84" i="17"/>
  <c r="AH105" i="17" s="1"/>
  <c r="AG84" i="17"/>
  <c r="AG105" i="17" s="1"/>
  <c r="AG81" i="17"/>
  <c r="AG102" i="17" s="1"/>
  <c r="AE81" i="17"/>
  <c r="AE102" i="17" s="1"/>
  <c r="AF83" i="17"/>
  <c r="AF104" i="17" s="1"/>
  <c r="AD81" i="17"/>
  <c r="AD102" i="17" s="1"/>
  <c r="AK83" i="17"/>
  <c r="AK104" i="17" s="1"/>
  <c r="AJ86" i="17"/>
  <c r="AJ107" i="17" s="1"/>
  <c r="AI84" i="17"/>
  <c r="AI105" i="17" s="1"/>
  <c r="AD85" i="17"/>
  <c r="AG83" i="17"/>
  <c r="AG104" i="17" s="1"/>
  <c r="AI83" i="17"/>
  <c r="AI104" i="17" s="1"/>
  <c r="AJ81" i="17"/>
  <c r="AJ102" i="17" s="1"/>
  <c r="AL84" i="17"/>
  <c r="AL105" i="17" s="1"/>
  <c r="AL83" i="17"/>
  <c r="AL104" i="17" s="1"/>
  <c r="AF82" i="17"/>
  <c r="AF103" i="17" s="1"/>
  <c r="AL82" i="17"/>
  <c r="AL103" i="17" s="1"/>
  <c r="AK82" i="17"/>
  <c r="AK103" i="17" s="1"/>
  <c r="AG82" i="17"/>
  <c r="AG103" i="17" s="1"/>
  <c r="AL85" i="17"/>
  <c r="AL106" i="17" s="1"/>
  <c r="AI86" i="17"/>
  <c r="AI107" i="17" s="1"/>
  <c r="AD82" i="17"/>
  <c r="AM82" i="17" s="1"/>
  <c r="AF81" i="17"/>
  <c r="AF102" i="17" s="1"/>
  <c r="AE85" i="17"/>
  <c r="AE106" i="17" s="1"/>
  <c r="AL81" i="17"/>
  <c r="AL102" i="17" s="1"/>
  <c r="AK81" i="17"/>
  <c r="AK102" i="17" s="1"/>
  <c r="AJ85" i="17"/>
  <c r="AJ106" i="17" s="1"/>
  <c r="AI81" i="17"/>
  <c r="AI102" i="17" s="1"/>
  <c r="AE86" i="17"/>
  <c r="AE107" i="17" s="1"/>
  <c r="AK106" i="17"/>
  <c r="AK85" i="17"/>
  <c r="AL79" i="17"/>
  <c r="AL100" i="17" s="1"/>
  <c r="AD77" i="17"/>
  <c r="AD98" i="17" s="1"/>
  <c r="AL101" i="17"/>
  <c r="AL80" i="17"/>
  <c r="AK80" i="17"/>
  <c r="AK101" i="17" s="1"/>
  <c r="AI78" i="17"/>
  <c r="AI99" i="17" s="1"/>
  <c r="AF73" i="17"/>
  <c r="AF94" i="17" s="1"/>
  <c r="AJ74" i="17"/>
  <c r="AJ95" i="17" s="1"/>
  <c r="AI75" i="17"/>
  <c r="AI96" i="17" s="1"/>
  <c r="AJ76" i="17"/>
  <c r="AJ97" i="17" s="1"/>
  <c r="AE76" i="17"/>
  <c r="AE97" i="17" s="1"/>
  <c r="AH79" i="17"/>
  <c r="AH100" i="17" s="1"/>
  <c r="AJ79" i="17"/>
  <c r="AJ100" i="17" s="1"/>
  <c r="AH76" i="17"/>
  <c r="AH97" i="17" s="1"/>
  <c r="AL78" i="17"/>
  <c r="AL99" i="17" s="1"/>
  <c r="AL77" i="17"/>
  <c r="AL98" i="17" s="1"/>
  <c r="AF74" i="17"/>
  <c r="AF95" i="17" s="1"/>
  <c r="AK79" i="17"/>
  <c r="AK100" i="17" s="1"/>
  <c r="AJ75" i="17"/>
  <c r="AJ96" i="17" s="1"/>
  <c r="AF101" i="17"/>
  <c r="AF80" i="17"/>
  <c r="AF75" i="17"/>
  <c r="AF96" i="17" s="1"/>
  <c r="AG78" i="17"/>
  <c r="AG99" i="17" s="1"/>
  <c r="AJ78" i="17"/>
  <c r="AJ99" i="17" s="1"/>
  <c r="AG79" i="17"/>
  <c r="AG100" i="17" s="1"/>
  <c r="AI76" i="17"/>
  <c r="AI97" i="17" s="1"/>
  <c r="AE79" i="17"/>
  <c r="AE100" i="17" s="1"/>
  <c r="AL76" i="17"/>
  <c r="AL97" i="17" s="1"/>
  <c r="AI73" i="17"/>
  <c r="AI94" i="17" s="1"/>
  <c r="AL74" i="17"/>
  <c r="AL95" i="17" s="1"/>
  <c r="AF77" i="17"/>
  <c r="AF98" i="17" s="1"/>
  <c r="AE74" i="17"/>
  <c r="AE95" i="17" s="1"/>
  <c r="AE75" i="17"/>
  <c r="AM75" i="17" s="1"/>
  <c r="AG77" i="17"/>
  <c r="AG98" i="17" s="1"/>
  <c r="AF78" i="17"/>
  <c r="AF99" i="17" s="1"/>
  <c r="AH73" i="17"/>
  <c r="AH94" i="17" s="1"/>
  <c r="AL96" i="17"/>
  <c r="AL75" i="17"/>
  <c r="AK74" i="17"/>
  <c r="AK95" i="17" s="1"/>
  <c r="AH75" i="17"/>
  <c r="AH96" i="17" s="1"/>
  <c r="AG75" i="17"/>
  <c r="AG96" i="17" s="1"/>
  <c r="AI80" i="17"/>
  <c r="AI101" i="17" s="1"/>
  <c r="AJ80" i="17"/>
  <c r="AJ101" i="17" s="1"/>
  <c r="AF79" i="17"/>
  <c r="AF100" i="17" s="1"/>
  <c r="AG80" i="17"/>
  <c r="AG101" i="17" s="1"/>
  <c r="AE80" i="17"/>
  <c r="AE101" i="17" s="1"/>
  <c r="AH78" i="17"/>
  <c r="AH99" i="17" s="1"/>
  <c r="AE78" i="17"/>
  <c r="AE99" i="17" s="1"/>
  <c r="AK77" i="17"/>
  <c r="AK98" i="17" s="1"/>
  <c r="AG76" i="17"/>
  <c r="AG97" i="17" s="1"/>
  <c r="AD80" i="17"/>
  <c r="AD76" i="17"/>
  <c r="AD97" i="17" s="1"/>
  <c r="AJ77" i="17"/>
  <c r="AJ98" i="17" s="1"/>
  <c r="AI100" i="17"/>
  <c r="AI79" i="17"/>
  <c r="AK75" i="17"/>
  <c r="AK96" i="17" s="1"/>
  <c r="AH74" i="17"/>
  <c r="AH95" i="17" s="1"/>
  <c r="AG74" i="17"/>
  <c r="AG95" i="17" s="1"/>
  <c r="AH77" i="17"/>
  <c r="AH98" i="17" s="1"/>
  <c r="AK78" i="17"/>
  <c r="AK99" i="17" s="1"/>
  <c r="AI77" i="17"/>
  <c r="AI98" i="17" s="1"/>
  <c r="AJ73" i="17"/>
  <c r="AJ94" i="17" s="1"/>
  <c r="AD79" i="17"/>
  <c r="AD100" i="17" s="1"/>
  <c r="AH80" i="17"/>
  <c r="AH101" i="17" s="1"/>
  <c r="AL73" i="17"/>
  <c r="AL94" i="17" s="1"/>
  <c r="AD74" i="17"/>
  <c r="AI74" i="17"/>
  <c r="AI95" i="17" s="1"/>
  <c r="O74" i="17"/>
  <c r="O95" i="17" s="1"/>
  <c r="O75" i="17"/>
  <c r="O96" i="17" s="1"/>
  <c r="K74" i="17"/>
  <c r="K95" i="17" s="1"/>
  <c r="H74" i="17"/>
  <c r="H95" i="17" s="1"/>
  <c r="M74" i="17"/>
  <c r="M95" i="17" s="1"/>
  <c r="G75" i="17"/>
  <c r="G96" i="17" s="1"/>
  <c r="N75" i="17"/>
  <c r="N96" i="17" s="1"/>
  <c r="I74" i="17"/>
  <c r="I95" i="17" s="1"/>
  <c r="K75" i="17"/>
  <c r="K96" i="17" s="1"/>
  <c r="H75" i="17"/>
  <c r="H96" i="17" s="1"/>
  <c r="N74" i="17"/>
  <c r="N95" i="17" s="1"/>
  <c r="I75" i="17"/>
  <c r="I96" i="17" s="1"/>
  <c r="J75" i="17"/>
  <c r="J96" i="17" s="1"/>
  <c r="M75" i="17"/>
  <c r="M96" i="17" s="1"/>
  <c r="L75" i="17"/>
  <c r="L96" i="17" s="1"/>
  <c r="J74" i="17"/>
  <c r="J95" i="17" s="1"/>
  <c r="L74" i="17"/>
  <c r="L95" i="17" s="1"/>
  <c r="AE103" i="17"/>
  <c r="K77" i="17"/>
  <c r="K98" i="17" s="1"/>
  <c r="N76" i="17"/>
  <c r="N97" i="17" s="1"/>
  <c r="AD96" i="17"/>
  <c r="G95" i="17"/>
  <c r="F85" i="21"/>
  <c r="F91" i="21" s="1"/>
  <c r="F62" i="21"/>
  <c r="F68" i="21" s="1"/>
  <c r="Q28" i="17"/>
  <c r="AM39" i="17"/>
  <c r="P40" i="17"/>
  <c r="P39" i="17"/>
  <c r="AM40" i="17"/>
  <c r="G31" i="17"/>
  <c r="Q17" i="17"/>
  <c r="Q14" i="17"/>
  <c r="P31" i="17"/>
  <c r="H31" i="17"/>
  <c r="Q24" i="17"/>
  <c r="Q16" i="17"/>
  <c r="Q19" i="17"/>
  <c r="K31" i="17"/>
  <c r="Q22" i="17"/>
  <c r="Q23" i="17"/>
  <c r="Q25" i="17"/>
  <c r="Q21" i="17"/>
  <c r="Q20" i="17"/>
  <c r="N52" i="17"/>
  <c r="Q26" i="17"/>
  <c r="M31" i="17"/>
  <c r="Q27" i="17"/>
  <c r="I31" i="17"/>
  <c r="L31" i="17"/>
  <c r="Q18" i="17"/>
  <c r="Q30" i="17"/>
  <c r="J31" i="17"/>
  <c r="N31" i="17"/>
  <c r="O31" i="17"/>
  <c r="Q29" i="17"/>
  <c r="AF52" i="17"/>
  <c r="AF97" i="17"/>
  <c r="AD52" i="17"/>
  <c r="AI52" i="17"/>
  <c r="AJ52" i="17"/>
  <c r="L52" i="17"/>
  <c r="M52" i="17"/>
  <c r="AM38" i="17"/>
  <c r="AG52" i="17"/>
  <c r="AH52" i="17"/>
  <c r="H52" i="17"/>
  <c r="AM42" i="17"/>
  <c r="P42" i="17"/>
  <c r="G103" i="17"/>
  <c r="P103" i="17" s="1"/>
  <c r="P82" i="17"/>
  <c r="G94" i="17"/>
  <c r="P86" i="17"/>
  <c r="G107" i="17"/>
  <c r="P107" i="17" s="1"/>
  <c r="I94" i="17"/>
  <c r="AM41" i="17"/>
  <c r="L94" i="17"/>
  <c r="AK52" i="17"/>
  <c r="H94" i="17"/>
  <c r="P45" i="17"/>
  <c r="AM48" i="17"/>
  <c r="P41" i="17"/>
  <c r="M73" i="17"/>
  <c r="AM43" i="17"/>
  <c r="AD99" i="17"/>
  <c r="K87" i="17"/>
  <c r="K94" i="17"/>
  <c r="AM49" i="17"/>
  <c r="AD105" i="17"/>
  <c r="P50" i="17"/>
  <c r="AL52" i="17"/>
  <c r="AE94" i="17"/>
  <c r="AM47" i="17"/>
  <c r="P49" i="17"/>
  <c r="H77" i="17"/>
  <c r="H98" i="17" s="1"/>
  <c r="P81" i="17"/>
  <c r="G102" i="17"/>
  <c r="P102" i="17" s="1"/>
  <c r="AG94" i="17"/>
  <c r="J52" i="17"/>
  <c r="AE98" i="17"/>
  <c r="P48" i="17"/>
  <c r="G100" i="17"/>
  <c r="P100" i="17" s="1"/>
  <c r="P79" i="17"/>
  <c r="G105" i="17"/>
  <c r="P105" i="17" s="1"/>
  <c r="P84" i="17"/>
  <c r="I52" i="17"/>
  <c r="AM46" i="17"/>
  <c r="P46" i="17"/>
  <c r="J94" i="17"/>
  <c r="N94" i="17"/>
  <c r="N87" i="17"/>
  <c r="AK94" i="17"/>
  <c r="AM50" i="17"/>
  <c r="P44" i="17"/>
  <c r="P80" i="17"/>
  <c r="G101" i="17"/>
  <c r="P101" i="17" s="1"/>
  <c r="AM51" i="17"/>
  <c r="AD107" i="17"/>
  <c r="AM45" i="17"/>
  <c r="P43" i="17"/>
  <c r="AE52" i="17"/>
  <c r="G97" i="17"/>
  <c r="O52" i="17"/>
  <c r="AM44" i="17"/>
  <c r="P51" i="17"/>
  <c r="K52" i="17"/>
  <c r="P47" i="17"/>
  <c r="G52" i="17"/>
  <c r="P38" i="17"/>
  <c r="O73" i="17"/>
  <c r="I62" i="21"/>
  <c r="I68" i="21" s="1"/>
  <c r="I85" i="21"/>
  <c r="I91" i="21" s="1"/>
  <c r="AE96" i="17" l="1"/>
  <c r="AM80" i="17"/>
  <c r="AM85" i="17"/>
  <c r="AM81" i="17"/>
  <c r="AM74" i="17"/>
  <c r="AM102" i="17"/>
  <c r="AD103" i="17"/>
  <c r="AM103" i="17" s="1"/>
  <c r="AD106" i="17"/>
  <c r="AM106" i="17" s="1"/>
  <c r="AE104" i="17"/>
  <c r="AE108" i="17" s="1"/>
  <c r="AJ108" i="17"/>
  <c r="AM105" i="17"/>
  <c r="AM107" i="17"/>
  <c r="AL108" i="17"/>
  <c r="AI108" i="17"/>
  <c r="AH108" i="17"/>
  <c r="AM100" i="17"/>
  <c r="AL87" i="17"/>
  <c r="AL110" i="17" s="1"/>
  <c r="AM79" i="17"/>
  <c r="AF108" i="17"/>
  <c r="AM98" i="17"/>
  <c r="AJ87" i="17"/>
  <c r="AM99" i="17"/>
  <c r="AG108" i="17"/>
  <c r="AD101" i="17"/>
  <c r="AM101" i="17" s="1"/>
  <c r="AK108" i="17"/>
  <c r="AM96" i="17"/>
  <c r="AD95" i="17"/>
  <c r="AM95" i="17" s="1"/>
  <c r="AH87" i="17"/>
  <c r="AH110" i="17" s="1"/>
  <c r="AI87" i="17"/>
  <c r="L87" i="17"/>
  <c r="P75" i="17"/>
  <c r="P96" i="17"/>
  <c r="I108" i="17"/>
  <c r="P95" i="17"/>
  <c r="I87" i="17"/>
  <c r="P74" i="17"/>
  <c r="J87" i="17"/>
  <c r="J110" i="17" s="1"/>
  <c r="L108" i="17"/>
  <c r="J108" i="17"/>
  <c r="P76" i="17"/>
  <c r="N108" i="17"/>
  <c r="K108" i="17"/>
  <c r="P97" i="17"/>
  <c r="AM94" i="17"/>
  <c r="AM97" i="17"/>
  <c r="AJ110" i="17"/>
  <c r="AI110" i="17"/>
  <c r="AM73" i="17"/>
  <c r="AF87" i="17"/>
  <c r="AF110" i="17" s="1"/>
  <c r="AM76" i="17"/>
  <c r="AD87" i="17"/>
  <c r="AD110" i="17" s="1"/>
  <c r="AM77" i="17"/>
  <c r="M94" i="17"/>
  <c r="M108" i="17" s="1"/>
  <c r="M87" i="17"/>
  <c r="AG87" i="17"/>
  <c r="AG110" i="17" s="1"/>
  <c r="AE87" i="17"/>
  <c r="AE110" i="17" s="1"/>
  <c r="P73" i="17"/>
  <c r="O87" i="17"/>
  <c r="O110" i="17" s="1"/>
  <c r="O94" i="17"/>
  <c r="O108" i="17" s="1"/>
  <c r="G98" i="17"/>
  <c r="P98" i="17" s="1"/>
  <c r="P77" i="17"/>
  <c r="AM86" i="17"/>
  <c r="AK87" i="17"/>
  <c r="AK110" i="17" s="1"/>
  <c r="I110" i="17"/>
  <c r="G87" i="17"/>
  <c r="G110" i="17" s="1"/>
  <c r="G106" i="17"/>
  <c r="P106" i="17" s="1"/>
  <c r="P85" i="17"/>
  <c r="AM78" i="17"/>
  <c r="L110" i="17"/>
  <c r="AM52" i="17"/>
  <c r="P52" i="17"/>
  <c r="H108" i="17"/>
  <c r="K110" i="17"/>
  <c r="G104" i="17"/>
  <c r="P104" i="17" s="1"/>
  <c r="P83" i="17"/>
  <c r="AM84" i="17"/>
  <c r="N110" i="17"/>
  <c r="G99" i="17"/>
  <c r="P99" i="17" s="1"/>
  <c r="P78" i="17"/>
  <c r="H87" i="17"/>
  <c r="AM104" i="17" l="1"/>
  <c r="AD108" i="17"/>
  <c r="AM108" i="17"/>
  <c r="P94" i="17"/>
  <c r="Q39" i="17"/>
  <c r="Q40" i="17"/>
  <c r="Q38" i="17"/>
  <c r="Q47" i="17"/>
  <c r="Q49" i="17"/>
  <c r="Q43" i="17"/>
  <c r="Q44" i="17"/>
  <c r="Q51" i="17"/>
  <c r="K53" i="17"/>
  <c r="Q45" i="17"/>
  <c r="Q41" i="17"/>
  <c r="O53" i="17"/>
  <c r="I53" i="17"/>
  <c r="Q50" i="17"/>
  <c r="Q46" i="17"/>
  <c r="Q48" i="17"/>
  <c r="Q52" i="17"/>
  <c r="P53" i="17"/>
  <c r="Q42" i="17"/>
  <c r="N53" i="17"/>
  <c r="H53" i="17"/>
  <c r="L53" i="17"/>
  <c r="M53" i="17"/>
  <c r="P87" i="17"/>
  <c r="G53" i="17"/>
  <c r="H110" i="17"/>
  <c r="J53" i="17"/>
  <c r="AM87" i="17"/>
  <c r="AM110" i="17" s="1"/>
  <c r="G108" i="17"/>
  <c r="M110" i="17"/>
  <c r="Q83" i="17" l="1"/>
  <c r="Q75" i="17"/>
  <c r="Q74" i="17"/>
  <c r="G88" i="17"/>
  <c r="M88" i="17"/>
  <c r="Q85" i="17"/>
  <c r="H88" i="17"/>
  <c r="O88" i="17"/>
  <c r="P108" i="17"/>
  <c r="Q73" i="17"/>
  <c r="Q87" i="17"/>
  <c r="P88" i="17"/>
  <c r="Q82" i="17"/>
  <c r="Q81" i="17"/>
  <c r="Q76" i="17"/>
  <c r="Q84" i="17"/>
  <c r="J88" i="17"/>
  <c r="Q79" i="17"/>
  <c r="Q86" i="17"/>
  <c r="Q80" i="17"/>
  <c r="L88" i="17"/>
  <c r="N88" i="17"/>
  <c r="I88" i="17"/>
  <c r="K88" i="17"/>
  <c r="Q78" i="17"/>
  <c r="Q77" i="17"/>
  <c r="P110" i="17"/>
  <c r="G109" i="17" l="1"/>
  <c r="Q96" i="17"/>
  <c r="Q95" i="17"/>
  <c r="Q94" i="17"/>
  <c r="Q108" i="17"/>
  <c r="P109" i="17"/>
  <c r="Q101" i="17"/>
  <c r="L109" i="17"/>
  <c r="Q97" i="17"/>
  <c r="Q105" i="17"/>
  <c r="K109" i="17"/>
  <c r="Q103" i="17"/>
  <c r="N109" i="17"/>
  <c r="I109" i="17"/>
  <c r="Q100" i="17"/>
  <c r="J109" i="17"/>
  <c r="Q102" i="17"/>
  <c r="Q107" i="17"/>
  <c r="Q98" i="17"/>
  <c r="M109" i="17"/>
  <c r="O109" i="17"/>
  <c r="Q104" i="17"/>
  <c r="Q99" i="17"/>
  <c r="H109" i="17"/>
  <c r="Q106" i="17"/>
  <c r="O81" i="14"/>
  <c r="O91" i="14" s="1"/>
  <c r="P81" i="14"/>
  <c r="P91" i="14" s="1"/>
  <c r="P234" i="4"/>
  <c r="Q234" i="4"/>
  <c r="P235" i="4"/>
  <c r="Q235" i="4"/>
  <c r="P236" i="4"/>
  <c r="Q236" i="4"/>
  <c r="P204" i="4"/>
  <c r="O72" i="14" s="1"/>
  <c r="O79" i="14" s="1"/>
  <c r="Q204" i="4"/>
  <c r="P72" i="14" s="1"/>
  <c r="P79" i="14" s="1"/>
  <c r="P181" i="4"/>
  <c r="Q181" i="4"/>
  <c r="P182" i="4"/>
  <c r="Q182" i="4"/>
  <c r="P183" i="4"/>
  <c r="Q183" i="4"/>
  <c r="P184" i="4"/>
  <c r="Q184" i="4"/>
  <c r="P145" i="4"/>
  <c r="P33" i="4" s="1"/>
  <c r="O23" i="14" s="1"/>
  <c r="O24" i="14" s="1"/>
  <c r="O34" i="14" s="1"/>
  <c r="Q145" i="4"/>
  <c r="Q33" i="4" s="1"/>
  <c r="P131" i="4"/>
  <c r="Q131" i="4"/>
  <c r="P119" i="4"/>
  <c r="O60" i="14" s="1"/>
  <c r="Q119" i="4"/>
  <c r="P60" i="14" s="1"/>
  <c r="P91" i="4"/>
  <c r="Q91" i="4"/>
  <c r="P92" i="4"/>
  <c r="Q92" i="4"/>
  <c r="P93" i="4"/>
  <c r="Q93" i="4"/>
  <c r="P94" i="4"/>
  <c r="Q94" i="4"/>
  <c r="P66" i="4"/>
  <c r="P32" i="4" s="1"/>
  <c r="Q66" i="4"/>
  <c r="Q32" i="4" s="1"/>
  <c r="P58" i="4"/>
  <c r="Q58" i="4"/>
  <c r="P46" i="4"/>
  <c r="O51" i="14" s="1"/>
  <c r="Q46" i="4"/>
  <c r="P51" i="14" s="1"/>
  <c r="P28" i="4"/>
  <c r="Q28" i="4"/>
  <c r="P29" i="4"/>
  <c r="Q29" i="4"/>
  <c r="P30" i="4"/>
  <c r="Q30" i="4"/>
  <c r="P34" i="4"/>
  <c r="Q34" i="4"/>
  <c r="P35" i="4"/>
  <c r="O38" i="14" s="1"/>
  <c r="O39" i="14" s="1"/>
  <c r="O47" i="14" s="1"/>
  <c r="O49" i="14" s="1"/>
  <c r="Q35" i="4"/>
  <c r="P23" i="14" l="1"/>
  <c r="P24" i="14" s="1"/>
  <c r="P34" i="14" s="1"/>
  <c r="P38" i="14"/>
  <c r="P39" i="14" s="1"/>
  <c r="P47" i="14" s="1"/>
  <c r="P49" i="14" s="1"/>
  <c r="P18" i="4"/>
  <c r="Q185" i="4"/>
  <c r="Q16" i="4" s="1"/>
  <c r="Q20" i="4"/>
  <c r="P185" i="4"/>
  <c r="P191" i="4" s="1"/>
  <c r="P20" i="4"/>
  <c r="Q95" i="4"/>
  <c r="P237" i="4"/>
  <c r="P17" i="4" s="1"/>
  <c r="Q18" i="4"/>
  <c r="Q237" i="4"/>
  <c r="P95" i="4"/>
  <c r="I44" i="21"/>
  <c r="F44" i="21"/>
  <c r="I43" i="21"/>
  <c r="F43" i="21"/>
  <c r="I42" i="21"/>
  <c r="F42" i="21"/>
  <c r="I41" i="21"/>
  <c r="F41" i="21"/>
  <c r="I27" i="21"/>
  <c r="F27" i="21"/>
  <c r="I21" i="21"/>
  <c r="F21" i="21"/>
  <c r="F43" i="20"/>
  <c r="F19" i="20"/>
  <c r="I19" i="20"/>
  <c r="F25" i="20"/>
  <c r="I25" i="20"/>
  <c r="I39" i="20"/>
  <c r="I40" i="20"/>
  <c r="I41" i="20"/>
  <c r="I42" i="20"/>
  <c r="I43" i="20" l="1"/>
  <c r="P15" i="4"/>
  <c r="P101" i="4"/>
  <c r="P103" i="4"/>
  <c r="P99" i="4"/>
  <c r="Q15" i="4"/>
  <c r="Q101" i="4"/>
  <c r="Q103" i="4"/>
  <c r="Q99" i="4"/>
  <c r="Q193" i="4"/>
  <c r="I45" i="21"/>
  <c r="F45" i="21"/>
  <c r="P193" i="4"/>
  <c r="Q191" i="4"/>
  <c r="P16" i="4"/>
  <c r="Q17" i="4"/>
  <c r="P19" i="4"/>
  <c r="P21" i="4"/>
  <c r="Q19" i="4"/>
  <c r="Q21" i="4"/>
  <c r="P22" i="4" l="1"/>
  <c r="Q22" i="4"/>
  <c r="P10" i="14" s="1"/>
  <c r="P19" i="14" s="1"/>
  <c r="O10" i="14" l="1"/>
  <c r="O19" i="14" s="1"/>
  <c r="P26" i="4"/>
  <c r="P25" i="4"/>
  <c r="P24" i="4"/>
  <c r="Q26" i="4"/>
  <c r="Q24" i="4"/>
  <c r="Q25" i="4"/>
  <c r="M251" i="4" l="1"/>
  <c r="D53" i="4" l="1"/>
  <c r="E53" i="4"/>
  <c r="F53" i="4"/>
  <c r="G53" i="4"/>
  <c r="H53" i="4"/>
  <c r="I53" i="4"/>
  <c r="J53" i="4"/>
  <c r="K53" i="4"/>
  <c r="L53" i="4"/>
  <c r="N373" i="4"/>
  <c r="N353" i="4"/>
  <c r="N352" i="4"/>
  <c r="N351" i="4"/>
  <c r="N348" i="4"/>
  <c r="N347" i="4"/>
  <c r="N346" i="4"/>
  <c r="N315" i="4"/>
  <c r="N311" i="4"/>
  <c r="N263" i="4"/>
  <c r="N261" i="4"/>
  <c r="N260" i="4"/>
  <c r="N207" i="4"/>
  <c r="N206" i="4"/>
  <c r="N211" i="4" s="1"/>
  <c r="N49" i="4"/>
  <c r="N48" i="4"/>
  <c r="M90" i="14"/>
  <c r="N80" i="14"/>
  <c r="M80" i="14"/>
  <c r="M78" i="14"/>
  <c r="N75" i="14"/>
  <c r="N71" i="14"/>
  <c r="M71" i="14"/>
  <c r="M69" i="14"/>
  <c r="N59" i="14"/>
  <c r="M59" i="14"/>
  <c r="M57" i="14"/>
  <c r="N54" i="14"/>
  <c r="N50" i="14"/>
  <c r="M50" i="14"/>
  <c r="N37" i="14"/>
  <c r="M37" i="14"/>
  <c r="N33" i="14"/>
  <c r="N32" i="14"/>
  <c r="N31" i="14" s="1"/>
  <c r="N30" i="14"/>
  <c r="N22" i="14"/>
  <c r="M22" i="14"/>
  <c r="N16" i="14"/>
  <c r="O250" i="4"/>
  <c r="O236" i="4"/>
  <c r="O235" i="4"/>
  <c r="O234" i="4"/>
  <c r="O233" i="4"/>
  <c r="O204" i="4"/>
  <c r="N72" i="14" s="1"/>
  <c r="O198" i="4"/>
  <c r="O184" i="4"/>
  <c r="O183" i="4"/>
  <c r="O182" i="4"/>
  <c r="O181" i="4"/>
  <c r="O145" i="4"/>
  <c r="O33" i="4" s="1"/>
  <c r="N23" i="14" s="1"/>
  <c r="N24" i="14" s="1"/>
  <c r="O131" i="4"/>
  <c r="O119" i="4"/>
  <c r="N60" i="14" s="1"/>
  <c r="N70" i="14" s="1"/>
  <c r="O108" i="4"/>
  <c r="O94" i="4"/>
  <c r="O93" i="4"/>
  <c r="O92" i="4"/>
  <c r="O91" i="4"/>
  <c r="O66" i="4"/>
  <c r="O32" i="4" s="1"/>
  <c r="O58" i="4"/>
  <c r="O46" i="4"/>
  <c r="N51" i="14" s="1"/>
  <c r="O40" i="4"/>
  <c r="O35" i="4"/>
  <c r="N38" i="14" s="1"/>
  <c r="N39" i="14" s="1"/>
  <c r="O34" i="4"/>
  <c r="O30" i="4"/>
  <c r="O28" i="4"/>
  <c r="F441" i="9"/>
  <c r="E441" i="9"/>
  <c r="D441" i="9"/>
  <c r="F403" i="9"/>
  <c r="E403" i="9"/>
  <c r="D403" i="9"/>
  <c r="F366" i="9"/>
  <c r="E366" i="9"/>
  <c r="D366" i="9"/>
  <c r="F319" i="9"/>
  <c r="E319" i="9"/>
  <c r="D319" i="9"/>
  <c r="F227" i="9"/>
  <c r="E227" i="9"/>
  <c r="D227" i="9"/>
  <c r="F146" i="9"/>
  <c r="E146" i="9"/>
  <c r="D146" i="9"/>
  <c r="F22" i="9"/>
  <c r="E22" i="9"/>
  <c r="D22" i="9"/>
  <c r="N405" i="4"/>
  <c r="N393" i="4"/>
  <c r="N392" i="4"/>
  <c r="N389" i="4"/>
  <c r="N388" i="4"/>
  <c r="N387" i="4"/>
  <c r="N345" i="4"/>
  <c r="N339" i="4"/>
  <c r="N309" i="4"/>
  <c r="N308" i="4"/>
  <c r="N307" i="4"/>
  <c r="N306" i="4"/>
  <c r="N300" i="4"/>
  <c r="N298" i="4" s="1"/>
  <c r="N296" i="4"/>
  <c r="N286" i="4"/>
  <c r="N292" i="4" s="1"/>
  <c r="N285" i="4"/>
  <c r="N282" i="4"/>
  <c r="N281" i="4"/>
  <c r="N278" i="4"/>
  <c r="N277" i="4"/>
  <c r="N276" i="4"/>
  <c r="N275" i="4"/>
  <c r="N274" i="4"/>
  <c r="N273" i="4"/>
  <c r="N272" i="4"/>
  <c r="N269" i="4"/>
  <c r="N35" i="4" s="1"/>
  <c r="M38" i="14" s="1"/>
  <c r="M39" i="14" s="1"/>
  <c r="N268" i="4"/>
  <c r="N257" i="4"/>
  <c r="N256" i="4"/>
  <c r="N255" i="4"/>
  <c r="N254" i="4"/>
  <c r="N253" i="4"/>
  <c r="N252" i="4"/>
  <c r="N251" i="4"/>
  <c r="N250" i="4"/>
  <c r="N244" i="4"/>
  <c r="N230" i="4"/>
  <c r="N229" i="4"/>
  <c r="N226" i="4"/>
  <c r="N225" i="4"/>
  <c r="N222" i="4"/>
  <c r="N221" i="4"/>
  <c r="N220" i="4"/>
  <c r="N219" i="4"/>
  <c r="N218" i="4"/>
  <c r="N215" i="4"/>
  <c r="N34" i="4" s="1"/>
  <c r="N203" i="4"/>
  <c r="N202" i="4"/>
  <c r="N201" i="4"/>
  <c r="N200" i="4"/>
  <c r="N199" i="4"/>
  <c r="N198" i="4"/>
  <c r="N192" i="4"/>
  <c r="N190" i="4" s="1"/>
  <c r="N178" i="4"/>
  <c r="N184" i="4" s="1"/>
  <c r="N177" i="4"/>
  <c r="N174" i="4"/>
  <c r="N173" i="4"/>
  <c r="N172" i="4"/>
  <c r="N171" i="4"/>
  <c r="N170" i="4"/>
  <c r="N169" i="4"/>
  <c r="N168" i="4"/>
  <c r="N167" i="4"/>
  <c r="N166" i="4"/>
  <c r="N165" i="4"/>
  <c r="N164" i="4"/>
  <c r="N161" i="4"/>
  <c r="N160" i="4"/>
  <c r="N157" i="4"/>
  <c r="N156" i="4"/>
  <c r="N155" i="4"/>
  <c r="N154" i="4"/>
  <c r="N153" i="4"/>
  <c r="N152" i="4"/>
  <c r="N151" i="4"/>
  <c r="N150" i="4"/>
  <c r="N149" i="4"/>
  <c r="N148" i="4"/>
  <c r="N144" i="4"/>
  <c r="N143" i="4"/>
  <c r="N142" i="4"/>
  <c r="N141" i="4"/>
  <c r="N140" i="4"/>
  <c r="N139" i="4"/>
  <c r="N138" i="4"/>
  <c r="N137" i="4"/>
  <c r="N136" i="4"/>
  <c r="N135" i="4"/>
  <c r="N134" i="4"/>
  <c r="N130" i="4"/>
  <c r="N129" i="4"/>
  <c r="N118" i="4"/>
  <c r="N117" i="4"/>
  <c r="N116" i="4"/>
  <c r="N115" i="4"/>
  <c r="N114" i="4"/>
  <c r="N113" i="4"/>
  <c r="N112" i="4"/>
  <c r="N111" i="4"/>
  <c r="N110" i="4"/>
  <c r="N109" i="4"/>
  <c r="N108" i="4"/>
  <c r="N102" i="4"/>
  <c r="N94" i="4"/>
  <c r="N88" i="4"/>
  <c r="N87" i="4"/>
  <c r="N84" i="4"/>
  <c r="N83" i="4"/>
  <c r="N82" i="4"/>
  <c r="N81" i="4"/>
  <c r="N80" i="4"/>
  <c r="N77" i="4"/>
  <c r="N76" i="4"/>
  <c r="N73" i="4"/>
  <c r="N72" i="4"/>
  <c r="N71" i="4"/>
  <c r="N70" i="4"/>
  <c r="N69" i="4"/>
  <c r="N65" i="4"/>
  <c r="N64" i="4"/>
  <c r="N63" i="4"/>
  <c r="N62" i="4"/>
  <c r="N61" i="4"/>
  <c r="N56" i="4"/>
  <c r="N45" i="4"/>
  <c r="N44" i="4"/>
  <c r="N43" i="4"/>
  <c r="N42" i="4"/>
  <c r="N41" i="4"/>
  <c r="N40" i="4"/>
  <c r="E396" i="9"/>
  <c r="D456" i="9"/>
  <c r="D458" i="9"/>
  <c r="D460" i="9"/>
  <c r="F451" i="9"/>
  <c r="F450" i="9"/>
  <c r="F452" i="9" s="1"/>
  <c r="F431" i="9"/>
  <c r="F430" i="9"/>
  <c r="F429" i="9"/>
  <c r="F391" i="9"/>
  <c r="N331" i="4" s="1"/>
  <c r="F390" i="9"/>
  <c r="F389" i="9"/>
  <c r="F388" i="9"/>
  <c r="F387" i="9"/>
  <c r="F386" i="9"/>
  <c r="F385" i="9"/>
  <c r="F354" i="9"/>
  <c r="F353" i="9"/>
  <c r="F352" i="9"/>
  <c r="F351" i="9"/>
  <c r="F327" i="9"/>
  <c r="F307" i="9"/>
  <c r="N236" i="4" s="1"/>
  <c r="F306" i="9"/>
  <c r="N235" i="4" s="1"/>
  <c r="F305" i="9"/>
  <c r="N234" i="4" s="1"/>
  <c r="F304" i="9"/>
  <c r="N233" i="4" s="1"/>
  <c r="F261" i="9"/>
  <c r="N214" i="4" s="1"/>
  <c r="F243" i="9"/>
  <c r="F215" i="9"/>
  <c r="F214" i="9"/>
  <c r="F213" i="9"/>
  <c r="F212" i="9"/>
  <c r="F176" i="9"/>
  <c r="F162" i="9"/>
  <c r="F157" i="9"/>
  <c r="F133" i="9"/>
  <c r="N93" i="4" s="1"/>
  <c r="F132" i="9"/>
  <c r="N92" i="4" s="1"/>
  <c r="F131" i="9"/>
  <c r="N91" i="4" s="1"/>
  <c r="F80" i="9"/>
  <c r="F72" i="9"/>
  <c r="F64" i="9"/>
  <c r="F56" i="9"/>
  <c r="F38" i="9"/>
  <c r="M296" i="4"/>
  <c r="F432" i="9" l="1"/>
  <c r="N330" i="4"/>
  <c r="F355" i="9"/>
  <c r="F363" i="9" s="1"/>
  <c r="F460" i="9"/>
  <c r="F456" i="9"/>
  <c r="F392" i="9"/>
  <c r="F216" i="9"/>
  <c r="F222" i="9" s="1"/>
  <c r="N57" i="4"/>
  <c r="N58" i="4" s="1"/>
  <c r="F135" i="9"/>
  <c r="N95" i="4" s="1"/>
  <c r="N15" i="4" s="1"/>
  <c r="N329" i="4"/>
  <c r="N332" i="4" s="1"/>
  <c r="F308" i="9"/>
  <c r="N237" i="4" s="1"/>
  <c r="N17" i="4" s="1"/>
  <c r="N79" i="14"/>
  <c r="N58" i="14"/>
  <c r="N34" i="14"/>
  <c r="N36" i="14" s="1"/>
  <c r="N188" i="4"/>
  <c r="N242" i="4"/>
  <c r="N240" i="4"/>
  <c r="N337" i="4"/>
  <c r="N335" i="4"/>
  <c r="N401" i="4"/>
  <c r="N371" i="4"/>
  <c r="N53" i="4"/>
  <c r="N98" i="4"/>
  <c r="N99" i="4" s="1"/>
  <c r="N372" i="4"/>
  <c r="N47" i="14"/>
  <c r="N49" i="14" s="1"/>
  <c r="N397" i="4"/>
  <c r="O19" i="4"/>
  <c r="O237" i="4"/>
  <c r="N265" i="4"/>
  <c r="N396" i="4"/>
  <c r="O95" i="4"/>
  <c r="O99" i="4" s="1"/>
  <c r="N81" i="14"/>
  <c r="N91" i="14" s="1"/>
  <c r="N289" i="4"/>
  <c r="O185" i="4"/>
  <c r="N131" i="4"/>
  <c r="N182" i="4"/>
  <c r="N290" i="4"/>
  <c r="N66" i="4"/>
  <c r="N183" i="4"/>
  <c r="N204" i="4"/>
  <c r="N181" i="4"/>
  <c r="N291" i="4"/>
  <c r="N46" i="4"/>
  <c r="N30" i="4"/>
  <c r="O29" i="4"/>
  <c r="N100" i="4"/>
  <c r="N145" i="4"/>
  <c r="N119" i="4"/>
  <c r="N403" i="4"/>
  <c r="N258" i="4"/>
  <c r="F15" i="9"/>
  <c r="F398" i="9"/>
  <c r="F396" i="9"/>
  <c r="F14" i="9"/>
  <c r="F361" i="9"/>
  <c r="F143" i="9"/>
  <c r="F141" i="9"/>
  <c r="F139" i="9"/>
  <c r="F11" i="9"/>
  <c r="F458" i="9"/>
  <c r="F17" i="9"/>
  <c r="L265" i="4"/>
  <c r="L211" i="4"/>
  <c r="L126" i="4"/>
  <c r="O245" i="4" l="1"/>
  <c r="O241" i="4"/>
  <c r="O243" i="4"/>
  <c r="O193" i="4"/>
  <c r="O189" i="4"/>
  <c r="O21" i="4"/>
  <c r="N374" i="4"/>
  <c r="N378" i="4" s="1"/>
  <c r="F316" i="9"/>
  <c r="O18" i="4"/>
  <c r="F220" i="9"/>
  <c r="N103" i="4"/>
  <c r="F12" i="9"/>
  <c r="F18" i="9" s="1"/>
  <c r="F359" i="9"/>
  <c r="N241" i="4"/>
  <c r="F13" i="9"/>
  <c r="N245" i="4"/>
  <c r="F312" i="9"/>
  <c r="F314" i="9"/>
  <c r="N243" i="4"/>
  <c r="O101" i="4"/>
  <c r="N28" i="4"/>
  <c r="O15" i="4"/>
  <c r="N336" i="4"/>
  <c r="M72" i="14"/>
  <c r="M79" i="14" s="1"/>
  <c r="O103" i="4"/>
  <c r="N398" i="4"/>
  <c r="O17" i="4"/>
  <c r="M81" i="14"/>
  <c r="M91" i="14" s="1"/>
  <c r="M51" i="14"/>
  <c r="M58" i="14" s="1"/>
  <c r="N293" i="4"/>
  <c r="N18" i="4" s="1"/>
  <c r="N32" i="4"/>
  <c r="M60" i="14"/>
  <c r="M70" i="14" s="1"/>
  <c r="N185" i="4"/>
  <c r="N16" i="4" s="1"/>
  <c r="N19" i="4"/>
  <c r="O16" i="4"/>
  <c r="O191" i="4"/>
  <c r="N340" i="4"/>
  <c r="N338" i="4"/>
  <c r="N29" i="4"/>
  <c r="N101" i="4"/>
  <c r="N33" i="4"/>
  <c r="M316" i="4"/>
  <c r="M312" i="4"/>
  <c r="M188" i="4"/>
  <c r="N20" i="4" l="1"/>
  <c r="N382" i="4"/>
  <c r="N380" i="4"/>
  <c r="N299" i="4"/>
  <c r="N191" i="4"/>
  <c r="N21" i="4"/>
  <c r="N406" i="4"/>
  <c r="N402" i="4"/>
  <c r="N297" i="4"/>
  <c r="N189" i="4"/>
  <c r="N193" i="4"/>
  <c r="M23" i="14"/>
  <c r="M24" i="14" s="1"/>
  <c r="N301" i="4"/>
  <c r="N404" i="4"/>
  <c r="O20" i="4"/>
  <c r="O22" i="4" s="1"/>
  <c r="O24" i="4" s="1"/>
  <c r="K68" i="14"/>
  <c r="N22" i="4" l="1"/>
  <c r="O25" i="4"/>
  <c r="N10" i="14"/>
  <c r="N13" i="14" s="1"/>
  <c r="N19" i="14" s="1"/>
  <c r="N21" i="14" s="1"/>
  <c r="O26" i="4"/>
  <c r="L90" i="14"/>
  <c r="L78" i="14"/>
  <c r="L69" i="14"/>
  <c r="L57" i="14"/>
  <c r="N24" i="4" l="1"/>
  <c r="N25" i="4"/>
  <c r="N26" i="4"/>
  <c r="M10" i="14"/>
  <c r="M13" i="14" s="1"/>
  <c r="M16" i="14" s="1"/>
  <c r="M261" i="4"/>
  <c r="M207" i="4"/>
  <c r="M122" i="4"/>
  <c r="M19" i="14" l="1"/>
  <c r="M21" i="14" s="1"/>
  <c r="M49" i="4"/>
  <c r="M405" i="4"/>
  <c r="M401" i="4"/>
  <c r="L405" i="4"/>
  <c r="M339" i="4"/>
  <c r="M335" i="4"/>
  <c r="L339" i="4"/>
  <c r="M300" i="4"/>
  <c r="L300" i="4"/>
  <c r="M244" i="4"/>
  <c r="M240" i="4"/>
  <c r="L244" i="4"/>
  <c r="M192" i="4"/>
  <c r="L192" i="4"/>
  <c r="L190" i="4" s="1"/>
  <c r="M102" i="4"/>
  <c r="M98" i="4"/>
  <c r="E140" i="9"/>
  <c r="E221" i="9"/>
  <c r="E313" i="9"/>
  <c r="E360" i="9"/>
  <c r="M379" i="4"/>
  <c r="E397" i="9"/>
  <c r="E398" i="9" s="1"/>
  <c r="L102" i="4"/>
  <c r="M28" i="4" l="1"/>
  <c r="M403" i="4"/>
  <c r="L403" i="4"/>
  <c r="L401" i="4"/>
  <c r="L337" i="4"/>
  <c r="L335" i="4"/>
  <c r="L298" i="4"/>
  <c r="L296" i="4"/>
  <c r="L242" i="4"/>
  <c r="L240" i="4"/>
  <c r="L188" i="4"/>
  <c r="L100" i="4"/>
  <c r="L98" i="4"/>
  <c r="M242" i="4"/>
  <c r="M337" i="4"/>
  <c r="M190" i="4"/>
  <c r="M100" i="4"/>
  <c r="M298" i="4"/>
  <c r="M265" i="4"/>
  <c r="M211" i="4"/>
  <c r="M126" i="4"/>
  <c r="M53" i="4"/>
  <c r="E15" i="9" l="1"/>
  <c r="D17" i="9"/>
  <c r="L22" i="14"/>
  <c r="K22" i="14"/>
  <c r="J22" i="14"/>
  <c r="I22" i="14"/>
  <c r="H22" i="14"/>
  <c r="G22" i="14"/>
  <c r="F22" i="14"/>
  <c r="E22" i="14"/>
  <c r="D22" i="14"/>
  <c r="C22" i="14"/>
  <c r="L59" i="14"/>
  <c r="K59" i="14"/>
  <c r="J59" i="14"/>
  <c r="I59" i="14"/>
  <c r="H59" i="14"/>
  <c r="G59" i="14"/>
  <c r="F59" i="14"/>
  <c r="E59" i="14"/>
  <c r="D59" i="14"/>
  <c r="L80" i="14"/>
  <c r="K80" i="14"/>
  <c r="J80" i="14"/>
  <c r="I80" i="14"/>
  <c r="H80" i="14"/>
  <c r="G80" i="14"/>
  <c r="F80" i="14"/>
  <c r="E80" i="14"/>
  <c r="D80" i="14"/>
  <c r="L71" i="14"/>
  <c r="K71" i="14"/>
  <c r="J71" i="14"/>
  <c r="I71" i="14"/>
  <c r="H71" i="14"/>
  <c r="G71" i="14"/>
  <c r="F71" i="14"/>
  <c r="E71" i="14"/>
  <c r="D71" i="14"/>
  <c r="L50" i="14"/>
  <c r="K50" i="14"/>
  <c r="J50" i="14"/>
  <c r="I50" i="14"/>
  <c r="H50" i="14"/>
  <c r="G50" i="14"/>
  <c r="F50" i="14"/>
  <c r="E50" i="14"/>
  <c r="D50" i="14"/>
  <c r="L37" i="14"/>
  <c r="K37" i="14"/>
  <c r="J37" i="14"/>
  <c r="I37" i="14"/>
  <c r="H37" i="14"/>
  <c r="G37" i="14"/>
  <c r="F37" i="14"/>
  <c r="E37" i="14"/>
  <c r="D37" i="14"/>
  <c r="C37" i="14"/>
  <c r="D392" i="9"/>
  <c r="E354" i="9"/>
  <c r="E353" i="9"/>
  <c r="E352" i="9"/>
  <c r="E351" i="9"/>
  <c r="D353" i="9"/>
  <c r="D352" i="9"/>
  <c r="D351" i="9"/>
  <c r="E307" i="9"/>
  <c r="E308" i="9" s="1"/>
  <c r="E316" i="9" s="1"/>
  <c r="D307" i="9"/>
  <c r="D308" i="9" s="1"/>
  <c r="L225" i="4"/>
  <c r="M225" i="4"/>
  <c r="L226" i="4"/>
  <c r="M226" i="4"/>
  <c r="L218" i="4"/>
  <c r="M218" i="4"/>
  <c r="L219" i="4"/>
  <c r="M219" i="4"/>
  <c r="L220" i="4"/>
  <c r="M220" i="4"/>
  <c r="L221" i="4"/>
  <c r="M221" i="4"/>
  <c r="L222" i="4"/>
  <c r="M222" i="4"/>
  <c r="D212" i="9"/>
  <c r="E212" i="9"/>
  <c r="D213" i="9"/>
  <c r="E213" i="9"/>
  <c r="D214" i="9"/>
  <c r="E214" i="9"/>
  <c r="D215" i="9"/>
  <c r="E215" i="9"/>
  <c r="E134" i="9"/>
  <c r="D134" i="9"/>
  <c r="D135" i="9" s="1"/>
  <c r="D11" i="9" s="1"/>
  <c r="M87" i="4"/>
  <c r="D15" i="9" l="1"/>
  <c r="D396" i="9"/>
  <c r="D398" i="9"/>
  <c r="D13" i="9"/>
  <c r="D312" i="9"/>
  <c r="D316" i="9"/>
  <c r="D314" i="9"/>
  <c r="E13" i="9"/>
  <c r="E312" i="9"/>
  <c r="E314" i="9"/>
  <c r="E135" i="9"/>
  <c r="D355" i="9"/>
  <c r="D14" i="9" s="1"/>
  <c r="E216" i="9"/>
  <c r="D216" i="9"/>
  <c r="D12" i="9" s="1"/>
  <c r="E355" i="9"/>
  <c r="M84" i="4"/>
  <c r="L84" i="4"/>
  <c r="M83" i="4"/>
  <c r="L83" i="4"/>
  <c r="M82" i="4"/>
  <c r="L82" i="4"/>
  <c r="M81" i="4"/>
  <c r="L81" i="4"/>
  <c r="M80" i="4"/>
  <c r="L80" i="4"/>
  <c r="L76" i="4"/>
  <c r="M76" i="4"/>
  <c r="L77" i="4"/>
  <c r="M77" i="4"/>
  <c r="L69" i="4"/>
  <c r="M69" i="4"/>
  <c r="L70" i="4"/>
  <c r="M70" i="4"/>
  <c r="L71" i="4"/>
  <c r="M71" i="4"/>
  <c r="L72" i="4"/>
  <c r="M72" i="4"/>
  <c r="L73" i="4"/>
  <c r="M73" i="4"/>
  <c r="M387" i="4"/>
  <c r="L387" i="4"/>
  <c r="K387" i="4"/>
  <c r="J387" i="4"/>
  <c r="I387" i="4"/>
  <c r="H387" i="4"/>
  <c r="G387" i="4"/>
  <c r="F387" i="4"/>
  <c r="E387" i="4"/>
  <c r="D387" i="4"/>
  <c r="M345" i="4"/>
  <c r="L345" i="4"/>
  <c r="K345" i="4"/>
  <c r="J345" i="4"/>
  <c r="I345" i="4"/>
  <c r="H345" i="4"/>
  <c r="G345" i="4"/>
  <c r="F345" i="4"/>
  <c r="E345" i="4"/>
  <c r="D345" i="4"/>
  <c r="M306" i="4"/>
  <c r="L306" i="4"/>
  <c r="K306" i="4"/>
  <c r="J306" i="4"/>
  <c r="I306" i="4"/>
  <c r="H306" i="4"/>
  <c r="G306" i="4"/>
  <c r="F306" i="4"/>
  <c r="E306" i="4"/>
  <c r="D306" i="4"/>
  <c r="M250" i="4"/>
  <c r="L250" i="4"/>
  <c r="K250" i="4"/>
  <c r="J250" i="4"/>
  <c r="I250" i="4"/>
  <c r="H250" i="4"/>
  <c r="G250" i="4"/>
  <c r="F250" i="4"/>
  <c r="E250" i="4"/>
  <c r="D250" i="4"/>
  <c r="M198" i="4"/>
  <c r="L198" i="4"/>
  <c r="K198" i="4"/>
  <c r="J198" i="4"/>
  <c r="I198" i="4"/>
  <c r="H198" i="4"/>
  <c r="G198" i="4"/>
  <c r="F198" i="4"/>
  <c r="E198" i="4"/>
  <c r="D198" i="4"/>
  <c r="M108" i="4"/>
  <c r="L108" i="4"/>
  <c r="K108" i="4"/>
  <c r="J108" i="4"/>
  <c r="I108" i="4"/>
  <c r="H108" i="4"/>
  <c r="G108" i="4"/>
  <c r="F108" i="4"/>
  <c r="E108" i="4"/>
  <c r="D108" i="4"/>
  <c r="M40" i="4"/>
  <c r="L40" i="4"/>
  <c r="K40" i="4"/>
  <c r="J40" i="4"/>
  <c r="I40" i="4"/>
  <c r="H40" i="4"/>
  <c r="G40" i="4"/>
  <c r="F40" i="4"/>
  <c r="E40" i="4"/>
  <c r="D40" i="4"/>
  <c r="L393" i="4"/>
  <c r="L392" i="4"/>
  <c r="L389" i="4"/>
  <c r="L388" i="4"/>
  <c r="L373" i="4"/>
  <c r="L353" i="4"/>
  <c r="L352" i="4"/>
  <c r="L351" i="4"/>
  <c r="L348" i="4"/>
  <c r="L347" i="4"/>
  <c r="L346" i="4"/>
  <c r="L331" i="4"/>
  <c r="L330" i="4"/>
  <c r="L329" i="4"/>
  <c r="L309" i="4"/>
  <c r="L308" i="4"/>
  <c r="L307" i="4"/>
  <c r="L286" i="4"/>
  <c r="L292" i="4" s="1"/>
  <c r="L285" i="4"/>
  <c r="L282" i="4"/>
  <c r="L281" i="4"/>
  <c r="L278" i="4"/>
  <c r="L277" i="4"/>
  <c r="L276" i="4"/>
  <c r="L275" i="4"/>
  <c r="L274" i="4"/>
  <c r="L273" i="4"/>
  <c r="L272" i="4"/>
  <c r="L269" i="4"/>
  <c r="L268" i="4"/>
  <c r="L257" i="4"/>
  <c r="L256" i="4"/>
  <c r="L255" i="4"/>
  <c r="L254" i="4"/>
  <c r="L253" i="4"/>
  <c r="L252" i="4"/>
  <c r="L251" i="4"/>
  <c r="L237" i="4"/>
  <c r="L241" i="4" s="1"/>
  <c r="L236" i="4"/>
  <c r="L235" i="4"/>
  <c r="L234" i="4"/>
  <c r="L233" i="4"/>
  <c r="L230" i="4"/>
  <c r="L229" i="4"/>
  <c r="L215" i="4"/>
  <c r="L34" i="4" s="1"/>
  <c r="L214" i="4"/>
  <c r="L203" i="4"/>
  <c r="L202" i="4"/>
  <c r="L201" i="4"/>
  <c r="L200" i="4"/>
  <c r="L199" i="4"/>
  <c r="L178" i="4"/>
  <c r="L184" i="4" s="1"/>
  <c r="L177" i="4"/>
  <c r="L174" i="4"/>
  <c r="L173" i="4"/>
  <c r="L172" i="4"/>
  <c r="L171" i="4"/>
  <c r="L170" i="4"/>
  <c r="L169" i="4"/>
  <c r="L168" i="4"/>
  <c r="L167" i="4"/>
  <c r="L166" i="4"/>
  <c r="L165" i="4"/>
  <c r="L164" i="4"/>
  <c r="L161" i="4"/>
  <c r="L160" i="4"/>
  <c r="L157" i="4"/>
  <c r="L156" i="4"/>
  <c r="L155" i="4"/>
  <c r="L154" i="4"/>
  <c r="L153" i="4"/>
  <c r="L152" i="4"/>
  <c r="L151" i="4"/>
  <c r="L150" i="4"/>
  <c r="L149" i="4"/>
  <c r="L148" i="4"/>
  <c r="L144" i="4"/>
  <c r="L143" i="4"/>
  <c r="L142" i="4"/>
  <c r="L141" i="4"/>
  <c r="L140" i="4"/>
  <c r="L139" i="4"/>
  <c r="L138" i="4"/>
  <c r="L137" i="4"/>
  <c r="L136" i="4"/>
  <c r="L135" i="4"/>
  <c r="L134" i="4"/>
  <c r="L130" i="4"/>
  <c r="L129" i="4"/>
  <c r="L118" i="4"/>
  <c r="L117" i="4"/>
  <c r="L116" i="4"/>
  <c r="L115" i="4"/>
  <c r="L114" i="4"/>
  <c r="L113" i="4"/>
  <c r="L112" i="4"/>
  <c r="L111" i="4"/>
  <c r="L110" i="4"/>
  <c r="L109" i="4"/>
  <c r="L95" i="4"/>
  <c r="L99" i="4" s="1"/>
  <c r="L94" i="4"/>
  <c r="L93" i="4"/>
  <c r="L92" i="4"/>
  <c r="L91" i="4"/>
  <c r="L88" i="4"/>
  <c r="L87" i="4"/>
  <c r="L65" i="4"/>
  <c r="L64" i="4"/>
  <c r="L63" i="4"/>
  <c r="L62" i="4"/>
  <c r="L61" i="4"/>
  <c r="L56" i="4"/>
  <c r="L45" i="4"/>
  <c r="L44" i="4"/>
  <c r="L43" i="4"/>
  <c r="L42" i="4"/>
  <c r="L41" i="4"/>
  <c r="L30" i="4"/>
  <c r="L29" i="4"/>
  <c r="L28" i="4"/>
  <c r="M29" i="4"/>
  <c r="M393" i="4"/>
  <c r="M392" i="4"/>
  <c r="M389" i="4"/>
  <c r="M388" i="4"/>
  <c r="M373" i="4"/>
  <c r="M372" i="4"/>
  <c r="M371" i="4"/>
  <c r="M331" i="4"/>
  <c r="M330" i="4"/>
  <c r="M329" i="4"/>
  <c r="M309" i="4"/>
  <c r="M308" i="4"/>
  <c r="M307" i="4"/>
  <c r="M286" i="4"/>
  <c r="M292" i="4" s="1"/>
  <c r="M285" i="4"/>
  <c r="M282" i="4"/>
  <c r="M281" i="4"/>
  <c r="M278" i="4"/>
  <c r="M277" i="4"/>
  <c r="M276" i="4"/>
  <c r="M275" i="4"/>
  <c r="M274" i="4"/>
  <c r="M273" i="4"/>
  <c r="M272" i="4"/>
  <c r="M269" i="4"/>
  <c r="M35" i="4" s="1"/>
  <c r="L38" i="14" s="1"/>
  <c r="L39" i="14" s="1"/>
  <c r="M268" i="4"/>
  <c r="M257" i="4"/>
  <c r="M256" i="4"/>
  <c r="M255" i="4"/>
  <c r="M254" i="4"/>
  <c r="M253" i="4"/>
  <c r="M252" i="4"/>
  <c r="M237" i="4"/>
  <c r="M245" i="4" s="1"/>
  <c r="M236" i="4"/>
  <c r="M235" i="4"/>
  <c r="M234" i="4"/>
  <c r="M233" i="4"/>
  <c r="M230" i="4"/>
  <c r="M229" i="4"/>
  <c r="M215" i="4"/>
  <c r="M34" i="4" s="1"/>
  <c r="M214" i="4"/>
  <c r="M203" i="4"/>
  <c r="M202" i="4"/>
  <c r="M201" i="4"/>
  <c r="M200" i="4"/>
  <c r="M199" i="4"/>
  <c r="M178" i="4"/>
  <c r="M184" i="4" s="1"/>
  <c r="M177" i="4"/>
  <c r="M174" i="4"/>
  <c r="M173" i="4"/>
  <c r="M172" i="4"/>
  <c r="M171" i="4"/>
  <c r="M170" i="4"/>
  <c r="M169" i="4"/>
  <c r="M168" i="4"/>
  <c r="M167" i="4"/>
  <c r="M166" i="4"/>
  <c r="M165" i="4"/>
  <c r="M164" i="4"/>
  <c r="M161" i="4"/>
  <c r="M160" i="4"/>
  <c r="M157" i="4"/>
  <c r="M156" i="4"/>
  <c r="M155" i="4"/>
  <c r="M154" i="4"/>
  <c r="M153" i="4"/>
  <c r="M151" i="4"/>
  <c r="M150" i="4"/>
  <c r="M149" i="4"/>
  <c r="M148" i="4"/>
  <c r="M144" i="4"/>
  <c r="M143" i="4"/>
  <c r="M142" i="4"/>
  <c r="M141" i="4"/>
  <c r="M140" i="4"/>
  <c r="M139" i="4"/>
  <c r="M138" i="4"/>
  <c r="M137" i="4"/>
  <c r="M136" i="4"/>
  <c r="M135" i="4"/>
  <c r="M134" i="4"/>
  <c r="M130" i="4"/>
  <c r="M129" i="4"/>
  <c r="M118" i="4"/>
  <c r="M117" i="4"/>
  <c r="M116" i="4"/>
  <c r="M115" i="4"/>
  <c r="M114" i="4"/>
  <c r="M113" i="4"/>
  <c r="M112" i="4"/>
  <c r="M111" i="4"/>
  <c r="M110" i="4"/>
  <c r="M109" i="4"/>
  <c r="M94" i="4"/>
  <c r="M93" i="4"/>
  <c r="M92" i="4"/>
  <c r="M91" i="4"/>
  <c r="M88" i="4"/>
  <c r="M65" i="4"/>
  <c r="M64" i="4"/>
  <c r="M63" i="4"/>
  <c r="M62" i="4"/>
  <c r="M61" i="4"/>
  <c r="M56" i="4"/>
  <c r="M57" i="4" s="1"/>
  <c r="M45" i="4"/>
  <c r="M44" i="4"/>
  <c r="M43" i="4"/>
  <c r="M42" i="4"/>
  <c r="M41" i="4"/>
  <c r="L47" i="14" l="1"/>
  <c r="L49" i="14" s="1"/>
  <c r="M40" i="14"/>
  <c r="M47" i="14" s="1"/>
  <c r="M49" i="14" s="1"/>
  <c r="E12" i="9"/>
  <c r="E220" i="9"/>
  <c r="E222" i="9"/>
  <c r="E11" i="9"/>
  <c r="E139" i="9"/>
  <c r="E141" i="9"/>
  <c r="E14" i="9"/>
  <c r="E359" i="9"/>
  <c r="E361" i="9"/>
  <c r="D18" i="9"/>
  <c r="M95" i="4"/>
  <c r="M15" i="4" s="1"/>
  <c r="M17" i="4"/>
  <c r="L371" i="4"/>
  <c r="M374" i="4"/>
  <c r="M380" i="4" s="1"/>
  <c r="L372" i="4"/>
  <c r="M243" i="4"/>
  <c r="M290" i="4"/>
  <c r="L131" i="4"/>
  <c r="L396" i="4"/>
  <c r="M241" i="4"/>
  <c r="L66" i="4"/>
  <c r="L32" i="4" s="1"/>
  <c r="L181" i="4"/>
  <c r="L183" i="4"/>
  <c r="M131" i="4"/>
  <c r="M258" i="4"/>
  <c r="L81" i="14" s="1"/>
  <c r="M332" i="4"/>
  <c r="L182" i="4"/>
  <c r="L291" i="4"/>
  <c r="L290" i="4"/>
  <c r="L332" i="4"/>
  <c r="L340" i="4" s="1"/>
  <c r="M397" i="4"/>
  <c r="L258" i="4"/>
  <c r="K81" i="14" s="1"/>
  <c r="K91" i="14" s="1"/>
  <c r="L119" i="4"/>
  <c r="L245" i="4"/>
  <c r="L397" i="4"/>
  <c r="L398" i="4" s="1"/>
  <c r="L404" i="4" s="1"/>
  <c r="M181" i="4"/>
  <c r="L204" i="4"/>
  <c r="K72" i="14" s="1"/>
  <c r="K79" i="14" s="1"/>
  <c r="L243" i="4"/>
  <c r="M396" i="4"/>
  <c r="L46" i="4"/>
  <c r="K51" i="14" s="1"/>
  <c r="K58" i="14" s="1"/>
  <c r="L101" i="4"/>
  <c r="L15" i="4"/>
  <c r="L103" i="4"/>
  <c r="L35" i="4"/>
  <c r="K38" i="14" s="1"/>
  <c r="K39" i="14" s="1"/>
  <c r="K47" i="14" s="1"/>
  <c r="K49" i="14" s="1"/>
  <c r="L145" i="4"/>
  <c r="L33" i="4" s="1"/>
  <c r="K23" i="14" s="1"/>
  <c r="K24" i="14" s="1"/>
  <c r="L289" i="4"/>
  <c r="L17" i="4"/>
  <c r="M66" i="4"/>
  <c r="M32" i="4" s="1"/>
  <c r="M119" i="4"/>
  <c r="M289" i="4"/>
  <c r="M103" i="4"/>
  <c r="M183" i="4"/>
  <c r="M291" i="4"/>
  <c r="M46" i="4"/>
  <c r="L51" i="14" s="1"/>
  <c r="L58" i="14" s="1"/>
  <c r="M204" i="4"/>
  <c r="L72" i="14" s="1"/>
  <c r="L79" i="14" s="1"/>
  <c r="M182" i="4"/>
  <c r="M145" i="4"/>
  <c r="M58" i="4"/>
  <c r="E429" i="9"/>
  <c r="L91" i="14" l="1"/>
  <c r="M99" i="4"/>
  <c r="M19" i="4"/>
  <c r="M33" i="4"/>
  <c r="L23" i="14" s="1"/>
  <c r="L24" i="14" s="1"/>
  <c r="M25" i="14" s="1"/>
  <c r="M34" i="14" s="1"/>
  <c r="M36" i="14" s="1"/>
  <c r="L60" i="14"/>
  <c r="L70" i="14" s="1"/>
  <c r="K60" i="14"/>
  <c r="M101" i="4"/>
  <c r="M20" i="4"/>
  <c r="M378" i="4"/>
  <c r="L374" i="4"/>
  <c r="L378" i="4" s="1"/>
  <c r="M336" i="4"/>
  <c r="M340" i="4"/>
  <c r="L293" i="4"/>
  <c r="L297" i="4" s="1"/>
  <c r="L338" i="4"/>
  <c r="L185" i="4"/>
  <c r="L16" i="4" s="1"/>
  <c r="L19" i="4"/>
  <c r="M338" i="4"/>
  <c r="L336" i="4"/>
  <c r="M398" i="4"/>
  <c r="L406" i="4"/>
  <c r="L402" i="4"/>
  <c r="L21" i="4"/>
  <c r="M185" i="4"/>
  <c r="M189" i="4" s="1"/>
  <c r="M293" i="4"/>
  <c r="M297" i="4" s="1"/>
  <c r="E431" i="9"/>
  <c r="E430" i="9"/>
  <c r="D431" i="9"/>
  <c r="D430" i="9"/>
  <c r="D429" i="9"/>
  <c r="K70" i="14" l="1"/>
  <c r="L34" i="14"/>
  <c r="L301" i="4"/>
  <c r="L20" i="4"/>
  <c r="L380" i="4"/>
  <c r="L382" i="4"/>
  <c r="L299" i="4"/>
  <c r="L18" i="4"/>
  <c r="E432" i="9"/>
  <c r="D432" i="9"/>
  <c r="L191" i="4"/>
  <c r="L193" i="4"/>
  <c r="L189" i="4"/>
  <c r="M191" i="4"/>
  <c r="M16" i="4"/>
  <c r="M193" i="4"/>
  <c r="M18" i="4"/>
  <c r="M301" i="4"/>
  <c r="M406" i="4"/>
  <c r="M21" i="4"/>
  <c r="M404" i="4"/>
  <c r="M402" i="4"/>
  <c r="M299" i="4"/>
  <c r="L22" i="4" l="1"/>
  <c r="L26" i="4" s="1"/>
  <c r="M22" i="4"/>
  <c r="E451" i="9"/>
  <c r="E450" i="9"/>
  <c r="E162" i="9"/>
  <c r="D38" i="9"/>
  <c r="D56" i="9"/>
  <c r="L57" i="4" s="1"/>
  <c r="L58" i="4" s="1"/>
  <c r="L25" i="4" l="1"/>
  <c r="K10" i="14"/>
  <c r="L24" i="4"/>
  <c r="E452" i="9"/>
  <c r="M24" i="4"/>
  <c r="L10" i="14"/>
  <c r="M25" i="4"/>
  <c r="E456" i="9" l="1"/>
  <c r="E458" i="9"/>
  <c r="E460" i="9"/>
  <c r="E17" i="9"/>
  <c r="E18" i="9" s="1"/>
  <c r="L13" i="14"/>
  <c r="L16" i="14" s="1"/>
  <c r="K13" i="14"/>
  <c r="K16" i="14" s="1"/>
  <c r="K19" i="14" s="1"/>
  <c r="K21" i="14" s="1"/>
  <c r="L19" i="14" l="1"/>
  <c r="L21" i="14" s="1"/>
  <c r="H265" i="4" l="1"/>
  <c r="I265" i="4"/>
  <c r="J265" i="4"/>
  <c r="K265" i="4"/>
  <c r="G265" i="4"/>
  <c r="F211" i="4" l="1"/>
  <c r="G211" i="4"/>
  <c r="H211" i="4"/>
  <c r="I211" i="4"/>
  <c r="J211" i="4"/>
  <c r="K211" i="4"/>
  <c r="E211" i="4"/>
  <c r="E126" i="4"/>
  <c r="F126" i="4"/>
  <c r="G126" i="4"/>
  <c r="H126" i="4"/>
  <c r="I126" i="4"/>
  <c r="J126" i="4"/>
  <c r="K126" i="4"/>
  <c r="D126" i="4" l="1"/>
  <c r="J47" i="14" l="1"/>
  <c r="J49" i="14" s="1"/>
  <c r="I47" i="14"/>
  <c r="I49" i="14" s="1"/>
  <c r="H47" i="14"/>
  <c r="H49" i="14" s="1"/>
  <c r="G47" i="14"/>
  <c r="G49" i="14" s="1"/>
  <c r="F47" i="14"/>
  <c r="F49" i="14" s="1"/>
  <c r="E47" i="14"/>
  <c r="E49" i="14" s="1"/>
  <c r="D47" i="14"/>
  <c r="D49" i="14" s="1"/>
  <c r="C47" i="14"/>
  <c r="C49" i="14" s="1"/>
  <c r="M30" i="4" l="1"/>
  <c r="M382" i="4"/>
  <c r="M26" i="4" l="1"/>
  <c r="E371" i="4" l="1"/>
  <c r="E373" i="4"/>
  <c r="D373" i="4"/>
  <c r="E372" i="4"/>
  <c r="D372" i="4"/>
  <c r="D371" i="4"/>
  <c r="H373" i="4"/>
  <c r="G373" i="4"/>
  <c r="F373" i="4"/>
  <c r="G372" i="4"/>
  <c r="F372" i="4"/>
  <c r="G371" i="4"/>
  <c r="F371" i="4"/>
  <c r="E374" i="4" l="1"/>
  <c r="E382" i="4" s="1"/>
  <c r="D374" i="4"/>
  <c r="F374" i="4"/>
  <c r="G374" i="4"/>
  <c r="G382" i="4" s="1"/>
  <c r="K28" i="4"/>
  <c r="K30" i="4"/>
  <c r="D30" i="4"/>
  <c r="E30" i="4"/>
  <c r="F30" i="4"/>
  <c r="G30" i="4"/>
  <c r="H30" i="4"/>
  <c r="I30" i="4"/>
  <c r="J30" i="4"/>
  <c r="K29" i="4"/>
  <c r="D28" i="4"/>
  <c r="D29" i="4"/>
  <c r="H356" i="4"/>
  <c r="H353" i="4"/>
  <c r="H352" i="4"/>
  <c r="H351" i="4"/>
  <c r="H348" i="4"/>
  <c r="H347" i="4"/>
  <c r="H346" i="4"/>
  <c r="J373" i="4"/>
  <c r="I373" i="4"/>
  <c r="K368" i="4"/>
  <c r="K373" i="4" s="1"/>
  <c r="K359" i="4"/>
  <c r="I359" i="4"/>
  <c r="K358" i="4"/>
  <c r="I358" i="4"/>
  <c r="K357" i="4"/>
  <c r="K356" i="4"/>
  <c r="K353" i="4"/>
  <c r="J353" i="4"/>
  <c r="I353" i="4"/>
  <c r="K352" i="4"/>
  <c r="J352" i="4"/>
  <c r="I352" i="4"/>
  <c r="K351" i="4"/>
  <c r="J351" i="4"/>
  <c r="I351" i="4"/>
  <c r="K348" i="4"/>
  <c r="J348" i="4"/>
  <c r="I348" i="4"/>
  <c r="K347" i="4"/>
  <c r="J347" i="4"/>
  <c r="I347" i="4"/>
  <c r="K346" i="4"/>
  <c r="J346" i="4"/>
  <c r="I346" i="4"/>
  <c r="H396" i="4"/>
  <c r="I396" i="4"/>
  <c r="J396" i="4"/>
  <c r="K396" i="4"/>
  <c r="H397" i="4"/>
  <c r="I397" i="4"/>
  <c r="J397" i="4"/>
  <c r="K397" i="4"/>
  <c r="H329" i="4"/>
  <c r="I329" i="4"/>
  <c r="J329" i="4"/>
  <c r="K329" i="4"/>
  <c r="H330" i="4"/>
  <c r="I330" i="4"/>
  <c r="I331" i="4"/>
  <c r="J330" i="4"/>
  <c r="K330" i="4"/>
  <c r="H331" i="4"/>
  <c r="J331" i="4"/>
  <c r="K331" i="4"/>
  <c r="H289" i="4"/>
  <c r="I289" i="4"/>
  <c r="J289" i="4"/>
  <c r="K289" i="4"/>
  <c r="H290" i="4"/>
  <c r="I290" i="4"/>
  <c r="J290" i="4"/>
  <c r="K290" i="4"/>
  <c r="H291" i="4"/>
  <c r="I291" i="4"/>
  <c r="J291" i="4"/>
  <c r="K291" i="4"/>
  <c r="H292" i="4"/>
  <c r="I292" i="4"/>
  <c r="J292" i="4"/>
  <c r="K292" i="4"/>
  <c r="H258" i="4"/>
  <c r="G81" i="14" s="1"/>
  <c r="G91" i="14" s="1"/>
  <c r="I258" i="4"/>
  <c r="H81" i="14" s="1"/>
  <c r="H91" i="14" s="1"/>
  <c r="J258" i="4"/>
  <c r="I81" i="14" s="1"/>
  <c r="I91" i="14" s="1"/>
  <c r="K258" i="4"/>
  <c r="J81" i="14" s="1"/>
  <c r="J91" i="14" s="1"/>
  <c r="H233" i="4"/>
  <c r="I233" i="4"/>
  <c r="J233" i="4"/>
  <c r="K233" i="4"/>
  <c r="H234" i="4"/>
  <c r="I234" i="4"/>
  <c r="J234" i="4"/>
  <c r="K234" i="4"/>
  <c r="H235" i="4"/>
  <c r="I235" i="4"/>
  <c r="J235" i="4"/>
  <c r="K235" i="4"/>
  <c r="H236" i="4"/>
  <c r="I236" i="4"/>
  <c r="J236" i="4"/>
  <c r="K236" i="4"/>
  <c r="H204" i="4"/>
  <c r="G72" i="14" s="1"/>
  <c r="G79" i="14" s="1"/>
  <c r="I204" i="4"/>
  <c r="H72" i="14" s="1"/>
  <c r="H79" i="14" s="1"/>
  <c r="J204" i="4"/>
  <c r="I72" i="14" s="1"/>
  <c r="I79" i="14" s="1"/>
  <c r="K204" i="4"/>
  <c r="J72" i="14" s="1"/>
  <c r="J79" i="14" s="1"/>
  <c r="H181" i="4"/>
  <c r="I181" i="4"/>
  <c r="J181" i="4"/>
  <c r="K181" i="4"/>
  <c r="H182" i="4"/>
  <c r="I182" i="4"/>
  <c r="J182" i="4"/>
  <c r="K182" i="4"/>
  <c r="H183" i="4"/>
  <c r="I183" i="4"/>
  <c r="J183" i="4"/>
  <c r="K183" i="4"/>
  <c r="H184" i="4"/>
  <c r="I184" i="4"/>
  <c r="J184" i="4"/>
  <c r="K184" i="4"/>
  <c r="H145" i="4"/>
  <c r="H33" i="4" s="1"/>
  <c r="I145" i="4"/>
  <c r="I33" i="4" s="1"/>
  <c r="H23" i="14" s="1"/>
  <c r="H24" i="14" s="1"/>
  <c r="J145" i="4"/>
  <c r="J33" i="4" s="1"/>
  <c r="I23" i="14" s="1"/>
  <c r="I24" i="14" s="1"/>
  <c r="K145" i="4"/>
  <c r="K33" i="4" s="1"/>
  <c r="J23" i="14" s="1"/>
  <c r="J24" i="14" s="1"/>
  <c r="H131" i="4"/>
  <c r="I131" i="4"/>
  <c r="J131" i="4"/>
  <c r="K131" i="4"/>
  <c r="H119" i="4"/>
  <c r="I119" i="4"/>
  <c r="J119" i="4"/>
  <c r="K119" i="4"/>
  <c r="H91" i="4"/>
  <c r="I91" i="4"/>
  <c r="J91" i="4"/>
  <c r="K91" i="4"/>
  <c r="H92" i="4"/>
  <c r="I92" i="4"/>
  <c r="J92" i="4"/>
  <c r="K92" i="4"/>
  <c r="H93" i="4"/>
  <c r="I93" i="4"/>
  <c r="J93" i="4"/>
  <c r="K93" i="4"/>
  <c r="H94" i="4"/>
  <c r="I94" i="4"/>
  <c r="J94" i="4"/>
  <c r="K94" i="4"/>
  <c r="H66" i="4"/>
  <c r="H32" i="4" s="1"/>
  <c r="I66" i="4"/>
  <c r="I32" i="4" s="1"/>
  <c r="J66" i="4"/>
  <c r="J32" i="4" s="1"/>
  <c r="K66" i="4"/>
  <c r="K32" i="4" s="1"/>
  <c r="H58" i="4"/>
  <c r="I58" i="4"/>
  <c r="J58" i="4"/>
  <c r="K58" i="4"/>
  <c r="H46" i="4"/>
  <c r="G51" i="14" s="1"/>
  <c r="G58" i="14" s="1"/>
  <c r="I46" i="4"/>
  <c r="H51" i="14" s="1"/>
  <c r="H58" i="14" s="1"/>
  <c r="J46" i="4"/>
  <c r="I51" i="14" s="1"/>
  <c r="I58" i="14" s="1"/>
  <c r="K46" i="4"/>
  <c r="J51" i="14" s="1"/>
  <c r="J58" i="14" s="1"/>
  <c r="U373" i="4"/>
  <c r="U292" i="4"/>
  <c r="U184" i="4"/>
  <c r="D184" i="4"/>
  <c r="D94" i="4"/>
  <c r="D93" i="4"/>
  <c r="D92" i="4"/>
  <c r="E28" i="4"/>
  <c r="F28" i="4"/>
  <c r="G28" i="4"/>
  <c r="H28" i="4"/>
  <c r="I28" i="4"/>
  <c r="J28" i="4"/>
  <c r="E29" i="4"/>
  <c r="F29" i="4"/>
  <c r="G29" i="4"/>
  <c r="H29" i="4"/>
  <c r="I29" i="4"/>
  <c r="J29" i="4"/>
  <c r="D292" i="4"/>
  <c r="D258" i="4"/>
  <c r="C81" i="14" s="1"/>
  <c r="C91" i="14" s="1"/>
  <c r="E292" i="4"/>
  <c r="F292" i="4"/>
  <c r="G292" i="4"/>
  <c r="E184" i="4"/>
  <c r="F184" i="4"/>
  <c r="G184" i="4"/>
  <c r="D34" i="4"/>
  <c r="E34" i="4"/>
  <c r="F34" i="4"/>
  <c r="G34" i="4"/>
  <c r="H34" i="4"/>
  <c r="I34" i="4"/>
  <c r="J34" i="4"/>
  <c r="K34" i="4"/>
  <c r="E35" i="4"/>
  <c r="F35" i="4"/>
  <c r="G35" i="4"/>
  <c r="H35" i="4"/>
  <c r="I35" i="4"/>
  <c r="J35" i="4"/>
  <c r="K35" i="4"/>
  <c r="D35" i="4"/>
  <c r="D396" i="4"/>
  <c r="D397" i="4"/>
  <c r="D291" i="4"/>
  <c r="D290" i="4"/>
  <c r="D289" i="4"/>
  <c r="D145" i="4"/>
  <c r="D33" i="4" s="1"/>
  <c r="C23" i="14" s="1"/>
  <c r="C24" i="14" s="1"/>
  <c r="D66" i="4"/>
  <c r="D32" i="4" s="1"/>
  <c r="D58" i="4"/>
  <c r="G397" i="4"/>
  <c r="F397" i="4"/>
  <c r="E397" i="4"/>
  <c r="G396" i="4"/>
  <c r="F396" i="4"/>
  <c r="E396" i="4"/>
  <c r="G331" i="4"/>
  <c r="F331" i="4"/>
  <c r="E331" i="4"/>
  <c r="D331" i="4"/>
  <c r="G330" i="4"/>
  <c r="F330" i="4"/>
  <c r="E330" i="4"/>
  <c r="D330" i="4"/>
  <c r="G329" i="4"/>
  <c r="F329" i="4"/>
  <c r="E329" i="4"/>
  <c r="D329" i="4"/>
  <c r="G291" i="4"/>
  <c r="F291" i="4"/>
  <c r="E291" i="4"/>
  <c r="G290" i="4"/>
  <c r="F290" i="4"/>
  <c r="E290" i="4"/>
  <c r="G289" i="4"/>
  <c r="F289" i="4"/>
  <c r="E289" i="4"/>
  <c r="G258" i="4"/>
  <c r="F81" i="14" s="1"/>
  <c r="F91" i="14" s="1"/>
  <c r="F258" i="4"/>
  <c r="E81" i="14" s="1"/>
  <c r="E91" i="14" s="1"/>
  <c r="E258" i="4"/>
  <c r="D81" i="14" s="1"/>
  <c r="D91" i="14" s="1"/>
  <c r="G236" i="4"/>
  <c r="F236" i="4"/>
  <c r="E236" i="4"/>
  <c r="D236" i="4"/>
  <c r="G235" i="4"/>
  <c r="F235" i="4"/>
  <c r="E235" i="4"/>
  <c r="D235" i="4"/>
  <c r="G234" i="4"/>
  <c r="F234" i="4"/>
  <c r="E234" i="4"/>
  <c r="D234" i="4"/>
  <c r="G233" i="4"/>
  <c r="F233" i="4"/>
  <c r="F237" i="4" s="1"/>
  <c r="F241" i="4" s="1"/>
  <c r="E233" i="4"/>
  <c r="D233" i="4"/>
  <c r="G204" i="4"/>
  <c r="F72" i="14" s="1"/>
  <c r="F79" i="14" s="1"/>
  <c r="F204" i="4"/>
  <c r="E72" i="14" s="1"/>
  <c r="E79" i="14" s="1"/>
  <c r="E204" i="4"/>
  <c r="D72" i="14" s="1"/>
  <c r="D79" i="14" s="1"/>
  <c r="D204" i="4"/>
  <c r="C72" i="14" s="1"/>
  <c r="C79" i="14" s="1"/>
  <c r="G183" i="4"/>
  <c r="F183" i="4"/>
  <c r="E183" i="4"/>
  <c r="D183" i="4"/>
  <c r="G182" i="4"/>
  <c r="F182" i="4"/>
  <c r="E182" i="4"/>
  <c r="D182" i="4"/>
  <c r="G181" i="4"/>
  <c r="F181" i="4"/>
  <c r="E181" i="4"/>
  <c r="D181" i="4"/>
  <c r="K34" i="14"/>
  <c r="K36" i="14" s="1"/>
  <c r="G145" i="4"/>
  <c r="G33" i="4" s="1"/>
  <c r="F23" i="14" s="1"/>
  <c r="F24" i="14" s="1"/>
  <c r="F145" i="4"/>
  <c r="F33" i="4" s="1"/>
  <c r="E23" i="14" s="1"/>
  <c r="E24" i="14" s="1"/>
  <c r="E145" i="4"/>
  <c r="E33" i="4" s="1"/>
  <c r="D23" i="14" s="1"/>
  <c r="D24" i="14" s="1"/>
  <c r="G131" i="4"/>
  <c r="F131" i="4"/>
  <c r="E131" i="4"/>
  <c r="D131" i="4"/>
  <c r="G119" i="4"/>
  <c r="F119" i="4"/>
  <c r="E119" i="4"/>
  <c r="D119" i="4"/>
  <c r="G94" i="4"/>
  <c r="F94" i="4"/>
  <c r="E94" i="4"/>
  <c r="G93" i="4"/>
  <c r="F93" i="4"/>
  <c r="E93" i="4"/>
  <c r="G92" i="4"/>
  <c r="F92" i="4"/>
  <c r="E92" i="4"/>
  <c r="G91" i="4"/>
  <c r="F91" i="4"/>
  <c r="E91" i="4"/>
  <c r="G66" i="4"/>
  <c r="G32" i="4" s="1"/>
  <c r="F66" i="4"/>
  <c r="F32" i="4" s="1"/>
  <c r="E66" i="4"/>
  <c r="E32" i="4" s="1"/>
  <c r="G58" i="4"/>
  <c r="F58" i="4"/>
  <c r="E58" i="4"/>
  <c r="G46" i="4"/>
  <c r="F51" i="14" s="1"/>
  <c r="F58" i="14" s="1"/>
  <c r="F46" i="4"/>
  <c r="E51" i="14" s="1"/>
  <c r="E58" i="14" s="1"/>
  <c r="E46" i="4"/>
  <c r="D51" i="14" s="1"/>
  <c r="D58" i="14" s="1"/>
  <c r="D46" i="4"/>
  <c r="C51" i="14" s="1"/>
  <c r="C58" i="14" s="1"/>
  <c r="K398" i="4" l="1"/>
  <c r="K402" i="4" s="1"/>
  <c r="E237" i="4"/>
  <c r="E17" i="4" s="1"/>
  <c r="K293" i="4"/>
  <c r="K299" i="4" s="1"/>
  <c r="J398" i="4"/>
  <c r="J402" i="4" s="1"/>
  <c r="H293" i="4"/>
  <c r="H301" i="4" s="1"/>
  <c r="K237" i="4"/>
  <c r="K243" i="4" s="1"/>
  <c r="E185" i="4"/>
  <c r="E191" i="4" s="1"/>
  <c r="D398" i="4"/>
  <c r="D402" i="4" s="1"/>
  <c r="E398" i="4"/>
  <c r="E406" i="4" s="1"/>
  <c r="E293" i="4"/>
  <c r="E301" i="4" s="1"/>
  <c r="J293" i="4"/>
  <c r="J301" i="4" s="1"/>
  <c r="K372" i="4"/>
  <c r="F185" i="4"/>
  <c r="F16" i="4" s="1"/>
  <c r="D293" i="4"/>
  <c r="D297" i="4" s="1"/>
  <c r="K95" i="4"/>
  <c r="K101" i="4" s="1"/>
  <c r="I371" i="4"/>
  <c r="J371" i="4"/>
  <c r="H371" i="4"/>
  <c r="I185" i="4"/>
  <c r="I193" i="4" s="1"/>
  <c r="H332" i="4"/>
  <c r="H19" i="4" s="1"/>
  <c r="K371" i="4"/>
  <c r="J372" i="4"/>
  <c r="D60" i="14"/>
  <c r="D70" i="14" s="1"/>
  <c r="F34" i="14"/>
  <c r="F36" i="14" s="1"/>
  <c r="F60" i="14"/>
  <c r="F70" i="14" s="1"/>
  <c r="I34" i="14"/>
  <c r="I36" i="14" s="1"/>
  <c r="D332" i="4"/>
  <c r="D19" i="4" s="1"/>
  <c r="J34" i="14"/>
  <c r="J36" i="14" s="1"/>
  <c r="D237" i="4"/>
  <c r="D17" i="4" s="1"/>
  <c r="D34" i="14"/>
  <c r="D36" i="14" s="1"/>
  <c r="H34" i="14"/>
  <c r="H36" i="14" s="1"/>
  <c r="G60" i="14"/>
  <c r="G70" i="14" s="1"/>
  <c r="G23" i="14"/>
  <c r="G24" i="14" s="1"/>
  <c r="H185" i="4"/>
  <c r="H16" i="4" s="1"/>
  <c r="G380" i="4"/>
  <c r="G95" i="4"/>
  <c r="G99" i="4" s="1"/>
  <c r="E60" i="14"/>
  <c r="E70" i="14" s="1"/>
  <c r="E34" i="14"/>
  <c r="E36" i="14" s="1"/>
  <c r="G293" i="4"/>
  <c r="G299" i="4" s="1"/>
  <c r="G332" i="4"/>
  <c r="G338" i="4" s="1"/>
  <c r="C34" i="14"/>
  <c r="C36" i="14" s="1"/>
  <c r="J60" i="14"/>
  <c r="J70" i="14" s="1"/>
  <c r="I398" i="4"/>
  <c r="I406" i="4" s="1"/>
  <c r="I372" i="4"/>
  <c r="I60" i="14"/>
  <c r="I70" i="14" s="1"/>
  <c r="H398" i="4"/>
  <c r="H21" i="4" s="1"/>
  <c r="E95" i="4"/>
  <c r="E15" i="4" s="1"/>
  <c r="C60" i="14"/>
  <c r="G185" i="4"/>
  <c r="G193" i="4" s="1"/>
  <c r="G398" i="4"/>
  <c r="G406" i="4" s="1"/>
  <c r="I95" i="4"/>
  <c r="I103" i="4" s="1"/>
  <c r="H60" i="14"/>
  <c r="H70" i="14" s="1"/>
  <c r="J332" i="4"/>
  <c r="J340" i="4" s="1"/>
  <c r="H372" i="4"/>
  <c r="F398" i="4"/>
  <c r="F21" i="4" s="1"/>
  <c r="F332" i="4"/>
  <c r="F340" i="4" s="1"/>
  <c r="E332" i="4"/>
  <c r="E340" i="4" s="1"/>
  <c r="I332" i="4"/>
  <c r="I19" i="4" s="1"/>
  <c r="K332" i="4"/>
  <c r="K336" i="4" s="1"/>
  <c r="I293" i="4"/>
  <c r="I299" i="4" s="1"/>
  <c r="F293" i="4"/>
  <c r="F18" i="4" s="1"/>
  <c r="H237" i="4"/>
  <c r="H243" i="4" s="1"/>
  <c r="G237" i="4"/>
  <c r="G245" i="4" s="1"/>
  <c r="F245" i="4"/>
  <c r="J237" i="4"/>
  <c r="J17" i="4" s="1"/>
  <c r="I237" i="4"/>
  <c r="I241" i="4" s="1"/>
  <c r="F17" i="4"/>
  <c r="F243" i="4"/>
  <c r="D185" i="4"/>
  <c r="D191" i="4" s="1"/>
  <c r="K185" i="4"/>
  <c r="K193" i="4" s="1"/>
  <c r="J185" i="4"/>
  <c r="J191" i="4" s="1"/>
  <c r="F95" i="4"/>
  <c r="F101" i="4" s="1"/>
  <c r="J95" i="4"/>
  <c r="J99" i="4" s="1"/>
  <c r="D95" i="4"/>
  <c r="D99" i="4" s="1"/>
  <c r="H95" i="4"/>
  <c r="H101" i="4" s="1"/>
  <c r="G20" i="4"/>
  <c r="G378" i="4"/>
  <c r="D20" i="4"/>
  <c r="D380" i="4"/>
  <c r="D378" i="4"/>
  <c r="D382" i="4"/>
  <c r="F382" i="4"/>
  <c r="F378" i="4"/>
  <c r="F380" i="4"/>
  <c r="F20" i="4"/>
  <c r="E380" i="4"/>
  <c r="E378" i="4"/>
  <c r="E20" i="4"/>
  <c r="K21" i="4" l="1"/>
  <c r="K406" i="4"/>
  <c r="K404" i="4"/>
  <c r="E241" i="4"/>
  <c r="E245" i="4"/>
  <c r="E243" i="4"/>
  <c r="K18" i="4"/>
  <c r="K301" i="4"/>
  <c r="K297" i="4"/>
  <c r="J21" i="4"/>
  <c r="J406" i="4"/>
  <c r="J404" i="4"/>
  <c r="H297" i="4"/>
  <c r="H18" i="4"/>
  <c r="H299" i="4"/>
  <c r="K17" i="4"/>
  <c r="K245" i="4"/>
  <c r="F103" i="4"/>
  <c r="J18" i="4"/>
  <c r="E299" i="4"/>
  <c r="K241" i="4"/>
  <c r="E297" i="4"/>
  <c r="E18" i="4"/>
  <c r="K103" i="4"/>
  <c r="E16" i="4"/>
  <c r="D18" i="4"/>
  <c r="E193" i="4"/>
  <c r="J297" i="4"/>
  <c r="D404" i="4"/>
  <c r="D15" i="4"/>
  <c r="I189" i="4"/>
  <c r="D21" i="4"/>
  <c r="E189" i="4"/>
  <c r="J299" i="4"/>
  <c r="K15" i="4"/>
  <c r="K99" i="4"/>
  <c r="I191" i="4"/>
  <c r="I16" i="4"/>
  <c r="K374" i="4"/>
  <c r="K380" i="4" s="1"/>
  <c r="G15" i="4"/>
  <c r="G101" i="4"/>
  <c r="E404" i="4"/>
  <c r="F99" i="4"/>
  <c r="F15" i="4"/>
  <c r="I99" i="4"/>
  <c r="E402" i="4"/>
  <c r="F189" i="4"/>
  <c r="H336" i="4"/>
  <c r="E21" i="4"/>
  <c r="H193" i="4"/>
  <c r="F299" i="4"/>
  <c r="F338" i="4"/>
  <c r="D406" i="4"/>
  <c r="E101" i="4"/>
  <c r="G21" i="4"/>
  <c r="G191" i="4"/>
  <c r="F191" i="4"/>
  <c r="J374" i="4"/>
  <c r="J382" i="4" s="1"/>
  <c r="D301" i="4"/>
  <c r="F406" i="4"/>
  <c r="F193" i="4"/>
  <c r="D299" i="4"/>
  <c r="D338" i="4"/>
  <c r="H374" i="4"/>
  <c r="H378" i="4" s="1"/>
  <c r="G103" i="4"/>
  <c r="H245" i="4"/>
  <c r="G18" i="4"/>
  <c r="I21" i="4"/>
  <c r="H402" i="4"/>
  <c r="J101" i="4"/>
  <c r="H241" i="4"/>
  <c r="H17" i="4"/>
  <c r="H404" i="4"/>
  <c r="F404" i="4"/>
  <c r="I404" i="4"/>
  <c r="H406" i="4"/>
  <c r="G241" i="4"/>
  <c r="G243" i="4"/>
  <c r="D243" i="4"/>
  <c r="G301" i="4"/>
  <c r="F336" i="4"/>
  <c r="F402" i="4"/>
  <c r="I402" i="4"/>
  <c r="I374" i="4"/>
  <c r="I382" i="4" s="1"/>
  <c r="H189" i="4"/>
  <c r="H191" i="4"/>
  <c r="G189" i="4"/>
  <c r="G297" i="4"/>
  <c r="G19" i="4"/>
  <c r="F19" i="4"/>
  <c r="G404" i="4"/>
  <c r="H340" i="4"/>
  <c r="G340" i="4"/>
  <c r="H338" i="4"/>
  <c r="E99" i="4"/>
  <c r="K338" i="4"/>
  <c r="D340" i="4"/>
  <c r="E103" i="4"/>
  <c r="I17" i="4"/>
  <c r="D241" i="4"/>
  <c r="D245" i="4"/>
  <c r="I297" i="4"/>
  <c r="J338" i="4"/>
  <c r="E19" i="4"/>
  <c r="J19" i="4"/>
  <c r="G336" i="4"/>
  <c r="G402" i="4"/>
  <c r="I15" i="4"/>
  <c r="I101" i="4"/>
  <c r="F301" i="4"/>
  <c r="D336" i="4"/>
  <c r="G16" i="4"/>
  <c r="J16" i="4"/>
  <c r="J245" i="4"/>
  <c r="I18" i="4"/>
  <c r="J336" i="4"/>
  <c r="I338" i="4"/>
  <c r="C70" i="14"/>
  <c r="G34" i="14"/>
  <c r="G36" i="14" s="1"/>
  <c r="E338" i="4"/>
  <c r="I340" i="4"/>
  <c r="K19" i="4"/>
  <c r="E336" i="4"/>
  <c r="I336" i="4"/>
  <c r="K340" i="4"/>
  <c r="F297" i="4"/>
  <c r="I301" i="4"/>
  <c r="G17" i="4"/>
  <c r="I243" i="4"/>
  <c r="J241" i="4"/>
  <c r="I245" i="4"/>
  <c r="J243" i="4"/>
  <c r="D16" i="4"/>
  <c r="K16" i="4"/>
  <c r="J193" i="4"/>
  <c r="D189" i="4"/>
  <c r="J189" i="4"/>
  <c r="D193" i="4"/>
  <c r="K189" i="4"/>
  <c r="K191" i="4"/>
  <c r="J103" i="4"/>
  <c r="J15" i="4"/>
  <c r="D101" i="4"/>
  <c r="D103" i="4"/>
  <c r="H103" i="4"/>
  <c r="H15" i="4"/>
  <c r="H99" i="4"/>
  <c r="H380" i="4" l="1"/>
  <c r="F22" i="4"/>
  <c r="F26" i="4" s="1"/>
  <c r="J20" i="4"/>
  <c r="J22" i="4" s="1"/>
  <c r="D22" i="4"/>
  <c r="D25" i="4" s="1"/>
  <c r="K378" i="4"/>
  <c r="K382" i="4"/>
  <c r="K20" i="4"/>
  <c r="K22" i="4" s="1"/>
  <c r="J10" i="14" s="1"/>
  <c r="E22" i="4"/>
  <c r="D10" i="14" s="1"/>
  <c r="D19" i="14" s="1"/>
  <c r="D21" i="14" s="1"/>
  <c r="J380" i="4"/>
  <c r="H382" i="4"/>
  <c r="H20" i="4"/>
  <c r="H22" i="4" s="1"/>
  <c r="G10" i="14" s="1"/>
  <c r="G19" i="14" s="1"/>
  <c r="G21" i="14" s="1"/>
  <c r="I380" i="4"/>
  <c r="J378" i="4"/>
  <c r="I20" i="4"/>
  <c r="I22" i="4" s="1"/>
  <c r="G22" i="4"/>
  <c r="F10" i="14" s="1"/>
  <c r="F19" i="14" s="1"/>
  <c r="F21" i="14" s="1"/>
  <c r="I378" i="4"/>
  <c r="J14" i="14" l="1"/>
  <c r="J19" i="14" s="1"/>
  <c r="J21" i="14" s="1"/>
  <c r="C10" i="14"/>
  <c r="C19" i="14" s="1"/>
  <c r="C21" i="14" s="1"/>
  <c r="D26" i="4"/>
  <c r="D24" i="4"/>
  <c r="G25" i="4"/>
  <c r="E10" i="14"/>
  <c r="E19" i="14" s="1"/>
  <c r="E21" i="14" s="1"/>
  <c r="F25" i="4"/>
  <c r="F24" i="4"/>
  <c r="E25" i="4"/>
  <c r="E26" i="4"/>
  <c r="E24" i="4"/>
  <c r="I24" i="4"/>
  <c r="I26" i="4"/>
  <c r="G24" i="4"/>
  <c r="G26" i="4"/>
  <c r="H10" i="14"/>
  <c r="H19" i="14" s="1"/>
  <c r="H21" i="14" s="1"/>
  <c r="I25" i="4"/>
  <c r="H26" i="4"/>
  <c r="K26" i="4"/>
  <c r="K24" i="4"/>
  <c r="J24" i="4"/>
  <c r="I10" i="14"/>
  <c r="I19" i="14" s="1"/>
  <c r="I21" i="14" s="1"/>
  <c r="J26" i="4"/>
  <c r="H24" i="4"/>
  <c r="K25" i="4"/>
  <c r="H25" i="4"/>
  <c r="J25" i="4"/>
</calcChain>
</file>

<file path=xl/sharedStrings.xml><?xml version="1.0" encoding="utf-8"?>
<sst xmlns="http://schemas.openxmlformats.org/spreadsheetml/2006/main" count="5278" uniqueCount="1751">
  <si>
    <t>SCOTTISH WATER</t>
  </si>
  <si>
    <t>ANNUAL RETURN INFORMATION REQUIREMENTS 2023</t>
  </si>
  <si>
    <t>SECTION P : TARIFF BASKET INFORMATION</t>
  </si>
  <si>
    <t>Table P1: Wholesale revenue reconciliation</t>
  </si>
  <si>
    <t>Line ref.</t>
  </si>
  <si>
    <t>P1</t>
  </si>
  <si>
    <t>2010-11 RF</t>
  </si>
  <si>
    <t>2011-12 RF</t>
  </si>
  <si>
    <t>2012-13 RF</t>
  </si>
  <si>
    <t>2013-14 RF</t>
  </si>
  <si>
    <t>2014-15 RF</t>
  </si>
  <si>
    <t>2015-16 RF</t>
  </si>
  <si>
    <t>2016-17 RF</t>
  </si>
  <si>
    <t>2017-18 RF</t>
  </si>
  <si>
    <t>2018-19 RF</t>
  </si>
  <si>
    <t>2019-20 Month</t>
  </si>
  <si>
    <t>2019-20 RF</t>
  </si>
  <si>
    <t>2020-21 Month</t>
  </si>
  <si>
    <t>2020-21 RF</t>
  </si>
  <si>
    <t>2021-22 Month</t>
  </si>
  <si>
    <t>2021-22 RF</t>
  </si>
  <si>
    <t>2022-23 Month</t>
  </si>
  <si>
    <t>P1.1</t>
  </si>
  <si>
    <t>P1.2</t>
  </si>
  <si>
    <t>Negative volumes excluded from P tables</t>
  </si>
  <si>
    <t>P1.3</t>
  </si>
  <si>
    <t>Charges on exempt SPIDs (positive charges due to 50% exemption)</t>
  </si>
  <si>
    <t>P1.3A</t>
  </si>
  <si>
    <t>Reconciliation difference Table 2 vs. Settlement Report</t>
  </si>
  <si>
    <t>P1.4</t>
  </si>
  <si>
    <t>Adjustment to RF billed position</t>
  </si>
  <si>
    <t>P1.4A</t>
  </si>
  <si>
    <t>Adjustment to forecast year-end position</t>
  </si>
  <si>
    <t>P1.5</t>
  </si>
  <si>
    <t>Income uncertainty release / (charge)</t>
  </si>
  <si>
    <t>P1.6</t>
  </si>
  <si>
    <t>Vacancy/gap incentive payments</t>
  </si>
  <si>
    <t>P1.7</t>
  </si>
  <si>
    <t xml:space="preserve">Non primary </t>
  </si>
  <si>
    <t>P1.8</t>
  </si>
  <si>
    <t>Wholesale revenue reported in M tables</t>
  </si>
  <si>
    <t>P1.8A</t>
  </si>
  <si>
    <t>Wholesale non-household revenue reported in the M tables (M7.3) (£m)</t>
  </si>
  <si>
    <t>Check</t>
  </si>
  <si>
    <t>Reconciliation of measured water volumes reported here with A tables</t>
  </si>
  <si>
    <t>P1.9</t>
  </si>
  <si>
    <t>Total measured water volumes (m3)</t>
  </si>
  <si>
    <t>P1.10</t>
  </si>
  <si>
    <t>Total measured water volumes (Ml/day)</t>
  </si>
  <si>
    <t>P1.11</t>
  </si>
  <si>
    <t>Timing difference</t>
  </si>
  <si>
    <t>P1.12</t>
  </si>
  <si>
    <t>Allocated tranche</t>
  </si>
  <si>
    <t>P1.13</t>
  </si>
  <si>
    <t>Schedule 3 potable consumption</t>
  </si>
  <si>
    <t>P1.14</t>
  </si>
  <si>
    <t>Vacancy</t>
  </si>
  <si>
    <t>n/a</t>
  </si>
  <si>
    <t>P1.15</t>
  </si>
  <si>
    <t>Exemption</t>
  </si>
  <si>
    <t>P1.16</t>
  </si>
  <si>
    <t>Adjustments for negative volumes</t>
  </si>
  <si>
    <t>P1.17</t>
  </si>
  <si>
    <t>Supply point data error adjustments</t>
  </si>
  <si>
    <t>P1.18</t>
  </si>
  <si>
    <t>Shipping water</t>
  </si>
  <si>
    <t>P1.19</t>
  </si>
  <si>
    <t>Estimated meter under-registration, supply pipe leakage and internal plumbing losses</t>
  </si>
  <si>
    <t>P1.20</t>
  </si>
  <si>
    <t>Measured non-household volume of water delivered reported in A tables (Ml/day)</t>
  </si>
  <si>
    <t>Measured volume of water delivered reported in the A tables (A2.10)</t>
  </si>
  <si>
    <t>Reconciliation of measured sewerage volumes reported here with A tables</t>
  </si>
  <si>
    <t>P1.21</t>
  </si>
  <si>
    <t>Total measured foul sewerage volumes (m3)</t>
  </si>
  <si>
    <t>P1.22</t>
  </si>
  <si>
    <t>Total measured foul sewerage volumes (Ml/day)</t>
  </si>
  <si>
    <t>P1.23</t>
  </si>
  <si>
    <t>Timing difference (RF to MAR R1 for sewerage volumes)</t>
  </si>
  <si>
    <t>P1.24</t>
  </si>
  <si>
    <t>P1.25</t>
  </si>
  <si>
    <t>Schedule 3</t>
  </si>
  <si>
    <t>P1.26</t>
  </si>
  <si>
    <t>P1.27</t>
  </si>
  <si>
    <t>P1.28</t>
  </si>
  <si>
    <t>Adjustments for vacancy</t>
  </si>
  <si>
    <t>P1.29</t>
  </si>
  <si>
    <t>Adjustments to negative volumes</t>
  </si>
  <si>
    <t>P1.30</t>
  </si>
  <si>
    <t xml:space="preserve">Measured non-household foul volume reported in A tables </t>
  </si>
  <si>
    <t>Measured foul volume reported in the A tables (A3.7)</t>
  </si>
  <si>
    <t>Reconciliation of assessed supply points to unmeasured non-household billed properties - potable water</t>
  </si>
  <si>
    <t>2010-11</t>
  </si>
  <si>
    <t>P1.31</t>
  </si>
  <si>
    <t>Water assessed tariff multipliers</t>
  </si>
  <si>
    <t>P1.32</t>
  </si>
  <si>
    <t>Adjustment for transitional phasing of FBM meters</t>
  </si>
  <si>
    <t>P1.33</t>
  </si>
  <si>
    <t>P1.34</t>
  </si>
  <si>
    <t>Conversion from calculation of supply points on days-in-charge basis to distinct count of supply points</t>
  </si>
  <si>
    <t>P1.35</t>
  </si>
  <si>
    <t>P1.36</t>
  </si>
  <si>
    <t>Timing difference (RF to SEP R2)</t>
  </si>
  <si>
    <t>P1.37</t>
  </si>
  <si>
    <t>Unmeasured non-household billed properties - potable water (including exempt) (A1.3)</t>
  </si>
  <si>
    <t xml:space="preserve">Reconciliation of measured supply points to measured non-household billed properties - potable water </t>
  </si>
  <si>
    <t>P1.38</t>
  </si>
  <si>
    <t>Water measured tariff multipliers - meters</t>
  </si>
  <si>
    <t>P1.39</t>
  </si>
  <si>
    <t>P1.40</t>
  </si>
  <si>
    <t>Meters with 0mm chargeable size</t>
  </si>
  <si>
    <t>P1.41</t>
  </si>
  <si>
    <t>P1.42</t>
  </si>
  <si>
    <t>P1.43</t>
  </si>
  <si>
    <t>P1.44</t>
  </si>
  <si>
    <t>Conversion from calculation of meters on days-in-charge basis to distinct count of supply points</t>
  </si>
  <si>
    <t>P1.45</t>
  </si>
  <si>
    <t>P1.46</t>
  </si>
  <si>
    <t>P1.47</t>
  </si>
  <si>
    <t>Measured non-household billed properties - potable water (A1.4)</t>
  </si>
  <si>
    <t xml:space="preserve">Reconciliation of assessed supply points to unmeasured non-household billed properties - foul sewerage </t>
  </si>
  <si>
    <t>P1.48</t>
  </si>
  <si>
    <t>Foul sewerage assessed tariff multipliers</t>
  </si>
  <si>
    <t>P1.49</t>
  </si>
  <si>
    <t>P1.50</t>
  </si>
  <si>
    <t>P1.51</t>
  </si>
  <si>
    <t>P1.52</t>
  </si>
  <si>
    <t>P1.53</t>
  </si>
  <si>
    <t>P1.54</t>
  </si>
  <si>
    <t>Unmeasured non-household billed properties - foul sewerage (including exempt) (A1.13)</t>
  </si>
  <si>
    <t>Reconciliation of measured supply points to unmeasured non-household billed properties - foul sewerage</t>
  </si>
  <si>
    <t>P1.55</t>
  </si>
  <si>
    <t>Foul sewerage measured tariff multipliers - meters</t>
  </si>
  <si>
    <t>P1.56</t>
  </si>
  <si>
    <t>P1.57</t>
  </si>
  <si>
    <t>P1.58</t>
  </si>
  <si>
    <t>P1.59</t>
  </si>
  <si>
    <t>P1.60</t>
  </si>
  <si>
    <t>P1.61</t>
  </si>
  <si>
    <t>P1.62</t>
  </si>
  <si>
    <t>P1.63</t>
  </si>
  <si>
    <t>P1.64</t>
  </si>
  <si>
    <t>Measured non-household billed properties - foul sewerage (A1.14)</t>
  </si>
  <si>
    <t>Prepared by:  ……………………………………………..</t>
  </si>
  <si>
    <t>Checked by:  ……………………………………………..</t>
  </si>
  <si>
    <t>Authorised by:...............................................................</t>
  </si>
  <si>
    <t>Date:</t>
  </si>
  <si>
    <t>Table P2: Wholesale volumes and revenues</t>
  </si>
  <si>
    <t>General guidance</t>
  </si>
  <si>
    <t>1. All figures entered in these tables should be based on the latest settlement run data available.</t>
  </si>
  <si>
    <t>2. The calculated revenue in each category should be inclusive of revenue from GAP sites and vacants.</t>
  </si>
  <si>
    <t>3. We require the Tables to be signed and dated by those preparing, checking and authorising the data.</t>
  </si>
  <si>
    <t>Summary</t>
  </si>
  <si>
    <t>Field type</t>
  </si>
  <si>
    <t>2019-20 month</t>
  </si>
  <si>
    <t>2020-21 month</t>
  </si>
  <si>
    <t>2021-22 month</t>
  </si>
  <si>
    <t>2022-23 month</t>
  </si>
  <si>
    <t>Definition</t>
  </si>
  <si>
    <t>P2.1</t>
  </si>
  <si>
    <t>Revenue from water assessed charges</t>
  </si>
  <si>
    <t>C</t>
  </si>
  <si>
    <t>Total water revenue from licensed providers generated from formerly unmeasured supply points</t>
  </si>
  <si>
    <t>P2.2</t>
  </si>
  <si>
    <t>Revenue from water volumetric charges</t>
  </si>
  <si>
    <t>Total water revenue from licensed providers generated from measured supply points</t>
  </si>
  <si>
    <t>P2.3</t>
  </si>
  <si>
    <t>Total foul sewage revenue from licensed providers generated from formerly unmeasured supply points</t>
  </si>
  <si>
    <t>P2.4</t>
  </si>
  <si>
    <t>Total foul sewage revenue from licensed providers generated from measured supply points</t>
  </si>
  <si>
    <t>P2.5</t>
  </si>
  <si>
    <t>Total revenue from licensed providers in respect of surface water drainage.</t>
  </si>
  <si>
    <t>P2.6</t>
  </si>
  <si>
    <t>Revenue from all supply points charged at charges scheme rates.</t>
  </si>
  <si>
    <t>P2.7</t>
  </si>
  <si>
    <t>Total miscellaneous water charges scheme revenue.</t>
  </si>
  <si>
    <t>P2.8</t>
  </si>
  <si>
    <t>Total revenue</t>
  </si>
  <si>
    <t>Total wholesale revenue</t>
  </si>
  <si>
    <t/>
  </si>
  <si>
    <t>P2.9</t>
  </si>
  <si>
    <t xml:space="preserve">Percentage of total revenue from gap sites </t>
  </si>
  <si>
    <t>Total wholesale revenue from sites that were originally identified through the GAP sites scheme. This should align with the classification on the CMA systems. For the avoidance of doubt, this should be included in line 15 above.</t>
  </si>
  <si>
    <t>P2.10</t>
  </si>
  <si>
    <t>Percentage of total revenue from vacant properties</t>
  </si>
  <si>
    <t>Total wholesale revenue from vacant premises. This should align with the classification on the CMA systems. For the avoidance of doubt, this should be included in line 15 above.</t>
  </si>
  <si>
    <t>P2.10B</t>
  </si>
  <si>
    <t>Percentage of total revenue from vacant gap sites</t>
  </si>
  <si>
    <t>Total wholesale revenue from vacant premises which were originally identified through the GAP sites scheme</t>
  </si>
  <si>
    <t>P2.10C</t>
  </si>
  <si>
    <t xml:space="preserve">Total revenue from gap sites </t>
  </si>
  <si>
    <t>P2.10D</t>
  </si>
  <si>
    <t>Total revenue from vacant properties</t>
  </si>
  <si>
    <t>P2.10E</t>
  </si>
  <si>
    <t>Total revenue from vacant gap sites</t>
  </si>
  <si>
    <t>P2.11</t>
  </si>
  <si>
    <t>Water assessed volumes</t>
  </si>
  <si>
    <t>Total volumes from water assessed charges (standard volumes)</t>
  </si>
  <si>
    <t>P2.12</t>
  </si>
  <si>
    <t>Water measured volumes</t>
  </si>
  <si>
    <t>Total volumes from water measured charges (standard volumes)</t>
  </si>
  <si>
    <t>P2.13</t>
  </si>
  <si>
    <t>Foul sewerage assessed volumes</t>
  </si>
  <si>
    <t>Total volumes from foul sewerage assessed charges (standard volumes)</t>
  </si>
  <si>
    <t>P2.14</t>
  </si>
  <si>
    <t>Foul sewerage measured volumes</t>
  </si>
  <si>
    <t>Total volumes from foul sewerage measured charges (standard volumes)</t>
  </si>
  <si>
    <t>Water assessed charges</t>
  </si>
  <si>
    <t>Tariff multipliers: licensed provider: assessed meter sizes</t>
  </si>
  <si>
    <t>P2.15</t>
  </si>
  <si>
    <t>20mm</t>
  </si>
  <si>
    <t>I</t>
  </si>
  <si>
    <t>Number of meters, at formerly unmeasured supply points, assessed (using RV-conversion formula) to be 20mm, as of September of the reporting year.</t>
  </si>
  <si>
    <t>P2.16</t>
  </si>
  <si>
    <t>25mm</t>
  </si>
  <si>
    <t>Number of meters, at formerly unmeasured supply points, assessed (using RV-conversion formula) to be 25mm, as of September of the reporting year.</t>
  </si>
  <si>
    <t>P2.17</t>
  </si>
  <si>
    <t>40mm</t>
  </si>
  <si>
    <t>Number of meters, at formerly unmeasured supply points, assessed (using RV-conversion formula) to be 40mm, as of September of the reporting year.</t>
  </si>
  <si>
    <t>P2.18</t>
  </si>
  <si>
    <t>50mm</t>
  </si>
  <si>
    <t>Number of meters, at formerly unmeasured supply points, assessed (using RV-conversion formula) to be 50mm, as of September of the reporting year.</t>
  </si>
  <si>
    <t>P2.19</t>
  </si>
  <si>
    <t>80mm</t>
  </si>
  <si>
    <t>Number of meters, at formerly unmeasured supply points, assessed (using RV-conversion formula) to be 80mm, as of September of the reporting year.</t>
  </si>
  <si>
    <t>P2.20</t>
  </si>
  <si>
    <t>Total</t>
  </si>
  <si>
    <t>Total number of assessed meters at formerly unmeasured supply points as of September of the reporting year.</t>
  </si>
  <si>
    <t>P2.20B</t>
  </si>
  <si>
    <t>Assessed meter sizes related to gap sites</t>
  </si>
  <si>
    <t>Memo line: number of assessed meters related to gap sites. Included in the total above (Line P2.20).</t>
  </si>
  <si>
    <t>P2.20C</t>
  </si>
  <si>
    <t>Assessed meter sizes related to vacant properties</t>
  </si>
  <si>
    <t>Memo line: number of assessed meters related to vacant properties. Included in the total above (Line P2.20).</t>
  </si>
  <si>
    <t>P2.20D</t>
  </si>
  <si>
    <t>Assessed meter sizes related to vacant gap sites</t>
  </si>
  <si>
    <t>Memo line: number of assessed meters related to vacant gap sites. Included in the total above (Line P2.20).</t>
  </si>
  <si>
    <t>P2.20E</t>
  </si>
  <si>
    <t>Total volume at measured supply points related to gap sites</t>
  </si>
  <si>
    <t>P2.20F</t>
  </si>
  <si>
    <t>Total volume at measured supply points related to vacant gap sites</t>
  </si>
  <si>
    <t>P2.20G</t>
  </si>
  <si>
    <t>Average volume</t>
  </si>
  <si>
    <t>Tariff multipliers: licensed provider: assessed capacity volume</t>
  </si>
  <si>
    <t>P2.21</t>
  </si>
  <si>
    <t>Assessed consumption (using RV-conversion formula) between 20m³ and (up to and including) 100m³ during report year at formerly unmeasured supply points, assessed to have a 20mm meter.
This forms the assessed capacity volume at assessed 20mm meters, which attracts an additional premium charge due to phasing changes.</t>
  </si>
  <si>
    <t>P2.22</t>
  </si>
  <si>
    <t>Total all other meter sizes</t>
  </si>
  <si>
    <t>Assessed consumption (using RV-conversion formula) between 20m³ and (up to and including) the capacity volume threshold during report year at formerly unmeasured supply points, for all other meter sizes excluding 20mm meters.
This forms the assessed capacity volume for all other meter sizes, which attracts an additional premium charge due to phasing changes.</t>
  </si>
  <si>
    <t>P2.23</t>
  </si>
  <si>
    <t xml:space="preserve">Assessed consumption (using RV-conversion formula) between 20m³ (up to and including) the capacity volume threshold during report year at formerly unmeasured supply points, for each assessed meter size.
</t>
  </si>
  <si>
    <t>Tariff multipliers: licensed provider: assessed standard volumes</t>
  </si>
  <si>
    <t>P2.24</t>
  </si>
  <si>
    <t>20mm meters: volume between 20m3 and up to and including 100m3</t>
  </si>
  <si>
    <t>Assessed standard consumption (using RV-conversion formula) of between 20m³ and (up to and including) 100m³ for assessed 20mm meters.
This forms the standard consumption through 20mm meters, which attracts an additional premium due to phasing changes.</t>
  </si>
  <si>
    <t>P2.25</t>
  </si>
  <si>
    <t>20mm meters: volume greater than 100m3</t>
  </si>
  <si>
    <t>Assessed standard consumption (using RV-conversion formula) of greater than 100m³ for assessed 20mm meters.
This forms the standard consumption through 20mm meters, which does not attract an additional premium due to phasing changes.</t>
  </si>
  <si>
    <t>P2.26</t>
  </si>
  <si>
    <t>Assessed standard consumption (using RV-conversion formula) of greater than 20m³ and (up to and including) 250,000m³ for all assessed meters of greater than 20mm.
This forms the standard consumption through meters greater than 20mm meters in the 20-250,000m³ consumption band.</t>
  </si>
  <si>
    <t>P2.27</t>
  </si>
  <si>
    <t>Assessed standard consumption (using RV-conversion formula) of greater than 250,000m³ and (up to and including) 1,000,000m³ for all assessed meters of greater than 20mm.
This forms the standard consumption through meters greater than 20mm meters in the 250,000-1,000,000m³ consumption band.</t>
  </si>
  <si>
    <t>P2.28</t>
  </si>
  <si>
    <t>&gt; 20mm meters: volume greater than 1,000,000m3</t>
  </si>
  <si>
    <t>Assessed standard consumption (using RV-conversion formula) of greater than 1,000,000m³ for all assessed meters of greater than 20mm.
This forms the standard consumption through meters greater than 20mm meters in the greater than 1,000,000m³ consumption band.</t>
  </si>
  <si>
    <t>P2.29</t>
  </si>
  <si>
    <t>Total standard volumes</t>
  </si>
  <si>
    <t>Total assessed standard consumption greater than 20m³ for all meter sizes.</t>
  </si>
  <si>
    <t>Tariffs: meter based annual charges</t>
  </si>
  <si>
    <t>P2.30</t>
  </si>
  <si>
    <t>Meter based annual charge for 20mm meters in report year.</t>
  </si>
  <si>
    <t>P2.31</t>
  </si>
  <si>
    <t>Meter based annual charge for 25mm meters in report year.</t>
  </si>
  <si>
    <t>P2.32</t>
  </si>
  <si>
    <t>Meter based annual charge for 40mm meters in report year.</t>
  </si>
  <si>
    <t>P2.33</t>
  </si>
  <si>
    <t>Meter based annual charge for 50mm meters in report year.</t>
  </si>
  <si>
    <t>P2.34</t>
  </si>
  <si>
    <t>Meter based annual charge for 80mm meters in report year.</t>
  </si>
  <si>
    <t>Tariffs: capacity volume charge</t>
  </si>
  <si>
    <t>P2.35</t>
  </si>
  <si>
    <t>20mm premium capacity volume charge</t>
  </si>
  <si>
    <t>Capacity volume charge for 20mm meters for the report year. The capacity volume charge for 20mm meters should include any premium associated with the phased changes of charges.</t>
  </si>
  <si>
    <t>P2.36</t>
  </si>
  <si>
    <t>Capacity volume charge</t>
  </si>
  <si>
    <t>Capacity volume charge for the report year. This is the capacity volume charge for all meters other than 20mm meter and should not attract a premium or discount in the year due to phasing.</t>
  </si>
  <si>
    <t>Tariffs: standard volumes</t>
  </si>
  <si>
    <t>P2.37</t>
  </si>
  <si>
    <t>Standard volume charge for consumption between 20m³ and (up to and including) 100m³ through 20mm meters for the report year. The standard volume charge for 20mm meters should include any premium associated with the phased changes of charges for consumption between 20m³ and (up to and including) 100m³.</t>
  </si>
  <si>
    <t>P2.38</t>
  </si>
  <si>
    <t>Standard volume charge for consumption greater than 100m³ through 20mm meters for the report year. The standard volume charge for 20mm meters should not include any premium or discount associated with the phased changes of charges for consumption of greater than 100m³.</t>
  </si>
  <si>
    <t>P2.39</t>
  </si>
  <si>
    <t>Standard volume charge for meters greater than 20mm for consumption between 20m³ and (up to and including) 250,000m³ in the report year.</t>
  </si>
  <si>
    <t>P2.40</t>
  </si>
  <si>
    <t>Standard volume charge for meters greater than 20mm for consumption between 250,000m³ and (up to and including) 1,000,000m³ in the report year.</t>
  </si>
  <si>
    <t>P2.41</t>
  </si>
  <si>
    <t>Standard volume charge for meters greater than 20mm for consumption greater than 1,000,000m³ in the report year.</t>
  </si>
  <si>
    <t>Exempt supply points</t>
  </si>
  <si>
    <t>P2.42</t>
  </si>
  <si>
    <t>Number of exempt supply points</t>
  </si>
  <si>
    <t>The total number of premises attracting a negative wholesale charge due to their exempt status.</t>
  </si>
  <si>
    <t>P2.43</t>
  </si>
  <si>
    <t>Charge per supply point</t>
  </si>
  <si>
    <t>The negative wholesale charge for supply points with exemption status.
Enter as a negative value.</t>
  </si>
  <si>
    <t>Revenue</t>
  </si>
  <si>
    <t>P2.44</t>
  </si>
  <si>
    <t>Revenue from annual charges</t>
  </si>
  <si>
    <t>Revenue from assessed meter based annual charges in the report year</t>
  </si>
  <si>
    <t>P2.45</t>
  </si>
  <si>
    <t>Revenue from capacity charges</t>
  </si>
  <si>
    <t>Revenue from assessed meter capacity volume charges in the report year</t>
  </si>
  <si>
    <t>P2.46</t>
  </si>
  <si>
    <t>Revenue from volume charges</t>
  </si>
  <si>
    <t>Revenue from assessed standard volume charges in the report year</t>
  </si>
  <si>
    <t>P2.47</t>
  </si>
  <si>
    <t>Revenue deducted for exempt supply points</t>
  </si>
  <si>
    <t>Negative revenue in respect of supply points with negative wholesale charges</t>
  </si>
  <si>
    <t>P2.48</t>
  </si>
  <si>
    <t>Total Revenue</t>
  </si>
  <si>
    <t>Revenue from gap sites and vacant properties (water assessed)</t>
  </si>
  <si>
    <t>P2.49</t>
  </si>
  <si>
    <t xml:space="preserve">Total revenue from water assessed charges related to gap sites </t>
  </si>
  <si>
    <t xml:space="preserve">Water assessed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</si>
  <si>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P2.50</t>
  </si>
  <si>
    <t xml:space="preserve">Percentage of total revenue from water assessed charges related to gap sites </t>
  </si>
  <si>
    <t>Percentage of the water assessed revenue from sites that were originally identified through the GAP sites scheme. This should include revenue from SPIDs that were identified through the GAP sites scheme in prior years and align with the classification on the CMA systems.</t>
  </si>
  <si>
    <t>P2.51</t>
  </si>
  <si>
    <t>Total revenue from water assessed charges related to vacant properties</t>
  </si>
  <si>
    <t xml:space="preserve">Water assessed revenue from vacant premises. This should align with the classification on the CMA systems. This should exclude gap site SPIDs that are now charged as vacant. </t>
  </si>
  <si>
    <t>P2.52</t>
  </si>
  <si>
    <t>Percentage of total revenue from water assessed charges related to vacant properties</t>
  </si>
  <si>
    <t>Percentage of the water assessed revenue from vacant premises. This should align with the classification on the CMA systems</t>
  </si>
  <si>
    <t>P2.52B</t>
  </si>
  <si>
    <t>Total revenue related to both gap sites and vacant properties</t>
  </si>
  <si>
    <t>Gap site SPIDs that are now charged as vacant</t>
  </si>
  <si>
    <t>P2.52C</t>
  </si>
  <si>
    <t>Percentage of total revenue related to both gap sites and vacant properties</t>
  </si>
  <si>
    <t>Water volumetric charges</t>
  </si>
  <si>
    <t>Tariff multipliers: licensed provider: tariff meters</t>
  </si>
  <si>
    <t>P2.53</t>
  </si>
  <si>
    <t>Number of 20mm meters, at measured supply points consuming up to and including 100Ml/annum, as of September of the reporting year.</t>
  </si>
  <si>
    <t>P2.54</t>
  </si>
  <si>
    <t>Number of 25mm meters, at measured supply points consuming up to and including 100Ml/annum, as of September of the reporting year.</t>
  </si>
  <si>
    <t>P2.55</t>
  </si>
  <si>
    <t>Number of 40mm meters, at measured supply points consuming up to and including 100Ml/annum, as of September of the reporting year</t>
  </si>
  <si>
    <t>P2.56</t>
  </si>
  <si>
    <t>Number of 50mm meters, at measured supply points consuming up to and including 100Ml/annum, as of September of the reporting year.</t>
  </si>
  <si>
    <t>P2.57</t>
  </si>
  <si>
    <t>Number of 80mm meters, at measured supply points consuming up to and including 100Ml/annum, as of September of the reporting year.</t>
  </si>
  <si>
    <t>P2.58</t>
  </si>
  <si>
    <t>100mm</t>
  </si>
  <si>
    <t>Number of 100mm meters, at measured supply points consuming up to and including 100Ml/annum, as of September of the reporting year</t>
  </si>
  <si>
    <t>P2.59</t>
  </si>
  <si>
    <t>150mm</t>
  </si>
  <si>
    <t>Number of 150mm meters, at measured supply points consuming up to and including 100Ml/annum, as of September of the reporting year.</t>
  </si>
  <si>
    <t>P2.60</t>
  </si>
  <si>
    <t>200mm</t>
  </si>
  <si>
    <t>Number of 200mm meters, at measured supply points consuming up to and including 100Ml/annum, as of September of the reporting year.</t>
  </si>
  <si>
    <t>P2.61</t>
  </si>
  <si>
    <t>250mm</t>
  </si>
  <si>
    <t>Number of 250mm meters, at measured supply points consuming up to and including 100Ml/annum, as of September of the reporting year.</t>
  </si>
  <si>
    <t>P2.62</t>
  </si>
  <si>
    <t>300mm</t>
  </si>
  <si>
    <t>Number of 300mm meters, at measured supply points consuming up to and including 100Ml/annum, as of September of the reporting year.</t>
  </si>
  <si>
    <t>P2.63</t>
  </si>
  <si>
    <t>Total number of meters at measured supply points consuming up to and including 100Ml/annum as of September of the reporting year</t>
  </si>
  <si>
    <t>P2.63B</t>
  </si>
  <si>
    <t>Number of meters at measured supply points related to gap sites</t>
  </si>
  <si>
    <t>Memo line: number of meters at measured supply points related to gap sites. Included in the total above (Line P2.63).</t>
  </si>
  <si>
    <t>P2.63C</t>
  </si>
  <si>
    <t>Number of meters at measured supply points related to vacant properties</t>
  </si>
  <si>
    <t>Memo line: number of meters at measured supply points related to vacant properties. Included in the total above (Line P2.63).</t>
  </si>
  <si>
    <t>P2.63D</t>
  </si>
  <si>
    <t>Number of meters at measured supply points related to vacant gap sites</t>
  </si>
  <si>
    <t>Memo line: number of meters at measured supply points related to vacant gap sites. Included in the total above (Line P2.63).</t>
  </si>
  <si>
    <t>P2.63E</t>
  </si>
  <si>
    <t>P2.63F</t>
  </si>
  <si>
    <t>P2.63G</t>
  </si>
  <si>
    <t>Tariff multipliers: licensed provider: capacity volume</t>
  </si>
  <si>
    <t>P2.64</t>
  </si>
  <si>
    <t>20mm (non-former LUVA)</t>
  </si>
  <si>
    <t>Standard consumption of between 20m³ and (up to and including) 100m³ for 20mm meters, excluding 20mm meters at supply points formerly in receipt of LUVA rates.
This forms the standard consumption through 20mm meters, which attracts an additional premium due to phasing changes.</t>
  </si>
  <si>
    <t>P2.65</t>
  </si>
  <si>
    <t>Consumption between 20m³ and (up to and including) the capacity volume threshold during the report year at measured supply points consuming up to and including 100Ml/annum, with all other meter sizes excluding 20mm meters.
This forms the capacity volume through all other meter sizes, which attracts an additional charge.</t>
  </si>
  <si>
    <t>P2.66</t>
  </si>
  <si>
    <t>Consumption between 20m³ and (up to and including) the capacity volume threshold during report year at measured supply points consuming up to and including 100Ml/annum, for each assessed meter size.</t>
  </si>
  <si>
    <t>Tariff multipliers: licensed provider: standard volumes</t>
  </si>
  <si>
    <t>P2.67</t>
  </si>
  <si>
    <t>20mm meters (non-former LUVA): volume between 20m3 and up to and including 100m3</t>
  </si>
  <si>
    <t>P2.68</t>
  </si>
  <si>
    <t>20mm meters (non-former LUVA): volume greater than 100m3</t>
  </si>
  <si>
    <t>Standard consumption of greater than 100m³ for 20mm meters, excluding supply points formerly in receipt of LUVA rates.
This forms the standard consumption through 20mm meters, which does not attract an additional premium due to phasing changes.</t>
  </si>
  <si>
    <t>P2.69</t>
  </si>
  <si>
    <t>&gt; 20mm meters (non-former LUVA): volume between 20m3  and (up to and including) 250,000m3</t>
  </si>
  <si>
    <t>Standard consumption of greater than 20m³ and (up to and including) 250,000m³ for all meters of greater than 20mm, excluding supply points formerly in receipt of LUVA rates.
This forms the standard consumption through meters greater than 20mm meters in the 20-250,000m³ consumption band, excluding supply points formerly in receipt of LUVA rates.
This line should be completed only with consumption up to 100,000m³.</t>
  </si>
  <si>
    <t>P2.70</t>
  </si>
  <si>
    <t>&gt; 20mm meters (non-former LUVA): volume between 250,000m3  and (up to and including) 1,000,000m3</t>
  </si>
  <si>
    <t>Standard consumption of greater than 250,000m³ and (up to and including) 1,000,000m³ for all meters of greater than 20mm, excluding supply points formerly in receipt of LUVA rates.
This forms the standard consumption through meters greater than 20mm meters in the 250,000-1,000,000m³ consumption band, excluding supply points formerly in receipt of LUVA rates.
This line is not compatible with the consumption qualifier and so should be zero in this table.</t>
  </si>
  <si>
    <t>P2.71</t>
  </si>
  <si>
    <t>&gt; 20mm meters (non-former LUVA): volume greater than 1,000,000m3</t>
  </si>
  <si>
    <t xml:space="preserve">Standard consumption of greater than 1,000,000m³ for all meters of greater than 20mm, excluding supply points formerly in receipt of LUVA rates.
This forms the standard consumption through meters greater than 20mm meters in the greater than 1,000,000m³ consumption band, excluding supply points formerly in receipt of LUVA rates.
</t>
  </si>
  <si>
    <t>P2.72</t>
  </si>
  <si>
    <t>20mm meters (former LUVA): volume between 20m3 and up to and including 100m3</t>
  </si>
  <si>
    <t>Standard consumption of between 20m³ and (up to and including) 100m³ for 20mm meters at supply points formerly in receipt of LUVA rates.
This forms the capacity volume through 20mm meters, which does not attract a premium charge due to being at a supply point formerly in receipt of LUVA rates.
This line is not compatible with the consumption qualifier and so should be zero in this table.</t>
  </si>
  <si>
    <t>P2.73</t>
  </si>
  <si>
    <t>20mm meters (former LUVA): volume greater than 100m3</t>
  </si>
  <si>
    <t>Standard consumption of greater than 100m³ for 20mm meters at supply points formerly in receipt of LUVA rates.
This forms the standard consumption through 20mm meters, which does not attract an additional premium due to phasing changes.</t>
  </si>
  <si>
    <t>P2.74</t>
  </si>
  <si>
    <t>Standard consumption of greater than 20m³ and (up to and including) 100,000m³ for all meters of greater than 20mm at supply points formerly in receipt of LUVA rates.
This forms the standard consumption through meters greater than 20mm in the 20-250,000m³ consumption band, which does not attract a discount or premium, at supply points formerly in receipt of LUVA rates.
This line is not compatible with the consumption qualifier and so should be zero in this table.</t>
  </si>
  <si>
    <t>P2.75</t>
  </si>
  <si>
    <t>Standard consumption of greater than 100,000m³ and (up to and including) 250,000m³ for all meters of greater than 20mm at supply points formerly in receipt of LUVA rates.
This forms the standard consumption through meters greater than 20mm in the 20-250,000m³ consumption band, which attracts a phasing discount, at supply points formerly in receipt of LUVA rates.</t>
  </si>
  <si>
    <t>P2.76</t>
  </si>
  <si>
    <t>Standard consumption of greater than 250,000m³ and (up to and including) 1,000,000m³ for all meters of greater than 20mm at supply points formerly in receipt of LUVA rates.
This forms the standard consumption through meters greater than 20mm in the 250,000-1,000,000m³ consumption band, which attracts a phasing discount, at supply points formerly in receipt of LUVA rates.
This line is not compatible with the consumption qualifier and so should be zero in this table.</t>
  </si>
  <si>
    <t>P2.77</t>
  </si>
  <si>
    <t>&gt; 20mm meters (former LUVA): volume greater than 1,000,000m3</t>
  </si>
  <si>
    <t>Standard consumption of greater than 1,000,000m³ for all meters of greater than 20mm at supply points formerly in receipt of LUVA rates.
This forms the standard consumption through meters greater than 20mm in the 1,000,000m³ consumption band, which attracts a phasing discount, at supply points formerly in receipt of LUVA rates.</t>
  </si>
  <si>
    <t>P2.78</t>
  </si>
  <si>
    <t>Total standard consumption greater than 20m³ in the report year for all meter sizes</t>
  </si>
  <si>
    <t>P2.79</t>
  </si>
  <si>
    <t>P2.80</t>
  </si>
  <si>
    <t>P2.81</t>
  </si>
  <si>
    <t>Meter based annual charge for 40mm meters in report year</t>
  </si>
  <si>
    <t>P2.82</t>
  </si>
  <si>
    <t>P2.83</t>
  </si>
  <si>
    <t>P2.84</t>
  </si>
  <si>
    <t>Meter based annual charge for 100mm meters in report year.</t>
  </si>
  <si>
    <t>P2.85</t>
  </si>
  <si>
    <t>Meter based annual charge for 150mm meters in report year.</t>
  </si>
  <si>
    <t>P2.86</t>
  </si>
  <si>
    <t>Meter based annual charge for 200mm meters in report year.</t>
  </si>
  <si>
    <t>P2.87</t>
  </si>
  <si>
    <t>Meter based annual charge for 250mm meters in report year.</t>
  </si>
  <si>
    <t>P2.88</t>
  </si>
  <si>
    <t>Meter based annual charge for 300mm meters in report year.</t>
  </si>
  <si>
    <t>P2.89</t>
  </si>
  <si>
    <t>20mm (non-former LUVA) premium capacity volume charge</t>
  </si>
  <si>
    <t>Capacity volume charge for 20mm meters for the report year.
The capacity volume charge for 20mm meters should include any premium associated with the phased changes of charges. This charge does not apply to supply points with 20mm meters formerly in receipt of LUVA rates.</t>
  </si>
  <si>
    <t>P2.90</t>
  </si>
  <si>
    <t>The capacity volume charge for the report year. This is the capacity volume charge for all meters other than 20mm meter (except where this is at a supply point formerly in receipt of LUVA rates) and should not attract a premium or discount in the year due to phasing.</t>
  </si>
  <si>
    <t>Tariffs: standard volume charge</t>
  </si>
  <si>
    <t>P2.91</t>
  </si>
  <si>
    <t>Standard volume charge for consumption between 20m³ and (up to and including) 100m³ through 20mm meters for the report year.
The standard volume charge for 20mm meters should include any premium associated with the phased changes of charges for consumption between 20m³ and (up to and including) 100m³. This charge does not apply to supply points with 20mm meters formerly in receipt of LUVA rates.</t>
  </si>
  <si>
    <t>P2.92</t>
  </si>
  <si>
    <t>Standard volume charge for consumption of greater than 100m³ through 20mm meters for the report year. The standard volume charge for 20mm meters should not include any premium or discount associated with the phased changes of charges for consumption of greater than 100m³.</t>
  </si>
  <si>
    <t>P2.93</t>
  </si>
  <si>
    <t>Standard volume charge for meters greater than 20mm for consumption between 20m³ and (up to and including) 250,000m³ in the report year.
This charge does not apply to supply points formerly in receipt of LUVA rates.</t>
  </si>
  <si>
    <t>P2.94</t>
  </si>
  <si>
    <t>Standard volume charge for meters greater than 20mm for consumption between 250,000m³ and (up to and including) 1,000,000m³ in the report year. This charge does not apply to supply points formerly in receipt of LUVA rates.</t>
  </si>
  <si>
    <t>P2.95</t>
  </si>
  <si>
    <t>Standard volume charge for meters greater than 20mm for consumption greater than 1,000,000m³ in the report year.
This charge does not apply to supply points formerly in receipt of LUVA rates.</t>
  </si>
  <si>
    <t>P2.96</t>
  </si>
  <si>
    <t>Standard volume charge for consumption between 20m³ and (up to and including) 100m³ through 20mm meters, at supply points formerly in receipt of LUVA rates, for the report year.
The standard volume charge for 20mm meters should not include any premium associated with the phased changes of charges for consumption between 20m³ and (up to and including) 100m³.</t>
  </si>
  <si>
    <t>P2.97</t>
  </si>
  <si>
    <t>Standard volume charge for consumption of greater than 100m³ through 20mm meters, at sites formerly in receipt of LUVA rates, for the report year.
The charge should include any discount or premium applied to the tariffs associated with phasing.</t>
  </si>
  <si>
    <t>P2.98</t>
  </si>
  <si>
    <t>Standard volume charge for meters greater than 20mm, at sites formerly in receipt of LUVA rates, for consumption between 20m³ and (up to and including) 100,000m³ in the report year. The charge should include any discount or premium applied to the tariffs associated with phasing.</t>
  </si>
  <si>
    <t>P2.99</t>
  </si>
  <si>
    <t>Standard volume charge for meters greater than 20mm, at sites formerly in receipt of LUVA rates, for consumption between 100,000m³ and (up to and including) 250,000m³ in the report year. The charge should include any discount or premium applied to the tariffs associated with phasing.</t>
  </si>
  <si>
    <t>P2.100</t>
  </si>
  <si>
    <t>Standard volume charge for meters greater than 20mm, at sites formerly in receipt of LUVA rates, for consumption between 250,000m³ and (up to and including) 1,000,000m³ in the report year. The charge should include any discount or premium applied to the tariffs associated with phasing.</t>
  </si>
  <si>
    <t>P2.101</t>
  </si>
  <si>
    <t>Standard volume charge for meters greater than 20mm, at sites formerly in receipt of LUVA rates, for consumption greater than 1,000,000m³ in the report year.
The charge should include any discount or premium applied to the tariffs associated with phasing.</t>
  </si>
  <si>
    <t>Schedule 3 agreements</t>
  </si>
  <si>
    <t>P2.102</t>
  </si>
  <si>
    <t>Water volumes from schedule 3 agreements</t>
  </si>
  <si>
    <t>Sum of all consumption subject to schedule 3 agreements</t>
  </si>
  <si>
    <t>P2.103</t>
  </si>
  <si>
    <t>Water revenue from schedule 3 agreements</t>
  </si>
  <si>
    <t>Total revenue from water services for customers subject to schedule 3 agreements</t>
  </si>
  <si>
    <t>P2.104</t>
  </si>
  <si>
    <t>Revenue from meter based annual charges in the report year</t>
  </si>
  <si>
    <t>P2.105</t>
  </si>
  <si>
    <t>Revenue from meter capacity volume charges in the report year</t>
  </si>
  <si>
    <t>P2.106</t>
  </si>
  <si>
    <t>Revenue from standard volume charges in the report year</t>
  </si>
  <si>
    <t>P2.107</t>
  </si>
  <si>
    <t>Revenue from schedule 3 agreements</t>
  </si>
  <si>
    <t>P2.108</t>
  </si>
  <si>
    <t>Revenue from gap sites and vacant properties (water volumetric)</t>
  </si>
  <si>
    <t>P2.109</t>
  </si>
  <si>
    <t xml:space="preserve">Total revenue from water volumetric charges related to gap sites </t>
  </si>
  <si>
    <t xml:space="preserve">Water volumetric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</si>
  <si>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P2.110</t>
  </si>
  <si>
    <t xml:space="preserve">Percentage of total revenue from water volumetric charges related to gap sites </t>
  </si>
  <si>
    <t>Percentage of the water volumetric revenue from sites that were originally identified through the GAP sites scheme. This should include revenue from SPIDs that were identified through the GAP sites scheme in prior years and align with the classification on the CMA systems.</t>
  </si>
  <si>
    <t>P2.111</t>
  </si>
  <si>
    <t>Total revenue from water volumetric charges related to vacant properties</t>
  </si>
  <si>
    <t xml:space="preserve">Water volumetric revenue from vacant premises. This should align with the classification on the CMA systems. This should exclude gap site SPIDs that are now charged as vacant. </t>
  </si>
  <si>
    <t>P2.112</t>
  </si>
  <si>
    <t>Percentage of total revenue from water volumetric charges related to vacant properties</t>
  </si>
  <si>
    <t>Percentage of the water volumetric revenue from vacant premises. This should align with the classification on the CMA systems</t>
  </si>
  <si>
    <t>P2.112B</t>
  </si>
  <si>
    <t>P2.112C</t>
  </si>
  <si>
    <t>Foul sewerage assessed charges</t>
  </si>
  <si>
    <t>Tariff multipliers: licensed provider: assessed tariff meters</t>
  </si>
  <si>
    <t>P2.113</t>
  </si>
  <si>
    <t>P2.114</t>
  </si>
  <si>
    <t>P2.115</t>
  </si>
  <si>
    <t>P2.116</t>
  </si>
  <si>
    <t>P2.117</t>
  </si>
  <si>
    <t>P2.118</t>
  </si>
  <si>
    <t>Total number of assessed meters at formerly unmeasured supply points as of September of the report year</t>
  </si>
  <si>
    <t>P2.118B</t>
  </si>
  <si>
    <t>Memo line: number of assessed meters related to gap sites. Included in the total above (Line P2.118).</t>
  </si>
  <si>
    <t>P2.118C</t>
  </si>
  <si>
    <t>Memo line: number of assessed meters related to vacant properties.  Included in the total above (Line P2.118).</t>
  </si>
  <si>
    <t>P2.118D</t>
  </si>
  <si>
    <t>Memo line: number of assessed meters related to vacant gap sites.  Included in the total above (Line P2.118).</t>
  </si>
  <si>
    <t>P2.118E</t>
  </si>
  <si>
    <t>P2.118F</t>
  </si>
  <si>
    <t>P2.118G</t>
  </si>
  <si>
    <t>Volumes</t>
  </si>
  <si>
    <t>P2.119</t>
  </si>
  <si>
    <t>Assessed capacity volumes</t>
  </si>
  <si>
    <t>Assessed discharge (using RV-conversion formula) between 20m³ and (up to and including) the capacity volume threshold during report year at formerly unmeasured supply points, for each assessed meter size.</t>
  </si>
  <si>
    <t>P2.120</t>
  </si>
  <si>
    <t>Assessed standard volumes</t>
  </si>
  <si>
    <t>Sum of all assessed discharges (using RV-conversion formula) of greater than 20m³ at all formerly unmeasured supply points.</t>
  </si>
  <si>
    <t>P2.121</t>
  </si>
  <si>
    <t>P2.122</t>
  </si>
  <si>
    <t>P2.123</t>
  </si>
  <si>
    <t>P2.124</t>
  </si>
  <si>
    <t>P2.125</t>
  </si>
  <si>
    <t>Other tariffs</t>
  </si>
  <si>
    <t>P2.126</t>
  </si>
  <si>
    <t>Foul sewerage capacity volume charge for the report year.</t>
  </si>
  <si>
    <t>P2.127</t>
  </si>
  <si>
    <t>Standard volume charge</t>
  </si>
  <si>
    <t>Foul sewerage standard volume charge for the report year.</t>
  </si>
  <si>
    <t>P2.128</t>
  </si>
  <si>
    <t>P2.129</t>
  </si>
  <si>
    <t>The negative wholesale charge for supply points with exemption status.</t>
  </si>
  <si>
    <t>P2.130</t>
  </si>
  <si>
    <t>Revenue from assessed meter based annual charges in the report year. The revenue should be adjusted to take account of the phasing programme from assessed to actual measured charges.</t>
  </si>
  <si>
    <t>P2.131</t>
  </si>
  <si>
    <t>Revenue from assessed meter capacity volume charges in the report year. The revenue should be adjusted to take account of the phasing programme from assessed to actual measured charges.</t>
  </si>
  <si>
    <t>P2.132</t>
  </si>
  <si>
    <t>Revenue from assessed standard volume charges in the report year. The revenue should be adjusted to take account of the phasing programme from assessed to actual measured charges.</t>
  </si>
  <si>
    <t>P2.133</t>
  </si>
  <si>
    <t>P2.134</t>
  </si>
  <si>
    <t>Revenue from gap sites and vacant properties (foul sewerage assessed)</t>
  </si>
  <si>
    <t>P2.135</t>
  </si>
  <si>
    <t xml:space="preserve">Total revenue from foul sewerage assessed charges related to gap sites </t>
  </si>
  <si>
    <t xml:space="preserve">Foul Sewerage assessed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</si>
  <si>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P2.136</t>
  </si>
  <si>
    <t xml:space="preserve">Percentage of total revenue from foul sewerage assessed charges related to gap sites </t>
  </si>
  <si>
    <t>Percentage of the Foul Sewerage assessed revenue from sites that were originally identified through the GAP sites scheme. This should include revenue from SPIDs that were identified through the GAP sites scheme in prior years and align with the classification on the CMA systems.</t>
  </si>
  <si>
    <t>P2.137</t>
  </si>
  <si>
    <t>Total revenue from foul sewerage assessed charges related to vacant properties</t>
  </si>
  <si>
    <t xml:space="preserve">Foul Sewerage assessed revenue from vacant premises. This should align with the classification on the CMA systems. This should exclude gap site SPIDs that are now charged as vacant. </t>
  </si>
  <si>
    <t>P2.138</t>
  </si>
  <si>
    <t>Percentage of total revenue from foul sewerage assessed charges related to vacant properties</t>
  </si>
  <si>
    <t>Foul Sewerage assessed of the water volumetric revenue from vacant premises. This should align with the classification on the CMA systems</t>
  </si>
  <si>
    <t>P2.138B</t>
  </si>
  <si>
    <t>P2.138C</t>
  </si>
  <si>
    <t>Foul sewerage measured charges</t>
  </si>
  <si>
    <t>P2.139</t>
  </si>
  <si>
    <t>Number of 20mm meters, at measured supply points, as of September of the reporting year.</t>
  </si>
  <si>
    <t>P2.140</t>
  </si>
  <si>
    <t>Number of 25mm meters, at measured supply points, as of September of the reporting year.</t>
  </si>
  <si>
    <t>P2.141</t>
  </si>
  <si>
    <t>Number of 40mm meters, at measured supply points, as of September of the reporting year</t>
  </si>
  <si>
    <t>P2.142</t>
  </si>
  <si>
    <t>Number of 50mm meters, at measured supply points, as of September of the reporting year.</t>
  </si>
  <si>
    <t>P2.143</t>
  </si>
  <si>
    <t>Number of 80mm meters, at measured supply points, as of September of the reporting year.</t>
  </si>
  <si>
    <t>P2.144</t>
  </si>
  <si>
    <t>Number of 100mm meters, at measured supply points, as of September of the reporting year.</t>
  </si>
  <si>
    <t>P2.145</t>
  </si>
  <si>
    <t>Number of 150mm meters, at measured supply points, as of September of the reporting year.</t>
  </si>
  <si>
    <t>P2.146</t>
  </si>
  <si>
    <t>Total number of meters at measured supply points as of September of the report year</t>
  </si>
  <si>
    <t>P2.146B</t>
  </si>
  <si>
    <t>Memo line: number of meters at measured supply points related to gap sites. Included in the total above (Line P2.146)</t>
  </si>
  <si>
    <t>P2.146C</t>
  </si>
  <si>
    <t>Memo line: number of meters at measured supply points related to vacant properties.  Included in the total above (Line P2.146).</t>
  </si>
  <si>
    <t>P2.146D</t>
  </si>
  <si>
    <t>Memo line: number of meters at measured supply points related to vacant gap sites.  Included in the total above (Line P2.146).</t>
  </si>
  <si>
    <t>P2.146E</t>
  </si>
  <si>
    <t>P2.146F</t>
  </si>
  <si>
    <t>P2.146G</t>
  </si>
  <si>
    <t>P2.147</t>
  </si>
  <si>
    <t>Total capacity volumes</t>
  </si>
  <si>
    <t>Discharge between 20m³ and (up to and including) the capacity volume threshold during report year at measured supply points, for each meter size.</t>
  </si>
  <si>
    <t>P2.148</t>
  </si>
  <si>
    <t>Sum of all discharges of greater than 20m³ at all measured supply points</t>
  </si>
  <si>
    <t>Tariffs: fixed charges</t>
  </si>
  <si>
    <t>P2.149</t>
  </si>
  <si>
    <t>Meter based annual charge for 20mm meters in report year</t>
  </si>
  <si>
    <t>P2.150</t>
  </si>
  <si>
    <t>Meter based annual charge for 25mm meters in report year</t>
  </si>
  <si>
    <t>P2.151</t>
  </si>
  <si>
    <t>P2.152</t>
  </si>
  <si>
    <t>P2.153</t>
  </si>
  <si>
    <t>Meter based annual charge for 80mm meters in report year</t>
  </si>
  <si>
    <t>P2.154</t>
  </si>
  <si>
    <t>Meter based annual charge for 100mm meters in report year</t>
  </si>
  <si>
    <t>P2.155</t>
  </si>
  <si>
    <t>P2.156</t>
  </si>
  <si>
    <t>P2.157</t>
  </si>
  <si>
    <t>P2.158</t>
  </si>
  <si>
    <t>Foul sewage volumes from schedule 3 agreements</t>
  </si>
  <si>
    <t>Sum of all discharges subject to schedule 3 agreements</t>
  </si>
  <si>
    <t>P2.159</t>
  </si>
  <si>
    <t>Foul sewage revenue from schedule 3 agreements</t>
  </si>
  <si>
    <t>Total revenue from foul sewerage for customers subject to schedule 3 agreements</t>
  </si>
  <si>
    <t>P2.160</t>
  </si>
  <si>
    <t>Revenue from fixed charges</t>
  </si>
  <si>
    <t>P2.162</t>
  </si>
  <si>
    <t>P2.163</t>
  </si>
  <si>
    <t>P2.164</t>
  </si>
  <si>
    <t>P2.165</t>
  </si>
  <si>
    <t>Revenue from gap sites and vacant properties (foul sewerage measured)</t>
  </si>
  <si>
    <t>P2.166</t>
  </si>
  <si>
    <t xml:space="preserve">Total revenue from foul sewerage measured charges related to gap sites </t>
  </si>
  <si>
    <t xml:space="preserve">Foul sewerage measured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</si>
  <si>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P2.167</t>
  </si>
  <si>
    <t xml:space="preserve">Percentage of total revenue from foul sewerage measured charges related to gap sites </t>
  </si>
  <si>
    <t>Percentage of the foul sewerage measured revenue from sites that were originally identified through the GAP sites scheme. This should include revenue from SPIDs that were identified through the GAP sites scheme in prior years and align with the classification on the CMA systems.</t>
  </si>
  <si>
    <t>P2.168</t>
  </si>
  <si>
    <t>Total revenue from foul sewerage measured charges related to vacant properties</t>
  </si>
  <si>
    <t xml:space="preserve">Foul sewerage measured revenue from vacant premises. This should align with the classification on the CMA systems. This should exclude gap site SPIDs that are now charged as vacant. </t>
  </si>
  <si>
    <t>P2.169</t>
  </si>
  <si>
    <t>Percentage of total revenue from foul sewerage measured charges related to vacant properties</t>
  </si>
  <si>
    <t>Percentage of the foul sewerage measured revenue from vacant premises. This should align with the classification on the CMA systems</t>
  </si>
  <si>
    <t>P2.169B</t>
  </si>
  <si>
    <t>P2.169C</t>
  </si>
  <si>
    <t xml:space="preserve">Surface water drainage </t>
  </si>
  <si>
    <t>Tariff multipliers</t>
  </si>
  <si>
    <t>P2.170</t>
  </si>
  <si>
    <t>RV for property drainage</t>
  </si>
  <si>
    <t>Gross RV for supply points charged in accordance with the charges scheme - property drainage</t>
  </si>
  <si>
    <t>P2.171</t>
  </si>
  <si>
    <t>RV for roads drainage</t>
  </si>
  <si>
    <t>Gross RV for supply points charged in accordance with the charges scheme - roads drainage.</t>
  </si>
  <si>
    <t>P2.172</t>
  </si>
  <si>
    <t>Area of supply points charged an area based tariff</t>
  </si>
  <si>
    <t>Gross area of supply points charged in accordance with the charges scheme</t>
  </si>
  <si>
    <t>P2.172B</t>
  </si>
  <si>
    <t>RV for property drainage related to gap sites</t>
  </si>
  <si>
    <t>Memo line: Gross RV for supply points charged for property drainage related to gap sites. Included in the total above (Line P2.170)</t>
  </si>
  <si>
    <t>P2.172C</t>
  </si>
  <si>
    <t>RV for property drainage related to vacant properties</t>
  </si>
  <si>
    <t>Memo line: Gross RV for supply points charged for property drainage related to vacant properties.  Included in the total above (Line P2.170).</t>
  </si>
  <si>
    <t>P2.172D</t>
  </si>
  <si>
    <t>RV for property drainage related to vacant gap sites</t>
  </si>
  <si>
    <t>Memo line: Gross RV for supply points charged for property drainage related to vacant gap sites.  Included in the total above (Line P2.170).</t>
  </si>
  <si>
    <t>P2.173B</t>
  </si>
  <si>
    <t>RV for roads drainage related to gap sites</t>
  </si>
  <si>
    <t>Memo line: Gross RV for supply points charged for roads drainage related to gap sites. Included in the total above (Line P2.171).</t>
  </si>
  <si>
    <t>P2.173C</t>
  </si>
  <si>
    <t>RV for roads drainage related to vacant properties</t>
  </si>
  <si>
    <t>Memo line: Gross RV for supply points charged for roads drainage related to vacant properties.  Included in the total above (Line P2.171).</t>
  </si>
  <si>
    <t>P2.173D</t>
  </si>
  <si>
    <t>RV for roads drainage related to vacant gap sites</t>
  </si>
  <si>
    <t>Memo line: Gross RV for supply points charged for roads drainage related to vacant gap sites.  Included in the total above (Line P2.171).</t>
  </si>
  <si>
    <t>P2.174B</t>
  </si>
  <si>
    <t>Area of supply points charged an area based tariff related to gap sites</t>
  </si>
  <si>
    <t>Memo line: Gross area of supply points charged an area based tariff related to gap sites. Included in the total above (Line P2.172).</t>
  </si>
  <si>
    <t>P2.174C</t>
  </si>
  <si>
    <t>Area of supply points charged an area based tariff related to vacant properties</t>
  </si>
  <si>
    <t>Memo line: Gross area of supply points charged an area based tariff related to vacant properties. Included in the total above (Line P2.172).</t>
  </si>
  <si>
    <t>P2.174D</t>
  </si>
  <si>
    <t>Area of supply points charged an area based tariff related to vacant gap sites</t>
  </si>
  <si>
    <t>Memo line: Gross area of supply points charged an area based tariff related to related to vacant gap sites.  Included in the total above (Line P2.172).</t>
  </si>
  <si>
    <t>Tariffs</t>
  </si>
  <si>
    <t>P2.175</t>
  </si>
  <si>
    <t xml:space="preserve">Charge per £ of RV - property drainage </t>
  </si>
  <si>
    <t>Charge per £ of RV for property drainage.</t>
  </si>
  <si>
    <t>P2.176</t>
  </si>
  <si>
    <t>Charge per £ of RV for roads drainage.</t>
  </si>
  <si>
    <t>P2.177</t>
  </si>
  <si>
    <t>Standard area-based tariff</t>
  </si>
  <si>
    <t>Tariff for area-based charges.</t>
  </si>
  <si>
    <t>P2.178</t>
  </si>
  <si>
    <t>Revenue from property drainage</t>
  </si>
  <si>
    <t>Revenue from property drainage for RV charges.</t>
  </si>
  <si>
    <t>P2.179</t>
  </si>
  <si>
    <t>Revenue from roads drainage</t>
  </si>
  <si>
    <t>Revenue from roads drainage for RV charges.</t>
  </si>
  <si>
    <t>P2.180</t>
  </si>
  <si>
    <t>Revenue from area charge</t>
  </si>
  <si>
    <t>Revenue from property drainage for area-based charges.</t>
  </si>
  <si>
    <t>P2.181</t>
  </si>
  <si>
    <t>Memo lines: revenue from gap sites and vacant properties (surface water drainage)</t>
  </si>
  <si>
    <t>P2.182</t>
  </si>
  <si>
    <t xml:space="preserve">Total revenue from surface water drainage related to gap sites </t>
  </si>
  <si>
    <t xml:space="preserve">Surface water drainage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</si>
  <si>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P2.183</t>
  </si>
  <si>
    <t xml:space="preserve">Percentage of total revenue from surface water drainage related to gap sites </t>
  </si>
  <si>
    <t>Percentage of the surface water drainage revenue from sites that were originally identified through the GAP sites scheme. This should include revenue from SPIDs that were identified through the GAP sites scheme in prior years and align with the classification on the CMA systems.</t>
  </si>
  <si>
    <t>P2.184</t>
  </si>
  <si>
    <t>Total revenue from surface water drainage related to vacant properties</t>
  </si>
  <si>
    <t xml:space="preserve">Surface water drainage revenue from vacant premises. This should align with the classification on the CMA systems. This should exclude gap site SPIDs that are now charged as vacant. </t>
  </si>
  <si>
    <t>P2.185</t>
  </si>
  <si>
    <t>Percentage of total revenue from surface water drainage related to vacant properties</t>
  </si>
  <si>
    <t>Percentage of the surface water drainage revenue from vacant premises. This should align with the classification on the CMA systems</t>
  </si>
  <si>
    <t>P2.185B</t>
  </si>
  <si>
    <t>P2.185C</t>
  </si>
  <si>
    <t>Trade effluent</t>
  </si>
  <si>
    <t>Tariff multipliers: availability charging parameters</t>
  </si>
  <si>
    <t>P2.186</t>
  </si>
  <si>
    <t>Chargeable daily volume</t>
  </si>
  <si>
    <t>Volume of trade effluent liable for availability charge for R, V, B and S.</t>
  </si>
  <si>
    <t>P2.187</t>
  </si>
  <si>
    <t>Settled biological oxygen demand (sBODl)</t>
  </si>
  <si>
    <t>Total settled BOD load of trade effluent chargeable at charges scheme rate. Include discharge points whose water supplies are from sources other than SW.</t>
  </si>
  <si>
    <t>P2.188</t>
  </si>
  <si>
    <t>Suspended solids (TSSl)</t>
  </si>
  <si>
    <t>Average availability charge per kg of the SS of trade effluent receiving secondary treatment (or better). Include discharge points whose water supplies are from sources other than SW.</t>
  </si>
  <si>
    <t>Tariff multipliers: annual volumes and strength adjusted volumes</t>
  </si>
  <si>
    <t>P2.189</t>
  </si>
  <si>
    <t>Actual volume discharged (AVD) - site discharge</t>
  </si>
  <si>
    <t>Volume of trade effluent discharges subject to charges for R and V at the charges scheme rates. Include discharge points whose water supplies are from sources other than SW.</t>
  </si>
  <si>
    <t>P2.190</t>
  </si>
  <si>
    <t>Strength adjusted volume for settled COD - site strength adjusted volume</t>
  </si>
  <si>
    <t>Annual volume of trade effluent charged at the charges scheme rate that is receiving secondary treatment (or better) adjusted for relative strength compared to SW average (Ot/Os) (Sum of AVD x Ot/Os for all dischargers).</t>
  </si>
  <si>
    <t>P2.191</t>
  </si>
  <si>
    <t>Strength adjusted volume for suspended solids</t>
  </si>
  <si>
    <t>Annual volume of trade effluent charged at charges scheme rates for sludge treatment adjusted for relative strength compared to SW average St/Ss. (Sum of AVD x St/Ss for all dischargers). Include discharge points whose water supplies are from sources other than SW.</t>
  </si>
  <si>
    <t>Tariffs: availability charge - fixed</t>
  </si>
  <si>
    <t>P2.192</t>
  </si>
  <si>
    <t>Reception charge (Ra)</t>
  </si>
  <si>
    <t>Annual reception capacity charge for service availability for dischargers at properties charged in accordance with the charges scheme rates.</t>
  </si>
  <si>
    <t>P2.193</t>
  </si>
  <si>
    <t>Volumetric/primary charge (Va)</t>
  </si>
  <si>
    <t>Annual volumetric capacity charge for service availability for dischargers at properties charged in accordance with the charges scheme rates.</t>
  </si>
  <si>
    <t>P2.194</t>
  </si>
  <si>
    <t>Biological capacity charge (Ba)</t>
  </si>
  <si>
    <t>Annual biological capacity charge for service availability for dischargers at properties charged in accordance with the charges scheme rates.</t>
  </si>
  <si>
    <t>P2.195</t>
  </si>
  <si>
    <t>Sludge capacity charge (Sa)</t>
  </si>
  <si>
    <t>Tariffs: operating charge - variable</t>
  </si>
  <si>
    <t>P2.196</t>
  </si>
  <si>
    <t>Reception charge (Ro)</t>
  </si>
  <si>
    <t>Annual operating charge for reception (Ro) for dischargers at properties charged in accordance with the charges scheme rates.</t>
  </si>
  <si>
    <t>P2.197</t>
  </si>
  <si>
    <t>Volumetric/primary charge (Vo)</t>
  </si>
  <si>
    <t>Annual volumetric operating charge (Vo) for dischargers at properties charged in accordance with the charges scheme rates.</t>
  </si>
  <si>
    <t>P2.198</t>
  </si>
  <si>
    <t>Secondary treatment charge (Bo) (for Scottish average strength - sCOD)</t>
  </si>
  <si>
    <t>Annual operating charge for secondary treatment for dischargers at properties charged in accordance with the charges scheme rates for Scottish average strength sewage.</t>
  </si>
  <si>
    <t>P2.199</t>
  </si>
  <si>
    <t>Sludge treatment charge (So) (for Scottish average strength - SS)</t>
  </si>
  <si>
    <t>Annual operating charge for sludge treatment (So) for dischargers at properties charged in accordance with the charges scheme rates for Scottish average strength sewage.</t>
  </si>
  <si>
    <t>P2.200</t>
  </si>
  <si>
    <t>Trade effluent revenue from schedule 3 agreements</t>
  </si>
  <si>
    <t>Total revenue from trade effluent for customers subject to schedule 3 agreements</t>
  </si>
  <si>
    <t>P2.201</t>
  </si>
  <si>
    <t>Availability charge</t>
  </si>
  <si>
    <t>Revenue from availability charge (Ca) - discharge points charged in accordance with charges scheme rates.</t>
  </si>
  <si>
    <t>P2.202</t>
  </si>
  <si>
    <t>Operating charge</t>
  </si>
  <si>
    <t>Revenue from operating charge (Co) - discharge points charged in accordance with charges scheme rates.</t>
  </si>
  <si>
    <t>P2.203</t>
  </si>
  <si>
    <t>P2.204</t>
  </si>
  <si>
    <t>Memo lines: revenue from gap sites and vacant properties (trade effluent)</t>
  </si>
  <si>
    <t>P2.205</t>
  </si>
  <si>
    <t xml:space="preserve">Total revenue from trade effluent related to gap sites </t>
  </si>
  <si>
    <t xml:space="preserve">Trade effluent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</si>
  <si>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P2.206</t>
  </si>
  <si>
    <t xml:space="preserve">Percentage of total revenue from trade effluent related to gap sites </t>
  </si>
  <si>
    <t>Percentage of the trade effluent revenue from sites that were originally identified through the GAP sites scheme. This should include revenue from SPIDs that were identified through the GAP sites scheme in prior years and align with the classification on the CMA systems.</t>
  </si>
  <si>
    <t>P2.207</t>
  </si>
  <si>
    <t>Total revenue from trade effluent related to vacant properties</t>
  </si>
  <si>
    <t xml:space="preserve">Trade effluent revenue from vacant premises. This should align with the classification on the CMA systems. This should exclude gap site SPIDs that are now charged as vacant. </t>
  </si>
  <si>
    <t>P2.208</t>
  </si>
  <si>
    <t>Percentage of total revenue from trade effluent related to vacant properties</t>
  </si>
  <si>
    <t>Percentage of the trade effluent revenue from vacant premises. This should align with the classification on the CMA systems</t>
  </si>
  <si>
    <t>P2.208B</t>
  </si>
  <si>
    <t>P2.208C</t>
  </si>
  <si>
    <t>Field troughs and drinking bowls</t>
  </si>
  <si>
    <t>P2.209</t>
  </si>
  <si>
    <t>Number of farms</t>
  </si>
  <si>
    <t>Number of unmeasured field troughs and drinking bowls situated at supply points registered as farms as of September of the report year.</t>
  </si>
  <si>
    <t>P2.210</t>
  </si>
  <si>
    <t>Number of crofts and registered small holdings</t>
  </si>
  <si>
    <t>Number of unmeasured field troughs and drinking bowls situated at supply points registered as crofts or registered small holdings as of September of the report year.</t>
  </si>
  <si>
    <t>P2.211</t>
  </si>
  <si>
    <t>Farms</t>
  </si>
  <si>
    <t>Annual charge for unmeasured field troughs and drinking bowls situated at supply points registered as farms.</t>
  </si>
  <si>
    <t>P2.212</t>
  </si>
  <si>
    <t>Crofts and registered small holdings</t>
  </si>
  <si>
    <t>Annual charge for unmeasured field troughs and drinking bowls situated at supply points registered as crofts or registered small holdings.</t>
  </si>
  <si>
    <t>P2.213</t>
  </si>
  <si>
    <t>Revenue: farms</t>
  </si>
  <si>
    <t>Revenue from unmeasured field troughs and drinking bowls situated at supply points registered as farms.</t>
  </si>
  <si>
    <t>P2.214</t>
  </si>
  <si>
    <t>Revenue: crofts and registered small holdings</t>
  </si>
  <si>
    <t>Revenue from unmeasured field troughs and drinking bowls situated at supply points registered as crofts or registered small holdings.</t>
  </si>
  <si>
    <t>P2.215</t>
  </si>
  <si>
    <t>Memo lines: revenue from gap sites and vacant properties (field troughs and drinking bowls)</t>
  </si>
  <si>
    <t>P2.216</t>
  </si>
  <si>
    <t xml:space="preserve">Total revenue from field troughs and drinking bowls related to gap sites </t>
  </si>
  <si>
    <t xml:space="preserve">Field troughs and drinking bowls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</si>
  <si>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P2.217</t>
  </si>
  <si>
    <t xml:space="preserve">Percentage of total revenue from field troughs and drinking bowls related to gap sites </t>
  </si>
  <si>
    <t>Percentage of the field troughs and drinking bowls revenue from sites that were originally identified through the GAP sites scheme. This should include revenue from SPIDs that were identified through the GAP sites scheme in prior years and align with the classification on the CMA systems.</t>
  </si>
  <si>
    <t>P2.218</t>
  </si>
  <si>
    <t>Total revenue from field troughs and drinking bowls related to vacant properties</t>
  </si>
  <si>
    <t xml:space="preserve">Field troughs and drinking bowls revenue from vacant premises. This should align with the classification on the CMA systems. This should exclude gap site SPIDs that are now charged as vacant. </t>
  </si>
  <si>
    <t>P2.219</t>
  </si>
  <si>
    <t>Percentage of total revenue from field troughs and drinking bowls related to vacant properties</t>
  </si>
  <si>
    <t>Percentage of the field troughs and drinking bowls revenue from vacant premises. This should align with the classification on the CMA systems</t>
  </si>
  <si>
    <t>P2.219B</t>
  </si>
  <si>
    <t>P2.219C</t>
  </si>
  <si>
    <t>Table P2a: Workings for 2018/19 and 2019/20 to cater for transition period to Live RV for rateable value based charges</t>
  </si>
  <si>
    <t>2019-20 monthly</t>
  </si>
  <si>
    <t>2020-21 monthly</t>
  </si>
  <si>
    <t>2021-22 monthly</t>
  </si>
  <si>
    <t>2022-23 monthly</t>
  </si>
  <si>
    <t>P2a.1</t>
  </si>
  <si>
    <t>P2a.2</t>
  </si>
  <si>
    <t>P2a.3</t>
  </si>
  <si>
    <t>Revenue from foul sewerage assessed charges</t>
  </si>
  <si>
    <t>P2a.4</t>
  </si>
  <si>
    <t>Revenue from foul sewerage measured charges</t>
  </si>
  <si>
    <t>P2a.5</t>
  </si>
  <si>
    <t xml:space="preserve">Revenue from surface water drainage </t>
  </si>
  <si>
    <t>P2a.6</t>
  </si>
  <si>
    <t>Revenue from trade effluent</t>
  </si>
  <si>
    <t>P2a.7</t>
  </si>
  <si>
    <t>Revenue from field troughs and drinking bowls</t>
  </si>
  <si>
    <t>P2a.8</t>
  </si>
  <si>
    <t>P2a.9</t>
  </si>
  <si>
    <t>20 (unmeasurable) - no transitional phasing</t>
  </si>
  <si>
    <t>P2a.10</t>
  </si>
  <si>
    <t>20 (unmeasurable RV)</t>
  </si>
  <si>
    <t>P2a.11</t>
  </si>
  <si>
    <t>20 (unmeasurable LRV)</t>
  </si>
  <si>
    <t>P2a.12</t>
  </si>
  <si>
    <t>25 (unmeasurable) - no transitional phasing</t>
  </si>
  <si>
    <t>P2a.13</t>
  </si>
  <si>
    <t>25 (unmeasurable RV)</t>
  </si>
  <si>
    <t>P2a.14</t>
  </si>
  <si>
    <t>25 (unmeasurable LRV)</t>
  </si>
  <si>
    <t>P2a.15</t>
  </si>
  <si>
    <t>40 (unmeasurable) - no transitional phasing</t>
  </si>
  <si>
    <t>P2a.16</t>
  </si>
  <si>
    <t>40 (unmeasurable RV)</t>
  </si>
  <si>
    <t>P2a.17</t>
  </si>
  <si>
    <t>40 (unmeasurable LRV)</t>
  </si>
  <si>
    <t>P2a.18</t>
  </si>
  <si>
    <t>50 (unmeasurable) - no transitional phasing</t>
  </si>
  <si>
    <t>P2a.19</t>
  </si>
  <si>
    <t>50 (unmeasurable RV)</t>
  </si>
  <si>
    <t>P2a.20</t>
  </si>
  <si>
    <t>50 (unmeasurable LRV)</t>
  </si>
  <si>
    <t>P2a.21</t>
  </si>
  <si>
    <t>80 (unmeasurable) - no transitional phasing</t>
  </si>
  <si>
    <t>P2a.22</t>
  </si>
  <si>
    <t>80 (unmeasurable RV)</t>
  </si>
  <si>
    <t>P2a.23</t>
  </si>
  <si>
    <t>80 (unmeasurable LRV)</t>
  </si>
  <si>
    <t>P2a.24</t>
  </si>
  <si>
    <t>P2a.25</t>
  </si>
  <si>
    <t>P2a.26</t>
  </si>
  <si>
    <t>P2a.27</t>
  </si>
  <si>
    <t>P2a.28</t>
  </si>
  <si>
    <t>P2a.29</t>
  </si>
  <si>
    <t>P2a.30</t>
  </si>
  <si>
    <t>P2a.31</t>
  </si>
  <si>
    <t>P2a.32</t>
  </si>
  <si>
    <t>P2a.33</t>
  </si>
  <si>
    <t>P2a.34</t>
  </si>
  <si>
    <t>P2a.35</t>
  </si>
  <si>
    <t>P2a.36</t>
  </si>
  <si>
    <t>P2a.37</t>
  </si>
  <si>
    <t>P2a.38</t>
  </si>
  <si>
    <t>P2a.39</t>
  </si>
  <si>
    <t>P2a.40</t>
  </si>
  <si>
    <t>Tariff multipliers: licensed provider: actual standard volumes - no transitional phasing</t>
  </si>
  <si>
    <t>P2a.41</t>
  </si>
  <si>
    <t>P2a.42</t>
  </si>
  <si>
    <t>P2a.43</t>
  </si>
  <si>
    <t>P2a.44</t>
  </si>
  <si>
    <t>P2a.45</t>
  </si>
  <si>
    <t>P2a.46</t>
  </si>
  <si>
    <t>Tariff multipliers: licensed provider: actual standard volumes RV</t>
  </si>
  <si>
    <t>P2a.47</t>
  </si>
  <si>
    <t>P2a.48</t>
  </si>
  <si>
    <t>P2a.49</t>
  </si>
  <si>
    <t>P2a.50</t>
  </si>
  <si>
    <t>P2a.51</t>
  </si>
  <si>
    <t>P2a.52</t>
  </si>
  <si>
    <t>Tariff multipliers: licensed provider: actual standard volumes LRV</t>
  </si>
  <si>
    <t>P2a.53</t>
  </si>
  <si>
    <t>P2a.54</t>
  </si>
  <si>
    <t>P2a.55</t>
  </si>
  <si>
    <t>P2a.56</t>
  </si>
  <si>
    <t>P2a.57</t>
  </si>
  <si>
    <t>P2a.58</t>
  </si>
  <si>
    <t>P2a.59</t>
  </si>
  <si>
    <t>20mm - no phasing</t>
  </si>
  <si>
    <t>P2a.60</t>
  </si>
  <si>
    <t>20mm - historic RV</t>
  </si>
  <si>
    <t>P2a.61</t>
  </si>
  <si>
    <t>20mm - live RV</t>
  </si>
  <si>
    <t>P2a.62</t>
  </si>
  <si>
    <t>25mm - no phasing</t>
  </si>
  <si>
    <t>P2a.63</t>
  </si>
  <si>
    <t>25mm - historic RV</t>
  </si>
  <si>
    <t>P2a.64</t>
  </si>
  <si>
    <t>25mm - live RV</t>
  </si>
  <si>
    <t>P2a.65</t>
  </si>
  <si>
    <t>40mm - no phasing</t>
  </si>
  <si>
    <t>P2a.66</t>
  </si>
  <si>
    <t>40mm - historic RV</t>
  </si>
  <si>
    <t>P2a.67</t>
  </si>
  <si>
    <t>40mm - live RV</t>
  </si>
  <si>
    <t>P2a.68</t>
  </si>
  <si>
    <t>50mm - no phasing</t>
  </si>
  <si>
    <t>P2a.69</t>
  </si>
  <si>
    <t>50mm - historic RV</t>
  </si>
  <si>
    <t>P2a.70</t>
  </si>
  <si>
    <t>50mm - live RV</t>
  </si>
  <si>
    <t>P2a.71</t>
  </si>
  <si>
    <t>80mm - no phasing</t>
  </si>
  <si>
    <t>P2a.72</t>
  </si>
  <si>
    <t>80mm - historic RV</t>
  </si>
  <si>
    <t>P2a.73</t>
  </si>
  <si>
    <t>80mm - live RV</t>
  </si>
  <si>
    <t>P2a.74</t>
  </si>
  <si>
    <t>P2a.75</t>
  </si>
  <si>
    <t>Capacity volume charge - no transitional phasing</t>
  </si>
  <si>
    <t>P2a.76</t>
  </si>
  <si>
    <t>Capacity volume charge RV</t>
  </si>
  <si>
    <t>P2a.77</t>
  </si>
  <si>
    <t>Capacity volume charge LRV</t>
  </si>
  <si>
    <t>Tariffs: standard volumes - no transitional phasing</t>
  </si>
  <si>
    <t>P2a.78</t>
  </si>
  <si>
    <t>P2a.79</t>
  </si>
  <si>
    <t>P2a.80</t>
  </si>
  <si>
    <t>P2a.81</t>
  </si>
  <si>
    <t>P2a.82</t>
  </si>
  <si>
    <t>Tariffs: standard volumes RV</t>
  </si>
  <si>
    <t>P2a.83</t>
  </si>
  <si>
    <t>P2a.84</t>
  </si>
  <si>
    <t>P2a.85</t>
  </si>
  <si>
    <t>P2a.86</t>
  </si>
  <si>
    <t>P2a.87</t>
  </si>
  <si>
    <t>Tariffs: standard volumes LRV</t>
  </si>
  <si>
    <t>P2a.88</t>
  </si>
  <si>
    <t>P2a.89</t>
  </si>
  <si>
    <t>P2a.90</t>
  </si>
  <si>
    <t>P2a.91</t>
  </si>
  <si>
    <t>P2a.92</t>
  </si>
  <si>
    <t>P2a.93</t>
  </si>
  <si>
    <t>P2a.94</t>
  </si>
  <si>
    <t>P2a.95</t>
  </si>
  <si>
    <t>P2a.96</t>
  </si>
  <si>
    <t>P2a.97</t>
  </si>
  <si>
    <t>P2a.98</t>
  </si>
  <si>
    <t>P2a.99</t>
  </si>
  <si>
    <t>P2a.100</t>
  </si>
  <si>
    <t>P2a.101</t>
  </si>
  <si>
    <t>P2a.102</t>
  </si>
  <si>
    <t>P2a.103</t>
  </si>
  <si>
    <t>P2a.104</t>
  </si>
  <si>
    <t>P2a.105</t>
  </si>
  <si>
    <t>P2a.106</t>
  </si>
  <si>
    <t>P2a.107</t>
  </si>
  <si>
    <t>P2a.108</t>
  </si>
  <si>
    <t>P2a.109</t>
  </si>
  <si>
    <t>P2a.110</t>
  </si>
  <si>
    <t>P2a.111</t>
  </si>
  <si>
    <t>P2a.112</t>
  </si>
  <si>
    <t>P2a.113</t>
  </si>
  <si>
    <t>P2a.114</t>
  </si>
  <si>
    <t>P2a.115</t>
  </si>
  <si>
    <t>P2a.116</t>
  </si>
  <si>
    <t>P2a.117</t>
  </si>
  <si>
    <t>P2a.118</t>
  </si>
  <si>
    <t>P2a.119</t>
  </si>
  <si>
    <t>P2a.120</t>
  </si>
  <si>
    <t>P2a.121</t>
  </si>
  <si>
    <t>P2a.122</t>
  </si>
  <si>
    <t>P2a.123</t>
  </si>
  <si>
    <t>P2a.124</t>
  </si>
  <si>
    <t>P2a.125</t>
  </si>
  <si>
    <t>P2a.126</t>
  </si>
  <si>
    <t>P2a.127</t>
  </si>
  <si>
    <t>P2a.128</t>
  </si>
  <si>
    <t>P2a.129</t>
  </si>
  <si>
    <t>P2a.130</t>
  </si>
  <si>
    <t>P2a.131</t>
  </si>
  <si>
    <t>P2a.132</t>
  </si>
  <si>
    <t>P2a.133</t>
  </si>
  <si>
    <t>P2a.134</t>
  </si>
  <si>
    <t>P2a.135</t>
  </si>
  <si>
    <t>P2a.136</t>
  </si>
  <si>
    <t>P2a.137</t>
  </si>
  <si>
    <t>P2a.138</t>
  </si>
  <si>
    <t>P2a.139</t>
  </si>
  <si>
    <t>P2a.140</t>
  </si>
  <si>
    <t>P2a.141</t>
  </si>
  <si>
    <t>P2a.142</t>
  </si>
  <si>
    <t>P2a.143</t>
  </si>
  <si>
    <t>P2a.144</t>
  </si>
  <si>
    <t>P2a.145</t>
  </si>
  <si>
    <t>P2a.146</t>
  </si>
  <si>
    <t>P2a.147</t>
  </si>
  <si>
    <t>P2a.148</t>
  </si>
  <si>
    <t>P2a.149</t>
  </si>
  <si>
    <t>P2a.150</t>
  </si>
  <si>
    <t>P2a.151</t>
  </si>
  <si>
    <t>P2a.152</t>
  </si>
  <si>
    <t>P2a.153</t>
  </si>
  <si>
    <t>P2a.154</t>
  </si>
  <si>
    <t>P2a.155</t>
  </si>
  <si>
    <t>P2a.156</t>
  </si>
  <si>
    <t>P2a.157</t>
  </si>
  <si>
    <t>P2a.158</t>
  </si>
  <si>
    <t>P2a.159</t>
  </si>
  <si>
    <t>P2a.160</t>
  </si>
  <si>
    <t>P2a.161</t>
  </si>
  <si>
    <t>P2a.162</t>
  </si>
  <si>
    <t>P2a.163</t>
  </si>
  <si>
    <t>P2a.164</t>
  </si>
  <si>
    <t>P2a.165</t>
  </si>
  <si>
    <t>P2a.166</t>
  </si>
  <si>
    <t>P2a.167</t>
  </si>
  <si>
    <t>P2a.168</t>
  </si>
  <si>
    <t>P2a.169</t>
  </si>
  <si>
    <t>P2a.170</t>
  </si>
  <si>
    <t>P2a.171</t>
  </si>
  <si>
    <t>P2a.172</t>
  </si>
  <si>
    <t>P2a.173</t>
  </si>
  <si>
    <t>P2a.174</t>
  </si>
  <si>
    <t>P2a.175</t>
  </si>
  <si>
    <t>P2a.176</t>
  </si>
  <si>
    <t>P2a.177</t>
  </si>
  <si>
    <t>P2a.178</t>
  </si>
  <si>
    <t>P2a.179</t>
  </si>
  <si>
    <t>P2a.180</t>
  </si>
  <si>
    <t>P2a.181</t>
  </si>
  <si>
    <t>P2a.182</t>
  </si>
  <si>
    <t>P2a.183</t>
  </si>
  <si>
    <t>P2a.184</t>
  </si>
  <si>
    <t>P2a.185</t>
  </si>
  <si>
    <t>P2a.186</t>
  </si>
  <si>
    <t>P2a.187</t>
  </si>
  <si>
    <t>P2a.188</t>
  </si>
  <si>
    <t>P2a.189</t>
  </si>
  <si>
    <t>P2a.190</t>
  </si>
  <si>
    <t>P2a.191</t>
  </si>
  <si>
    <t>P2a.192</t>
  </si>
  <si>
    <t>P2a.193</t>
  </si>
  <si>
    <t>P2a.194</t>
  </si>
  <si>
    <t>P2a.195</t>
  </si>
  <si>
    <t>P2a.196</t>
  </si>
  <si>
    <t>P2a.197</t>
  </si>
  <si>
    <t>P2a.198</t>
  </si>
  <si>
    <t>P2a.199</t>
  </si>
  <si>
    <t>P2a.200</t>
  </si>
  <si>
    <t>P2a.201</t>
  </si>
  <si>
    <t>P2a.202</t>
  </si>
  <si>
    <t>P2a.203</t>
  </si>
  <si>
    <t>P2a.204</t>
  </si>
  <si>
    <t>P2a.205</t>
  </si>
  <si>
    <t>P2a.206</t>
  </si>
  <si>
    <t>P2a.207</t>
  </si>
  <si>
    <t>P2a.208</t>
  </si>
  <si>
    <t>P2a.209</t>
  </si>
  <si>
    <t>P2a.210</t>
  </si>
  <si>
    <t>P2a.211</t>
  </si>
  <si>
    <t>P2a.212</t>
  </si>
  <si>
    <t>P2a.213</t>
  </si>
  <si>
    <t>P2a.214</t>
  </si>
  <si>
    <t>P2a.215</t>
  </si>
  <si>
    <t>P2a.216</t>
  </si>
  <si>
    <t>P2a.217</t>
  </si>
  <si>
    <t>P2a.218</t>
  </si>
  <si>
    <t>P2a.219</t>
  </si>
  <si>
    <t>P2a.220</t>
  </si>
  <si>
    <t>P2a.221</t>
  </si>
  <si>
    <t>Standard volume charge - no transitional phasing</t>
  </si>
  <si>
    <t>P2a.222</t>
  </si>
  <si>
    <t>Standard volume charge RV</t>
  </si>
  <si>
    <t>P2a.223</t>
  </si>
  <si>
    <t>Standard volume charge LRV</t>
  </si>
  <si>
    <t>P2a.224</t>
  </si>
  <si>
    <t>P2a.225</t>
  </si>
  <si>
    <t>P2a.226</t>
  </si>
  <si>
    <t>P2a.227</t>
  </si>
  <si>
    <t>P2a.228</t>
  </si>
  <si>
    <t>P2a.229</t>
  </si>
  <si>
    <t>P2a.230</t>
  </si>
  <si>
    <t>P2a.231</t>
  </si>
  <si>
    <t>P2a.232</t>
  </si>
  <si>
    <t>P2a.233</t>
  </si>
  <si>
    <t>P2a.234</t>
  </si>
  <si>
    <t>P2a.235</t>
  </si>
  <si>
    <t>P2a.236</t>
  </si>
  <si>
    <t>P2a.237</t>
  </si>
  <si>
    <t>P2a.238</t>
  </si>
  <si>
    <t>P2a.239</t>
  </si>
  <si>
    <t>P2a.240</t>
  </si>
  <si>
    <t>P2a.241</t>
  </si>
  <si>
    <t>P2a.242</t>
  </si>
  <si>
    <t>P2a.243</t>
  </si>
  <si>
    <t>P2a.244</t>
  </si>
  <si>
    <t>P2a.245</t>
  </si>
  <si>
    <t>P2a.246</t>
  </si>
  <si>
    <t>P2a.247</t>
  </si>
  <si>
    <t>P2a.248</t>
  </si>
  <si>
    <t>P2a.249</t>
  </si>
  <si>
    <t>P2a.250</t>
  </si>
  <si>
    <t>P2a.251</t>
  </si>
  <si>
    <t>P2a.252</t>
  </si>
  <si>
    <t>P2a.253</t>
  </si>
  <si>
    <t>P2a.254</t>
  </si>
  <si>
    <t>P2a.255</t>
  </si>
  <si>
    <t>P2a.256</t>
  </si>
  <si>
    <t>P2a.257</t>
  </si>
  <si>
    <t>P2a.258</t>
  </si>
  <si>
    <t>P2a.259</t>
  </si>
  <si>
    <t>P2a.260</t>
  </si>
  <si>
    <t>P2a.261</t>
  </si>
  <si>
    <t>P2a.262</t>
  </si>
  <si>
    <t>P2a.263</t>
  </si>
  <si>
    <t>P2a.264</t>
  </si>
  <si>
    <t>P2a.265</t>
  </si>
  <si>
    <t>P2a.266</t>
  </si>
  <si>
    <t>P2a.267</t>
  </si>
  <si>
    <t>P2a.268</t>
  </si>
  <si>
    <t>Tariff multipliers: rateable value base</t>
  </si>
  <si>
    <t>RV for property drainage - no transitional phasing</t>
  </si>
  <si>
    <t>P2a.269</t>
  </si>
  <si>
    <t>RV for property drainage (RV)</t>
  </si>
  <si>
    <t>P2a.270</t>
  </si>
  <si>
    <t>RV for roads drainage tariff (RV)</t>
  </si>
  <si>
    <t>P2a.271</t>
  </si>
  <si>
    <t>RV for property drainage (LRV)</t>
  </si>
  <si>
    <t>P2a.272</t>
  </si>
  <si>
    <t>RV for roads drainage tariff (LRV)</t>
  </si>
  <si>
    <t>P2a.273</t>
  </si>
  <si>
    <t>P2a.274</t>
  </si>
  <si>
    <t>P2a.275</t>
  </si>
  <si>
    <t>P2a.276</t>
  </si>
  <si>
    <t>P2a.277</t>
  </si>
  <si>
    <t>Charge per £ of RV - property drainage (RV)</t>
  </si>
  <si>
    <t>P2a.278</t>
  </si>
  <si>
    <t>Charge per £ of RV - roads drainage (RV)</t>
  </si>
  <si>
    <t>P2a.279</t>
  </si>
  <si>
    <t>Charge per £ of RV - property drainage (LRV)</t>
  </si>
  <si>
    <t>P2a.280</t>
  </si>
  <si>
    <t>P2a.281</t>
  </si>
  <si>
    <t>Property drainage - standard charges - no transitional phasing</t>
  </si>
  <si>
    <t>P2a.282</t>
  </si>
  <si>
    <t>Roads drainage - standard charges - no transitional phasing</t>
  </si>
  <si>
    <t>P2a.283</t>
  </si>
  <si>
    <t>Property drainage - RV charges</t>
  </si>
  <si>
    <t>P2a.284</t>
  </si>
  <si>
    <t>Roads drainage - RV charges</t>
  </si>
  <si>
    <t>P2a.285</t>
  </si>
  <si>
    <t>Property drainage - LRV charges</t>
  </si>
  <si>
    <t>P2a.286</t>
  </si>
  <si>
    <t>Roads drainage - LRV charges</t>
  </si>
  <si>
    <t>P2a.287</t>
  </si>
  <si>
    <t>Area charge - standard area-based tariff</t>
  </si>
  <si>
    <t>P2a.288</t>
  </si>
  <si>
    <t>P2a.289</t>
  </si>
  <si>
    <t>P2a.290</t>
  </si>
  <si>
    <t>P2a.291</t>
  </si>
  <si>
    <t>P2a.292</t>
  </si>
  <si>
    <t>P2a.293</t>
  </si>
  <si>
    <t>P2a.294</t>
  </si>
  <si>
    <t>P2a.295</t>
  </si>
  <si>
    <t>P2a.296</t>
  </si>
  <si>
    <t>P2a.297</t>
  </si>
  <si>
    <t>P2a.298</t>
  </si>
  <si>
    <t>P2a.299</t>
  </si>
  <si>
    <t>P2a.300</t>
  </si>
  <si>
    <t>P2a.301</t>
  </si>
  <si>
    <t>P2a.302</t>
  </si>
  <si>
    <t>P2a.303</t>
  </si>
  <si>
    <t>P2a.304</t>
  </si>
  <si>
    <t>P2a.305</t>
  </si>
  <si>
    <t>P2a.306</t>
  </si>
  <si>
    <t>P2a.307</t>
  </si>
  <si>
    <t>P2a.308</t>
  </si>
  <si>
    <t>P2a.309</t>
  </si>
  <si>
    <t>P2a.310</t>
  </si>
  <si>
    <t>P2a.311</t>
  </si>
  <si>
    <t>P2a.312</t>
  </si>
  <si>
    <t>P2a.313</t>
  </si>
  <si>
    <t>P2a.314</t>
  </si>
  <si>
    <t>P2a.315</t>
  </si>
  <si>
    <t>P2a.316</t>
  </si>
  <si>
    <t>P2a.317</t>
  </si>
  <si>
    <t>P2a.318</t>
  </si>
  <si>
    <t>P2a.319</t>
  </si>
  <si>
    <t>P2a.320</t>
  </si>
  <si>
    <t>P2a.321</t>
  </si>
  <si>
    <t>P2a.322</t>
  </si>
  <si>
    <t>P2a.323</t>
  </si>
  <si>
    <t>P2a.324</t>
  </si>
  <si>
    <t>P2a.325</t>
  </si>
  <si>
    <t>P2a.326</t>
  </si>
  <si>
    <t>P2a.327</t>
  </si>
  <si>
    <t>P2a.328</t>
  </si>
  <si>
    <t>P2a.329</t>
  </si>
  <si>
    <t>P2a.330</t>
  </si>
  <si>
    <t>Table P3: Water retail charges from unmeasured households</t>
  </si>
  <si>
    <t>Discount</t>
  </si>
  <si>
    <t>Description</t>
  </si>
  <si>
    <t>Units</t>
  </si>
  <si>
    <t>Report year 2022-23</t>
  </si>
  <si>
    <t>Forecast year 2023-24</t>
  </si>
  <si>
    <t>Data</t>
  </si>
  <si>
    <t>Confidence grades</t>
  </si>
  <si>
    <t>Band A*</t>
  </si>
  <si>
    <t>Band A</t>
  </si>
  <si>
    <t>Band B</t>
  </si>
  <si>
    <t>Band C</t>
  </si>
  <si>
    <t>Band D</t>
  </si>
  <si>
    <t>Band E</t>
  </si>
  <si>
    <t>Band F</t>
  </si>
  <si>
    <t>Band G</t>
  </si>
  <si>
    <t>Band H</t>
  </si>
  <si>
    <t xml:space="preserve">Total </t>
  </si>
  <si>
    <t>Share</t>
  </si>
  <si>
    <t>Tariff multipliers: Number of dwellings with an unmetered water connection</t>
  </si>
  <si>
    <t>P3.1</t>
  </si>
  <si>
    <t>No discount</t>
  </si>
  <si>
    <t>Occupied dwellings with no CTR/no WCRS</t>
  </si>
  <si>
    <t>Nr/%</t>
  </si>
  <si>
    <t>I/C</t>
  </si>
  <si>
    <t>B2</t>
  </si>
  <si>
    <t>B3</t>
  </si>
  <si>
    <t xml:space="preserve">Number of occupied dwellings not receiving council tax reduction/water charges reduction scheme. </t>
  </si>
  <si>
    <t>P3.2</t>
  </si>
  <si>
    <t>Second homes</t>
  </si>
  <si>
    <t xml:space="preserve">Number of dwellings classed as second homes - these do not qualify for CTR/WCRS and full water and wastewater charges apply.  </t>
  </si>
  <si>
    <t>P3.3</t>
  </si>
  <si>
    <t xml:space="preserve">Long term vacant dwellings </t>
  </si>
  <si>
    <t xml:space="preserve">Number of dwellings classed as long term vacant - these do not qualify for CTR/WCRS and full water and wastewater charges apply.  </t>
  </si>
  <si>
    <t>P3.4</t>
  </si>
  <si>
    <t>Partial CTR/Partial WCRS</t>
  </si>
  <si>
    <t>Number of dwellings receiving partial council tax reduction/partial water charges reduction scheme</t>
  </si>
  <si>
    <t>P3.5</t>
  </si>
  <si>
    <t xml:space="preserve">Full CTR/Full WCRS </t>
  </si>
  <si>
    <t>Number of dwellings receiving full council tax reduction/full water charges reduction scheme</t>
  </si>
  <si>
    <t>P3.6</t>
  </si>
  <si>
    <t xml:space="preserve">25% discount </t>
  </si>
  <si>
    <t>No CTR/No WCRS</t>
  </si>
  <si>
    <t>Number of dwellings on a single-person discount, which are not receiving council tax reduction/water charges reduction scheme</t>
  </si>
  <si>
    <t>P3.7</t>
  </si>
  <si>
    <t>Dwellings with 25% discount and partial CTR/partial WCRS</t>
  </si>
  <si>
    <t>Number of dwellings on a single-person discount, that also receive partial council tax reduction/water charges reduction scheme</t>
  </si>
  <si>
    <t>P3.8</t>
  </si>
  <si>
    <t>N/A</t>
  </si>
  <si>
    <t>Share of partial CTR dwellings estimated to have CTR &gt; 71.4%</t>
  </si>
  <si>
    <t>%</t>
  </si>
  <si>
    <t>Proportion of dwellings with single person and partial CTR that receive CTR above 71.4% (the cut-off to receive WCRS support (under the 35% maximum support arrangements))</t>
  </si>
  <si>
    <t>P3.9</t>
  </si>
  <si>
    <t>Partial CTR (&gt;71.4%)/Partial WCRS</t>
  </si>
  <si>
    <t>Number of dwellings on a single-person discount, which are receiving partial council tax reduction of more than 71.4%/partial water charges reduction scheme</t>
  </si>
  <si>
    <t>P3.10</t>
  </si>
  <si>
    <t>Partial CTR (&lt;71.4%)/No WCRS</t>
  </si>
  <si>
    <t>Number of dwellings on a single-person discount, which are receiving partial council tax reduction of less than 71.4%/no water charges reduction scheme</t>
  </si>
  <si>
    <t>P3.11</t>
  </si>
  <si>
    <t xml:space="preserve">Full CTR/maximum WCRS </t>
  </si>
  <si>
    <t>Number of dwellings on a single-person discount, which are receiving full council tax reduction/full water charges reduction scheme</t>
  </si>
  <si>
    <t>P3.12</t>
  </si>
  <si>
    <t xml:space="preserve">50% discount </t>
  </si>
  <si>
    <t>No CTR/no WCRS</t>
  </si>
  <si>
    <t>Number of dwellings on a 50% discount, which are not receiving council tax reduction/water charges reduction scheme</t>
  </si>
  <si>
    <t>P3.13</t>
  </si>
  <si>
    <t xml:space="preserve">Partial CTR </t>
  </si>
  <si>
    <t xml:space="preserve">Number of dwellings on a 50% discount, which are receiving partial council tax reduction - but do not receive any water charges reduction support (35% total limit) </t>
  </si>
  <si>
    <t>P3.14</t>
  </si>
  <si>
    <t xml:space="preserve">Full CTR </t>
  </si>
  <si>
    <t xml:space="preserve">Number of dwellings on a 50% discount, which are receiving full council tax reduction - but do not receive any WCRS support (35% total limit) </t>
  </si>
  <si>
    <t>P3.15</t>
  </si>
  <si>
    <t>Occupied exempt</t>
  </si>
  <si>
    <t xml:space="preserve">Occupied exempt </t>
  </si>
  <si>
    <t>Number of occupied dwellings exempt from charges. This includes properties entirely occupied by individuals that are exempt from Council Tax, such as full time students.</t>
  </si>
  <si>
    <t>P3.16</t>
  </si>
  <si>
    <t xml:space="preserve">Vacant exempt </t>
  </si>
  <si>
    <t>Vacant exempt</t>
  </si>
  <si>
    <t>Number of vacant dwellings exempt from charges - most significant group is short term empty where the dwelling is exempt for 6 months if the dwelling is unoccupied and unfurnished</t>
  </si>
  <si>
    <t>P3.17</t>
  </si>
  <si>
    <t>Total properties with unmeasured water</t>
  </si>
  <si>
    <t>Total number of properties with unmeasured water connection</t>
  </si>
  <si>
    <t>P3.18</t>
  </si>
  <si>
    <t>Share of base</t>
  </si>
  <si>
    <t>The share of the total number of properties in each council tax band in relation to the total number of properties in all bands</t>
  </si>
  <si>
    <t>Tariff multipliers: Band D equivalent multipliers</t>
  </si>
  <si>
    <t>P3.19</t>
  </si>
  <si>
    <t>Band coefficients</t>
  </si>
  <si>
    <t>Nr.</t>
  </si>
  <si>
    <t>P3.20</t>
  </si>
  <si>
    <t>Band D equivalent multipliers</t>
  </si>
  <si>
    <t>Tariff multipliers: Number of Band D equivalent dwellings - before the application of discounts, exemptions and WCRS - with an unmetered water connection</t>
  </si>
  <si>
    <t>P3.21</t>
  </si>
  <si>
    <t>Homes with no CTR/no WCRS</t>
  </si>
  <si>
    <t xml:space="preserve">Number of Band D equivalent dwellings (before application of discounts, reductions and WCRS), with a water connection not receiving council tax reduction/water charges reduction scheme. </t>
  </si>
  <si>
    <t>P3.22</t>
  </si>
  <si>
    <t xml:space="preserve">Second homes </t>
  </si>
  <si>
    <t xml:space="preserve">Number of Band D equivalent dwellings (before application of discounts, reductions and WCRS), with a water connection classed as second homes - these do not qualify for CTR/WCRS and full water and wastewater charges apply.  </t>
  </si>
  <si>
    <t>P3.23</t>
  </si>
  <si>
    <t xml:space="preserve">Number of Band D equivalent dwellings (before application of discounts, reductions and WCRS), with a water connection classed as long term vacant - these do not qualify for CTR/WCRS and full water and wastewater charges apply.  </t>
  </si>
  <si>
    <t>P3.24</t>
  </si>
  <si>
    <t>Partial CTR/partial WCRS</t>
  </si>
  <si>
    <t>Number of Band D equivalent dwellings (before application of discounts, reductions and WCRS), with a water connection receiving partial council tax reduction/partial water charges reduction scheme</t>
  </si>
  <si>
    <t>P3.25</t>
  </si>
  <si>
    <t xml:space="preserve">Full CTR/full WCRS </t>
  </si>
  <si>
    <t>Number of Band D equivalent dwellings (before application of discounts, reductions and WCRS), with a water connection receiving full council tax reduction/full water charges reduction scheme</t>
  </si>
  <si>
    <t>P3.26</t>
  </si>
  <si>
    <t>Number of Band D equivalent dwellings (before application of discounts, reductions and WCRS), with a water connection on a single-person discount, which are not receiving council tax reduction/water charges reduction scheme</t>
  </si>
  <si>
    <t>P3.27</t>
  </si>
  <si>
    <t>Partial CTR (&gt;71.4%)/partial WCRS</t>
  </si>
  <si>
    <t>Number of Band D equivalent dwellings (before application of discounts, reductions and WCRS), with a water connection on a single-person discount, which are receiving partial council tax reduction of more than 71.4%/partial water charges reduction scheme</t>
  </si>
  <si>
    <t>P3.28</t>
  </si>
  <si>
    <t>Partial CTR (&lt;71.4%)/no WCRS</t>
  </si>
  <si>
    <t>Number of Band D equivalent dwellings (before application of discounts, reductions and WCRS), with a water connection on a single-person discount, which are receiving partial council tax reduction of less than 71.4%/no water charges reduction scheme</t>
  </si>
  <si>
    <t>P3.29</t>
  </si>
  <si>
    <t>Number of Band D equivalent dwellings (before application of discounts, reductions and WCRS), with a water connection on a single-person discount, which are receiving full council tax reduction/full water charges reduction scheme</t>
  </si>
  <si>
    <t>P3.30</t>
  </si>
  <si>
    <t>Number of Band D equivalent dwellings (before application of discounts, reductions and WCRS), with a water connection on a 50% discount, which are not receiving council tax reduction/water charges reduction scheme</t>
  </si>
  <si>
    <t>P3.31</t>
  </si>
  <si>
    <t xml:space="preserve">Number of Band D equivalent dwellings (before application of discounts, reductions and WCRS), with a water connection on a 50% discount, which are receiving partial council tax reduction - but do not receive any water charges reduction support (35% total limit) </t>
  </si>
  <si>
    <t>P3.32</t>
  </si>
  <si>
    <t xml:space="preserve">Number of Band D equivalent dwellings (before application of discounts, reductions and WCRS), with a water connection on a 50% discount, which are receiving full council tax reduction - but do not receive any WCRS support (35% total limit) </t>
  </si>
  <si>
    <t>P3.33</t>
  </si>
  <si>
    <t>Number of Band D equivalent dwellings (before application of discounts, reductions and WCRS), with a water connection exempt from charges. This includes properties entirely occupied by individuals that are exempt from Council Tax, such as full time students.</t>
  </si>
  <si>
    <t>P3.34</t>
  </si>
  <si>
    <t>Number of Band D equivalent dwellings (before application of discounts, reductions and WCRS), with a water connection exempt from charges - most significant group is short term empty where the dwelling is exempt for 6 months if the dwelling is unoccupied and unfurnished</t>
  </si>
  <si>
    <t>P3.35</t>
  </si>
  <si>
    <t xml:space="preserve">Number of Band D equivalent dwellings (before application of discounts, reductions and WCRS), with a water connection </t>
  </si>
  <si>
    <t>P3.36</t>
  </si>
  <si>
    <t>The share of total Band D equivalent dwellings in each council tax band in relation to the Band D equivalent dwellings in all bands</t>
  </si>
  <si>
    <t xml:space="preserve">Tariff multipliers: Inputs for discounts and Council Tax Reduction / Water Charges Reduction Scheme </t>
  </si>
  <si>
    <t>CTR</t>
  </si>
  <si>
    <t xml:space="preserve">WCRS </t>
  </si>
  <si>
    <t>P3.37</t>
  </si>
  <si>
    <t>Maximum allowed WCRS discount</t>
  </si>
  <si>
    <t>Maximum allowed water charges reduction scheme discount</t>
  </si>
  <si>
    <t>P3.38</t>
  </si>
  <si>
    <t xml:space="preserve">The level of council tax reduction for occupied dwellings not receiving council tax reduction/water charges reduction scheme. </t>
  </si>
  <si>
    <t>P3.39</t>
  </si>
  <si>
    <t xml:space="preserve">The level of council tax reduction for dwellings classed as second homes - these do not qualify for CTR/WCRS and full water and wastewater charges apply.  </t>
  </si>
  <si>
    <t>P3.40</t>
  </si>
  <si>
    <t xml:space="preserve">The level of council tax reduction for dwellings classed as long term vacant - these do not qualify for CTR/WCRS and full water and wastewater charges apply.  </t>
  </si>
  <si>
    <t>P3.41</t>
  </si>
  <si>
    <t>The level of council tax reduction for dwellings receiving partial council tax reduction/partial water charges reduction scheme</t>
  </si>
  <si>
    <t>P3.42</t>
  </si>
  <si>
    <t>The level of council tax reduction for dwellings receiving full council tax reduction/full water charges reduction scheme</t>
  </si>
  <si>
    <t>P3.43</t>
  </si>
  <si>
    <t>The level of council tax reduction for dwellings on a single-person discount, that also receive partial council tax reduction/water charges reduction scheme</t>
  </si>
  <si>
    <t>P3.44</t>
  </si>
  <si>
    <t>The level of council tax reduction for dwellings on a single-person discount, which are receiving partial council tax reduction of more than 71.4%/partial water charges reduction scheme</t>
  </si>
  <si>
    <t>P3.45</t>
  </si>
  <si>
    <t>The level of council tax reduction for dwellings on a single-person discount, which are receiving partial council tax reduction of less than 71.4%/no water charges reduction scheme</t>
  </si>
  <si>
    <t>P3.46</t>
  </si>
  <si>
    <t>The level of council tax reduction for dwellings on a single-person discount, which are receiving full council tax reduction/full water charges reduction scheme</t>
  </si>
  <si>
    <t>P3.47</t>
  </si>
  <si>
    <t>The level of council tax reduction for dwellings on a 50% discount, which are not receiving council tax reduction/water charges reduction scheme</t>
  </si>
  <si>
    <t>P3.48</t>
  </si>
  <si>
    <t xml:space="preserve">The level of council tax reduction for dwellings on a 50% discount, which are receiving partial council tax reduction - but do not receive any water charges reduction support (35% total limit) </t>
  </si>
  <si>
    <t>P3.49</t>
  </si>
  <si>
    <t xml:space="preserve">The level of council tax reduction for dwellings on a 50% discount, which are receiving full council tax reduction - but do not receive any WCRS support (35% total limit) </t>
  </si>
  <si>
    <t>P3.50</t>
  </si>
  <si>
    <t>The level of council tax reduction for occupied dwellings exempt from charges. This includes properties entirely occupied by individuals that are exempt from Council Tax, such as full time students.</t>
  </si>
  <si>
    <t>P3.51</t>
  </si>
  <si>
    <t>The level of council tax reduction for vacant dwellings exempt from charges - most significant group is short term empty where the dwelling is exempt for 6 months if the dwelling is unoccupied and unfurnished</t>
  </si>
  <si>
    <t xml:space="preserve">Tariff multipliers: Number of Band D equivalent dwellings (net of discounts, exemptions and WCRS) with an unmetered water connection </t>
  </si>
  <si>
    <t>P3.52</t>
  </si>
  <si>
    <t xml:space="preserve">Number of Band D equivalent dwellings (net of discounts, reductions and WCRS), with a water connection not receiving council tax reduction/water charges reduction scheme. </t>
  </si>
  <si>
    <t>P3.53</t>
  </si>
  <si>
    <t xml:space="preserve">Number of Band D equivalent dwellings (net of discounts, reductions and WCRS), with a water connection classed as second homes - these do not qualify for CTR/WCRS and full water and wastewater charges apply.  </t>
  </si>
  <si>
    <t>P3.54</t>
  </si>
  <si>
    <t xml:space="preserve">Number of Band D equivalent dwellings (net of discounts, reductions and WCRS), with a water connection classed as long term vacant - these do not qualify for CTR/WCRS and full water and wastewater charges apply.  </t>
  </si>
  <si>
    <t>P3.55</t>
  </si>
  <si>
    <t>Number of Band D equivalent dwellings (net of discounts, reductions and WCRS), with a water connection receiving partial council tax reduction/partial water charges reduction scheme</t>
  </si>
  <si>
    <t>P3.56</t>
  </si>
  <si>
    <t>Number of Band D equivalent dwellings (net of discounts, reductions and WCRS), with a water connection receiving full council tax reduction/full water charges reduction scheme</t>
  </si>
  <si>
    <t>P3.57</t>
  </si>
  <si>
    <t>Number of Band D equivalent dwellings (net of discounts, reductions and WCRS), with a water connection on a single-person discount, which are not receiving council tax reduction/water charges reduction scheme</t>
  </si>
  <si>
    <t>P3.58</t>
  </si>
  <si>
    <t>Number of Band D equivalent dwellings (net of discounts, reductions and WCRS), with a water connection on a single-person discount, which are receiving partial council tax reduction of more than 71.4%/partial water charges reduction scheme</t>
  </si>
  <si>
    <t>P3.59</t>
  </si>
  <si>
    <t>Number of Band D equivalent dwellings (net of discounts, reductions and WCRS), with a water connection a single-person discount, which are receiving partial council tax reduction of less than 71.4%/no water charges reduction scheme</t>
  </si>
  <si>
    <t>P3.60</t>
  </si>
  <si>
    <t>Number of Band D equivalent dwellings (net of discounts, reductions and WCRS), with a water connection on a single-person discount, which are receiving full council tax reduction/full water charges reduction scheme</t>
  </si>
  <si>
    <t>P3.61</t>
  </si>
  <si>
    <t>Number of Band D equivalent dwellings (net of discounts, reductions and WCRS), with a water connection on a 50% discount, which are not receiving council tax reduction/water charges reduction scheme</t>
  </si>
  <si>
    <t>P3.62</t>
  </si>
  <si>
    <t xml:space="preserve">Number of Band D equivalent dwellings (net of discounts, reductions and WCRS), with a water connection on a 50% discount, which are receiving partial council tax reduction - but do not receive any water charges reduction support (35% total limit) </t>
  </si>
  <si>
    <t>P3.63</t>
  </si>
  <si>
    <t xml:space="preserve">Number of Band D equivalent dwellings (net of discounts, reductions and WCRS), with a water connection on a 50% discount, which are receiving full council tax reduction - but do not receive any WCRS support (35% total limit) </t>
  </si>
  <si>
    <t>P3.64</t>
  </si>
  <si>
    <t>Number of Band D equivalent dwellings (net of discounts, reductions and WCRS), with a water connection exempt from charges. This includes properties entirely occupied by individuals that are exempt from Council Tax, such as full time students.</t>
  </si>
  <si>
    <t>P3.65</t>
  </si>
  <si>
    <t>Number of Band D equivalent dwellings (net of discounts, reductions and WCRS), with a water connection exempt from charges - most significant group is short term empty where the dwelling is exempt for 6 months if the dwelling is unoccupied and unfurnished</t>
  </si>
  <si>
    <t>P3.66</t>
  </si>
  <si>
    <t>Number of Band D equivalent dwellings (net of discounts, reductions and WCRS), with a water connection</t>
  </si>
  <si>
    <t>P3.67</t>
  </si>
  <si>
    <t>The share of total net Band D equivalent dwellings in each council tax band in relation to the net Band D equivalent dwellings in all bands</t>
  </si>
  <si>
    <t>P3.68</t>
  </si>
  <si>
    <t>Annual charge</t>
  </si>
  <si>
    <t>£</t>
  </si>
  <si>
    <t>I / C</t>
  </si>
  <si>
    <t>Charge for properties in Band D for report year.</t>
  </si>
  <si>
    <t>Annualised revenue from dwellings (at 30 September in the report year) with an unmetered water connection</t>
  </si>
  <si>
    <t>P3.69</t>
  </si>
  <si>
    <t xml:space="preserve">Full charge </t>
  </si>
  <si>
    <t>£/%</t>
  </si>
  <si>
    <t xml:space="preserve">Annualised revenue (based on reported data at 30 September of the report year) for dwellings not receiving council tax reduction / water charges reduction scheme. </t>
  </si>
  <si>
    <t>P3.70</t>
  </si>
  <si>
    <t xml:space="preserve">Annualised revenue (based on reported data at 30 September of the report year) for dwellings classed as second homes - these do not qualify for CTR/WCRS and full water and wastewater charges apply.  </t>
  </si>
  <si>
    <t>P3.71</t>
  </si>
  <si>
    <t xml:space="preserve">Annualised revenue (based on reported data at 30 September of the report year) for dwellings classed as long term vacant - these do not qualify for CTR/WCRS and full water and wastewater charges apply.  </t>
  </si>
  <si>
    <t>P3.72</t>
  </si>
  <si>
    <t>Annualised revenue (based on reported data at 30 September of the report year) for dwellings receiving partial council tax reduction/partial water charges reduction scheme</t>
  </si>
  <si>
    <t>P3.73</t>
  </si>
  <si>
    <t>Annualised revenue (based on reported data at 30 September of the report year) for dwellings receiving full council tax reduction/full water charges reduction scheme</t>
  </si>
  <si>
    <t>P3.74</t>
  </si>
  <si>
    <t>Annualised revenue (based on reported data at 30 September of the report year) for dwellings on a single-person discount, which are not receiving council tax reduction/water charges reduction scheme</t>
  </si>
  <si>
    <t>P3.75</t>
  </si>
  <si>
    <t>Annualised revenue (based on reported data at 30 September of the report year) for dwellings on a single-person discount, which are receiving partial council tax reduction of more than 71.4%/partial water charges reduction scheme</t>
  </si>
  <si>
    <t>P3.76</t>
  </si>
  <si>
    <t>Annualised revenue (based on reported data at 30 September of the report year) for dwellings on a single-person discount, which are receiving partial council tax reduction of less than 71.4%/no water charges reduction scheme</t>
  </si>
  <si>
    <t>P3.77</t>
  </si>
  <si>
    <t>Annualised revenue (based on reported data at 30 September of the report year) for dwellings on a single-person discount, which are receiving full council tax reduction/full water charges reduction scheme</t>
  </si>
  <si>
    <t>P3.78</t>
  </si>
  <si>
    <t>Annualised revenue (based on reported data at 30 September of the report year) for dwellings on a 50% discount, which are not receiving council tax reduction/water charges reduction scheme</t>
  </si>
  <si>
    <t>P3.79</t>
  </si>
  <si>
    <t xml:space="preserve">Annualised revenue (based on reported data at 30 September of the report year) for dwellings on a 50% discount, which are receiving partial council tax reduction - but do not receive any water charges reduction support (35% total limit) </t>
  </si>
  <si>
    <t>P3.80</t>
  </si>
  <si>
    <t xml:space="preserve">Annualised revenue (based on reported data at 30 September of the report year) for dwellings on a 50% discount, which are receiving full council tax reduction - but do not receive any WCRS support (35% total limit) </t>
  </si>
  <si>
    <t>P3.81</t>
  </si>
  <si>
    <t>Annualised revenue (based on reported data at 30 September of the report year) for dwellings exempt from charges. This includes properties entirely occupied by individuals that are exempt from Council Tax, such as full time students.</t>
  </si>
  <si>
    <t>P3.82</t>
  </si>
  <si>
    <t>Annualised revenue (based on reported data at 30 September of the report year) for dwellings exempt from charges - most significant group is short term empty where the dwelling is exempt for 6 months if the dwelling is unoccupied and unfurnished</t>
  </si>
  <si>
    <t>P3.83</t>
  </si>
  <si>
    <t>Total revenue from properties with unmeasured water</t>
  </si>
  <si>
    <t>Annualised revenue (based on reported data at 30 September of the report year) for dwellings with a water connection</t>
  </si>
  <si>
    <t>P3.84</t>
  </si>
  <si>
    <t>The share of the revenue (net of discounts, exemptions and WCRS) from dwellings in each council tax band with a water connection in relation to the revenue from all dwellings with a water connection in all bands</t>
  </si>
  <si>
    <t>P3.85</t>
  </si>
  <si>
    <t>Value of discounts, exemptions and WCRS</t>
  </si>
  <si>
    <t>The total value of discounts, exemptions &amp; water charges reduction scheme</t>
  </si>
  <si>
    <t>Table P4: Water retail charges from measured households</t>
  </si>
  <si>
    <t>Line</t>
  </si>
  <si>
    <t>Field</t>
  </si>
  <si>
    <t>ref.</t>
  </si>
  <si>
    <t>type</t>
  </si>
  <si>
    <t>Report year</t>
  </si>
  <si>
    <t>Report year + 1</t>
  </si>
  <si>
    <t>2022-23</t>
  </si>
  <si>
    <t>CG</t>
  </si>
  <si>
    <t>2023-24</t>
  </si>
  <si>
    <t>Tariff multipliers: household properties - billed on measured basis: tariff meters</t>
  </si>
  <si>
    <t>P4.1</t>
  </si>
  <si>
    <t>Nr</t>
  </si>
  <si>
    <t>Number of household 20mm meters billed as of September of the reporting year.</t>
  </si>
  <si>
    <t>P4.2</t>
  </si>
  <si>
    <t>Number of household 25mm meters billed as of September of the reporting year.</t>
  </si>
  <si>
    <t>P4.3</t>
  </si>
  <si>
    <t>Number of household 40mm meters billed as of September of the reporting year.</t>
  </si>
  <si>
    <t>P4.4</t>
  </si>
  <si>
    <t>Number of household 50mm meters billed as of September of the reporting year.</t>
  </si>
  <si>
    <t>P4.5</t>
  </si>
  <si>
    <t>Total number of billed properties</t>
  </si>
  <si>
    <t>Total number of household properties billed on a measured basis as of September of the reporting year.</t>
  </si>
  <si>
    <t>Tariff multipliers: volumes - measured household properties</t>
  </si>
  <si>
    <t>P4.6</t>
  </si>
  <si>
    <r>
      <t>First 25m</t>
    </r>
    <r>
      <rPr>
        <vertAlign val="superscript"/>
        <sz val="12"/>
        <rFont val="Arial"/>
        <family val="2"/>
      </rPr>
      <t xml:space="preserve">3 </t>
    </r>
    <r>
      <rPr>
        <sz val="12"/>
        <rFont val="Arial"/>
        <family val="2"/>
      </rPr>
      <t>pa, meters &lt;= 20mm</t>
    </r>
  </si>
  <si>
    <t>m3</t>
  </si>
  <si>
    <t>Total volume supplied at the base tariff for the first 25m³ pa for meters &lt;=20mm.</t>
  </si>
  <si>
    <t>P4.7</t>
  </si>
  <si>
    <r>
      <t>Volume over 25m</t>
    </r>
    <r>
      <rPr>
        <vertAlign val="superscript"/>
        <sz val="12"/>
        <rFont val="Arial"/>
        <family val="2"/>
      </rPr>
      <t>3</t>
    </r>
    <r>
      <rPr>
        <sz val="12"/>
        <rFont val="Arial"/>
        <family val="2"/>
      </rPr>
      <t xml:space="preserve"> pa, meters &lt;= 20mm</t>
    </r>
  </si>
  <si>
    <t>Total volume supplied at the tariff for volumes above the first 25m³ pa for meters &lt;=20mm.</t>
  </si>
  <si>
    <t>P4.8</t>
  </si>
  <si>
    <t>Meters of diameter &gt; 20mm</t>
  </si>
  <si>
    <t>Total volume supplied to measured household properties with meters above 20mm.</t>
  </si>
  <si>
    <t>P4.9</t>
  </si>
  <si>
    <t>Total volume supplied to household customers on measured basis.</t>
  </si>
  <si>
    <t>Tariffs: fixed charge measured household properties</t>
  </si>
  <si>
    <t>P4.10</t>
  </si>
  <si>
    <t>A1</t>
  </si>
  <si>
    <t>Tariff for fixed charge for household properties billed on a measured basis being charged for a meter size 20mm as of September of the reporting year.</t>
  </si>
  <si>
    <t>P4.11</t>
  </si>
  <si>
    <t>Tariff for fixed charge for household properties billed on a measured basis being charged for a meter size 25mm as of September of the reporting year.</t>
  </si>
  <si>
    <t>P4.12</t>
  </si>
  <si>
    <t>Tariff for household properties billed on a measured basis being charged for a meter size 40mm as of September of the reporting year.</t>
  </si>
  <si>
    <t>P4.13</t>
  </si>
  <si>
    <t>Tariff for household properties billed on a measured basis being charged for a meter size 50mm as of September of the reporting year.</t>
  </si>
  <si>
    <t>Tariffs: volumetric charge measured household properties</t>
  </si>
  <si>
    <t>P4.14</t>
  </si>
  <si>
    <r>
      <t>First 25m</t>
    </r>
    <r>
      <rPr>
        <vertAlign val="superscript"/>
        <sz val="12"/>
        <rFont val="Arial"/>
        <family val="2"/>
      </rPr>
      <t>3</t>
    </r>
    <r>
      <rPr>
        <sz val="12"/>
        <rFont val="Arial"/>
        <family val="2"/>
      </rPr>
      <t xml:space="preserve"> pa, 20mm meters </t>
    </r>
  </si>
  <si>
    <t>£/m3</t>
  </si>
  <si>
    <t>The base tariff for the first 25m³ pa for 20mm meters.</t>
  </si>
  <si>
    <t>P4.15</t>
  </si>
  <si>
    <r>
      <t>Volumes over 25m</t>
    </r>
    <r>
      <rPr>
        <vertAlign val="superscript"/>
        <sz val="12"/>
        <rFont val="Arial"/>
        <family val="2"/>
      </rPr>
      <t>3</t>
    </r>
    <r>
      <rPr>
        <sz val="12"/>
        <rFont val="Arial"/>
        <family val="2"/>
      </rPr>
      <t xml:space="preserve"> pa, 20mm meters</t>
    </r>
  </si>
  <si>
    <t>The tariff for volumes above the first 25m³ pa for 20mm meters.</t>
  </si>
  <si>
    <t>P4.16</t>
  </si>
  <si>
    <t>Tariff for meters above 20mm for report year.</t>
  </si>
  <si>
    <t>Revenue - measured household properties</t>
  </si>
  <si>
    <t>P4.17</t>
  </si>
  <si>
    <t>Fixed charges</t>
  </si>
  <si>
    <t>Revenue from fixed charges for household properties charged on a measured basis.</t>
  </si>
  <si>
    <t>P4.18</t>
  </si>
  <si>
    <r>
      <t>20mm meters, annual volume &lt;= 25m</t>
    </r>
    <r>
      <rPr>
        <vertAlign val="superscript"/>
        <sz val="12"/>
        <rFont val="Arial"/>
        <family val="2"/>
      </rPr>
      <t>3</t>
    </r>
  </si>
  <si>
    <t>Revenue from volumetric charges for household properties for volumes up to 25m³ per annum for meters up to and including 20mm.</t>
  </si>
  <si>
    <t>P4.19</t>
  </si>
  <si>
    <r>
      <t>20mm meters, annual volume &gt; 25m</t>
    </r>
    <r>
      <rPr>
        <vertAlign val="superscript"/>
        <sz val="12"/>
        <rFont val="Arial"/>
        <family val="2"/>
      </rPr>
      <t>3</t>
    </r>
  </si>
  <si>
    <t>Revenue from volumetric charges for household properties for volumes above the first 25m³ pa for meters up to and including 20mm.</t>
  </si>
  <si>
    <t>P4.20</t>
  </si>
  <si>
    <t>Revenue from volumetric charges to household properties with meters larger than 20mm.</t>
  </si>
  <si>
    <t>P4.21</t>
  </si>
  <si>
    <t>Total revenue from household properties supplied on a measured basis.</t>
  </si>
  <si>
    <t>Table P5: Wastewater retail charges from unmeasured households</t>
  </si>
  <si>
    <t>Tariff multipliers: number of dwellings with an unmetered wastewater connection</t>
  </si>
  <si>
    <t>P5.1</t>
  </si>
  <si>
    <t>P5.2</t>
  </si>
  <si>
    <t>P5.3</t>
  </si>
  <si>
    <t>P5.4</t>
  </si>
  <si>
    <t>P5.5</t>
  </si>
  <si>
    <t>P5.6</t>
  </si>
  <si>
    <t>P5.7</t>
  </si>
  <si>
    <t>P5.8</t>
  </si>
  <si>
    <t>P5.9</t>
  </si>
  <si>
    <t>P5.10</t>
  </si>
  <si>
    <t>P5.11</t>
  </si>
  <si>
    <t>P5.12</t>
  </si>
  <si>
    <t>P5.13</t>
  </si>
  <si>
    <t>P5.14</t>
  </si>
  <si>
    <t>P5.15</t>
  </si>
  <si>
    <t>P5.16</t>
  </si>
  <si>
    <t>P5.17</t>
  </si>
  <si>
    <t>Total properties with unmeasured wastewater</t>
  </si>
  <si>
    <t>Total number of properties with unmeasured wastewater connection</t>
  </si>
  <si>
    <t>P5.18</t>
  </si>
  <si>
    <t>P5.19</t>
  </si>
  <si>
    <t>P5.20</t>
  </si>
  <si>
    <t>Tariff multipliers: Number of Band D equivalent dwellings - before the application of discounts, exemptions and WCRS - with an unmetered wastewater connection</t>
  </si>
  <si>
    <t>P5.21</t>
  </si>
  <si>
    <t xml:space="preserve">Number of Band D equivalent dwellings (before application of discounts, reductions and WCRS), with a wastewater connection not receiving council tax reduction / water charges reduction scheme. </t>
  </si>
  <si>
    <t>P5.22</t>
  </si>
  <si>
    <t xml:space="preserve">Number of Band D equivalent dwellings (before application of discounts, reductions and WCRS), with a wastewater connection classed as second homes - these do not qualify for CTR/WCRS and full water and wastewater charges apply.  </t>
  </si>
  <si>
    <t>P5.23</t>
  </si>
  <si>
    <t xml:space="preserve">Number of Band D equivalent dwellings (before application of discounts, reductions and WCRS), with a wastewater connection classed as long term vacant - these do not qualify for CTR/WCRS and full water and wastewater charges apply.  </t>
  </si>
  <si>
    <t>P5.24</t>
  </si>
  <si>
    <t>Number of Band D equivalent dwellings (before application of discounts, reductions and WCRS), with a wastewater connection receiving partial council tax reduction/partial water charges reduction scheme</t>
  </si>
  <si>
    <t>P5.25</t>
  </si>
  <si>
    <t>Number of Band D equivalent dwellings (before application of discounts, reductions and WCRS), with a wastewater connection receiving full council tax reduction/full water charges reduction scheme</t>
  </si>
  <si>
    <t>P5.26</t>
  </si>
  <si>
    <t>Number of Band D equivalent dwellings (before application of discounts, reductions and WCRS), with a wastewater connection on a single-person discount, which are not receiving council tax reduction/water charges reduction scheme</t>
  </si>
  <si>
    <t>P5.27</t>
  </si>
  <si>
    <t>Number of Band D equivalent dwellings (before application of discounts, reductions and WCRS), with a wastewater connection on a single-person discount, which are receiving partial council tax reduction of more than 71.4%/partial water charges reduction scheme</t>
  </si>
  <si>
    <t>P5.28</t>
  </si>
  <si>
    <t>Number of Band D equivalent dwellings (before application of discounts, reductions and WCRS), with a wastewater connection on a single-person discount, which are receiving partial council tax reduction of less than 71.4%/no water charges reduction scheme</t>
  </si>
  <si>
    <t>P5.29</t>
  </si>
  <si>
    <t>Number of Band D equivalent dwellings (before application of discounts, reductions and WCRS), with a wastewater connection on a single-person discount, which are receiving full council tax reduction/full water charges reduction scheme</t>
  </si>
  <si>
    <t>P5.30</t>
  </si>
  <si>
    <t>Number of Band D equivalent dwellings (before application of discounts, reductions and WCRS), with a wastewater connection on a 50% discount, which are not receiving council tax reduction/water charges reduction scheme</t>
  </si>
  <si>
    <t>P5.31</t>
  </si>
  <si>
    <t xml:space="preserve">Number of Band D equivalent dwellings (before application of discounts, reductions and WCRS), with a wastewater connection on a 50% discount, which are receiving partial council tax reduction - but do not receive any water charges reduction support (35% total limit) </t>
  </si>
  <si>
    <t>P5.32</t>
  </si>
  <si>
    <t xml:space="preserve">Number of Band D equivalent dwellings (before application of discounts, reductions and WCRS), with a wastewater connection on a 50% discount, which are receiving full council tax reduction - but do not receive any WCRS support (35% total limit) </t>
  </si>
  <si>
    <t>P5.33</t>
  </si>
  <si>
    <t>Number of Band D equivalent dwellings (before application of discounts, reductions and WCRS), with a wastewater connection exempt from charges. This includes properties entirely occupied by individuals that are exempt from Council Tax, such as full time students.</t>
  </si>
  <si>
    <t>P5.34</t>
  </si>
  <si>
    <t>Number of Band D equivalent dwellings (before application of discounts, reductions and WCRS), with a wastewater connection exempt from charges - most significant group is short term empty where the dwelling is exempt for 6 months if the dwelling is unoccupied and unfurnished</t>
  </si>
  <si>
    <t>P5.35</t>
  </si>
  <si>
    <t xml:space="preserve">Number of Band D equivalent dwellings (before application of discounts, reductions and WCRS), with a wastewater connection </t>
  </si>
  <si>
    <t>P5.36</t>
  </si>
  <si>
    <t>P5.37</t>
  </si>
  <si>
    <t>P5.38</t>
  </si>
  <si>
    <t>P5.39</t>
  </si>
  <si>
    <t>P5.40</t>
  </si>
  <si>
    <t>P5.41</t>
  </si>
  <si>
    <t>P5.42</t>
  </si>
  <si>
    <t>P5.43</t>
  </si>
  <si>
    <t>P5.44</t>
  </si>
  <si>
    <t>P5.45</t>
  </si>
  <si>
    <t>P5.46</t>
  </si>
  <si>
    <t xml:space="preserve">Full CTR /maximum WCRS </t>
  </si>
  <si>
    <t>P5.47</t>
  </si>
  <si>
    <t>No CTR /no WCRS</t>
  </si>
  <si>
    <t>P5.48</t>
  </si>
  <si>
    <t>P5.49</t>
  </si>
  <si>
    <t>P5.50</t>
  </si>
  <si>
    <t>P5.51</t>
  </si>
  <si>
    <t xml:space="preserve">Tariff multipliers: Number of Band D equivalent dwellings (net of discounts, exemptions and WCRS) with an unmetered wastewater connection </t>
  </si>
  <si>
    <t>P5.52</t>
  </si>
  <si>
    <t>Homes with no CTR /no WCRS</t>
  </si>
  <si>
    <t xml:space="preserve">Number of Band D equivalent dwellings (net of discounts, reductions and WCRS), with a wastewater connection not receiving council tax reduction/water charges reduction scheme. </t>
  </si>
  <si>
    <t>P5.53</t>
  </si>
  <si>
    <t xml:space="preserve">Number of Band D equivalent dwellings (net of discounts, reductions and WCRS), with a wastewater connection classed as second homes - these do not qualify for CTR/WCRS and full water and wastewater charges apply.  </t>
  </si>
  <si>
    <t>P5.54</t>
  </si>
  <si>
    <t xml:space="preserve">Number of Band D equivalent dwellings (net of discounts, reductions and WCRS), with a wastewater connection classed as long term vacant - these do not qualify for CTR/WCRS and full water and wastewater charges apply.  </t>
  </si>
  <si>
    <t>P5.55</t>
  </si>
  <si>
    <t>Number of Band D equivalent dwellings (net of discounts, reductions and WCRS), with a wastewater connection receiving partial council tax reduction/partial water charges reduction scheme</t>
  </si>
  <si>
    <t>P5.56</t>
  </si>
  <si>
    <t>Number of Band D equivalent dwellings (net of discounts, reductions and WCRS), with a wastewater connection receiving full council tax reduction/full water charges reduction scheme</t>
  </si>
  <si>
    <t>P5.57</t>
  </si>
  <si>
    <t>Number of Band D equivalent dwellings (net of discounts, reductions and WCRS), with a wastewater connection on a single-person discount, which are not receiving council tax reduction/water charges reduction scheme</t>
  </si>
  <si>
    <t>P5.58</t>
  </si>
  <si>
    <t>Number of Band D equivalent dwellings (net of discounts, reductions and WCRS), with a wastewater connection on a single-person discount, which are receiving partial council tax reduction of more than 71.4%/partial water charges reduction scheme</t>
  </si>
  <si>
    <t>P5.59</t>
  </si>
  <si>
    <t>Number of Band D equivalent dwellings (net of discounts, reductions and WCRS), with a wastewater connection a single-person discount, which are receiving partial council tax reduction of less than 71.4%/no water charges reduction scheme</t>
  </si>
  <si>
    <t>P5.60</t>
  </si>
  <si>
    <t>Number of Band D equivalent dwellings (net of discounts, reductions and WCRS), with a wastewater connection on a single-person discount, which are receiving full council tax reduction/full water charges reduction scheme</t>
  </si>
  <si>
    <t>P5.61</t>
  </si>
  <si>
    <t>Number of Band D equivalent dwellings (net of discounts, reductions and WCRS), with a wastewater connection on a 50% discount, which are not receiving council tax reduction/water charges reduction scheme</t>
  </si>
  <si>
    <t>P5.62</t>
  </si>
  <si>
    <t xml:space="preserve">Number of Band D equivalent dwellings (net of discounts, reductions and WCRS), with a wastewater connection on a 50% discount, which are receiving partial council tax reduction - but do not receive any water charges reduction support (35% total limit) </t>
  </si>
  <si>
    <t>P5.63</t>
  </si>
  <si>
    <t xml:space="preserve">Number of Band D equivalent dwellings (net of discounts, reductions and WCRS), with a wastewater connection on a 50% discount, which are receiving full council tax reduction - but do not receive any WCRS support (35% total limit) </t>
  </si>
  <si>
    <t>P5.64</t>
  </si>
  <si>
    <t>Number of Band D equivalent dwellings (net of discounts, reductions and WCRS), with a wastewater connection exempt from charges. This includes properties entirely occupied by individuals that are exempt from Council Tax, such as full time students.</t>
  </si>
  <si>
    <t>P5.65</t>
  </si>
  <si>
    <t>Number of Band D equivalent dwellings (net of discounts, reductions and WCRS), with a wastewater connection exempt from charges - most significant group is short term empty where the dwelling is exempt for 6 months if the dwelling is unoccupied and unfurnished</t>
  </si>
  <si>
    <t>P5.66</t>
  </si>
  <si>
    <t xml:space="preserve">Number of Band D equivalent dwellings (net of discounts, reductions and WCRS), with a wastewater connection </t>
  </si>
  <si>
    <t>P5.67</t>
  </si>
  <si>
    <t>P5.68</t>
  </si>
  <si>
    <t>Annualised revenue from dwellings (at 30 September in the report year) with an unmetered wastewater connection</t>
  </si>
  <si>
    <t>P5.69</t>
  </si>
  <si>
    <t xml:space="preserve">Annualised revenue (based on reported data at 30 September of the report year) for dwellings not receiving council tax reduction/water charges reduction scheme. </t>
  </si>
  <si>
    <t>P5.70</t>
  </si>
  <si>
    <t>P5.71</t>
  </si>
  <si>
    <t>P5.72</t>
  </si>
  <si>
    <t>P5.73</t>
  </si>
  <si>
    <t>P5.74</t>
  </si>
  <si>
    <t>P5.75</t>
  </si>
  <si>
    <t>P5.76</t>
  </si>
  <si>
    <t>Annualised revenue (based on reported data at 30 September of the report year) for dwellings a single-person discount, which are receiving partial council tax reduction of less than 71.4%/no water charges reduction scheme</t>
  </si>
  <si>
    <t>P5.77</t>
  </si>
  <si>
    <t>P5.78</t>
  </si>
  <si>
    <t>P5.79</t>
  </si>
  <si>
    <t>P5.80</t>
  </si>
  <si>
    <t>P5.81</t>
  </si>
  <si>
    <t>P5.82</t>
  </si>
  <si>
    <t>P5.83</t>
  </si>
  <si>
    <t>Total revenue from properties with unmeasured wastewater</t>
  </si>
  <si>
    <t>Annualised revenue (based on reported data at 30 September of the report year) for dwellings with a wastewater connection</t>
  </si>
  <si>
    <t>P5.84</t>
  </si>
  <si>
    <t>The share of the revenue (net of discounts, exemptions and WCRS) from dwellings in each council tax band with a wastewater connection in relation to the revenue from all dwellings with a wastewater connection in all bands</t>
  </si>
  <si>
    <t>P5.85</t>
  </si>
  <si>
    <t>Table P6: Wastewater retail charges from measured households</t>
  </si>
  <si>
    <t>Foul sewerage</t>
  </si>
  <si>
    <t>P6.1</t>
  </si>
  <si>
    <t>P6.2</t>
  </si>
  <si>
    <t>P6.3</t>
  </si>
  <si>
    <t>Number of household 40mm meters billed as of September of the reporting year</t>
  </si>
  <si>
    <t>P6.4</t>
  </si>
  <si>
    <t>P6.5</t>
  </si>
  <si>
    <t>P6.6</t>
  </si>
  <si>
    <t>First 23.75m³ pa, meters &lt;= 20mm</t>
  </si>
  <si>
    <t>Total volume discharged at the base tariff for the first 23.75m³ pa for meters &lt;=20mm.</t>
  </si>
  <si>
    <t>P6.7</t>
  </si>
  <si>
    <t>Volume over 23.75m³ pa, meters &lt;= 20mm</t>
  </si>
  <si>
    <t>Total volume discharged at the tariff for volumes above the first 23.75m³ pa for meters &lt;=20mm.</t>
  </si>
  <si>
    <t>P6.8</t>
  </si>
  <si>
    <t>Total volume discharged to measured household properties with meters above 20mm.</t>
  </si>
  <si>
    <t>P6.9</t>
  </si>
  <si>
    <t>Total volume discharged to household customers on measured basis.</t>
  </si>
  <si>
    <t>P6.10</t>
  </si>
  <si>
    <t>P6.11</t>
  </si>
  <si>
    <t>P6.12</t>
  </si>
  <si>
    <t>P6.13</t>
  </si>
  <si>
    <t>Tariffs: volumetric charges: measured household properties</t>
  </si>
  <si>
    <t>P6.14</t>
  </si>
  <si>
    <t>First 23.75m³ pa, 20mm meters</t>
  </si>
  <si>
    <t>The base tariff for the first 23.75m³ pa for 20mm meters.</t>
  </si>
  <si>
    <t>P6.15</t>
  </si>
  <si>
    <t>Volume over 23.75m³ pa, 20mm meters</t>
  </si>
  <si>
    <t>The tariff for volumes above the first 23.75m³ pa for 20mm meters.</t>
  </si>
  <si>
    <t>P6.16</t>
  </si>
  <si>
    <t>Revenue: measured household properties</t>
  </si>
  <si>
    <t>P6.17</t>
  </si>
  <si>
    <t>A2</t>
  </si>
  <si>
    <t>A3</t>
  </si>
  <si>
    <t>P6.18</t>
  </si>
  <si>
    <t>20mm meters, annual volume &lt;= 23.75m³</t>
  </si>
  <si>
    <t>Revenue from volumetric charges for household properties for volumes up to 23.75m³ per annum for meters up to and including 20mm.</t>
  </si>
  <si>
    <t>P6.19</t>
  </si>
  <si>
    <t>20mm meters, annual volume &gt; 23.75m³</t>
  </si>
  <si>
    <t>Revenue from volumetric charges for household properties for volumes above the first 23.75m³ pa for meters up to and including 20mm.</t>
  </si>
  <si>
    <t>P6.20</t>
  </si>
  <si>
    <t>P6.21</t>
  </si>
  <si>
    <t>Property drainage</t>
  </si>
  <si>
    <t>Tariff multipliers: property drainage for household properties billed measured</t>
  </si>
  <si>
    <t>P6.22</t>
  </si>
  <si>
    <t>Number of Band "A*" properties, paying full charge</t>
  </si>
  <si>
    <t>Number of billed unmeasured household properties in the band, as of September of the reporting year, not receiving discounts. This row excludes voids.</t>
  </si>
  <si>
    <t>P6.23</t>
  </si>
  <si>
    <t>Number of Band "A" properties, paying full charge</t>
  </si>
  <si>
    <t>P6.24</t>
  </si>
  <si>
    <t>Number of Band "B" properties, paying full charge</t>
  </si>
  <si>
    <t>P6.25</t>
  </si>
  <si>
    <t>Number of Band "C" properties, paying full charge</t>
  </si>
  <si>
    <t>P6.26</t>
  </si>
  <si>
    <t>Number of Band "D" properties, paying full charge</t>
  </si>
  <si>
    <t>P6.27</t>
  </si>
  <si>
    <t>Number of Band "E" properties, paying full charge</t>
  </si>
  <si>
    <t>P6.28</t>
  </si>
  <si>
    <t>Number of Band "F" properties, paying full charge</t>
  </si>
  <si>
    <t>P6.29</t>
  </si>
  <si>
    <t>Number of Band "G" properties, paying full charge</t>
  </si>
  <si>
    <t>P6.30</t>
  </si>
  <si>
    <t>Number of Band "H" properties, paying full charge</t>
  </si>
  <si>
    <t>P6.31</t>
  </si>
  <si>
    <t>Number of billed metered household properties as of September of the reporting year. This row excludes voids.</t>
  </si>
  <si>
    <t>P6.32</t>
  </si>
  <si>
    <t>Number of Band "D" equivalent properties</t>
  </si>
  <si>
    <t>The total number of properties in each band weighted by the ratio of the charge for the band relative to Band D and the applicable discounts.</t>
  </si>
  <si>
    <t>Tariffs: property drainage for household properties billed measured</t>
  </si>
  <si>
    <t>P6.33</t>
  </si>
  <si>
    <t>Band D charge</t>
  </si>
  <si>
    <t>Revenue: property drainage for household properties billed measured</t>
  </si>
  <si>
    <t>P6.34</t>
  </si>
  <si>
    <t>Total revenue received from unmeasured household property drainage.</t>
  </si>
  <si>
    <t>Roads drainage</t>
  </si>
  <si>
    <t>Tariff multipliers: roads drainage for household properties billed measured</t>
  </si>
  <si>
    <t>P6.35</t>
  </si>
  <si>
    <t>P6.36</t>
  </si>
  <si>
    <t>P6.37</t>
  </si>
  <si>
    <t>P6.38</t>
  </si>
  <si>
    <t>P6.39</t>
  </si>
  <si>
    <t>P6.40</t>
  </si>
  <si>
    <t>P6.41</t>
  </si>
  <si>
    <t>P6.42</t>
  </si>
  <si>
    <t>P6.43</t>
  </si>
  <si>
    <t>P6.44</t>
  </si>
  <si>
    <t>P6.45</t>
  </si>
  <si>
    <t>Tariffs: roads drainage for household properties billed measured</t>
  </si>
  <si>
    <t>P6.46</t>
  </si>
  <si>
    <t>Revenue: roads drainage for household properties billed measured</t>
  </si>
  <si>
    <t>P6.47</t>
  </si>
  <si>
    <t>Total revenue received from unmeasured household surface water drainage.</t>
  </si>
  <si>
    <t xml:space="preserve">Charge per £ of RV - roads drainage </t>
  </si>
  <si>
    <t>Charge per £ of RV - property drainage - no transitional phasing</t>
  </si>
  <si>
    <t>Charge per £ of RV - roads drainage - no transitional phasing</t>
  </si>
  <si>
    <t>&gt; 20mm meters: volume between 20m3 and (up to and including) 250,000m3</t>
  </si>
  <si>
    <t>&gt; 20mm meters: volume between 250,000m3 and (up to and including) 1,000,000m3</t>
  </si>
  <si>
    <t>&gt; 20mm meters (non-former LUVA): volume between 20m3 and (up to and including) 250,000m3</t>
  </si>
  <si>
    <t>&gt; 20mm meters (non-former LUVA): volume between 250,000m3 and (up to and including) 1,000,000m3</t>
  </si>
  <si>
    <t>&gt; 20mm meters (former LUVA): volume between 20m3 and (up to and including) 100,000m3</t>
  </si>
  <si>
    <t>&gt; 20mm meters (former LUVA): volume between 100,000m3 and (up to and including) 250,000m3</t>
  </si>
  <si>
    <t>&gt; 20mm meters (former LUVA): volume between 250,000m3 and (up to and including) 1,000,000m3</t>
  </si>
  <si>
    <t>RV for roads drainage tariff - no transitional phasing</t>
  </si>
  <si>
    <t>Charge per £ of RV - roads drainage (LRV)</t>
  </si>
  <si>
    <t>Total wholesale revenue (£m)</t>
  </si>
  <si>
    <t>Total volume at unmeasured supply points related to gap sites</t>
  </si>
  <si>
    <t>Total volume at unmeasured supply points related to vacant gap sites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</si>
</sst>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0.00_-;\-&quot;£&quot;* #,##0.00_-;_-&quot;£&quot;* &quot;-&quot;??_-;_-@_-"/>
    <numFmt numFmtId="43" formatCode="_-* #,##0.00_-;\-* #,##0.00_-;_-* &quot;-&quot;??_-;_-@_-"/>
    <numFmt numFmtId="164" formatCode="_-* #,##0_-;\-* #,##0_-;_-* &quot;-&quot;??_-;_-@_-"/>
    <numFmt numFmtId="165" formatCode="_-* #,##0.0000_-;\-* #,##0.0000_-;_-* &quot;-&quot;??_-;_-@_-"/>
    <numFmt numFmtId="166" formatCode="[$-409]d\-mmm\-yy;@"/>
    <numFmt numFmtId="167" formatCode="[$-409]mmm\-yy;@"/>
    <numFmt numFmtId="168" formatCode="&quot;$&quot;#,##0.00"/>
    <numFmt numFmtId="169" formatCode="_(* #,##0.00_);_(* \(#,##0.00\);_(* &quot;-&quot;??_);_(@_)"/>
    <numFmt numFmtId="170" formatCode="_(\$* #,##0_);_(\$* \(#,##0\);_(\$* &quot;-&quot;_);_(@_)"/>
    <numFmt numFmtId="171" formatCode=";[Red]&quot;Error&quot;;[Green]&quot;OK&quot;;"/>
    <numFmt numFmtId="172" formatCode="#,##0.00;\(#,##0.00\)"/>
    <numFmt numFmtId="173" formatCode="[Green]&quot;ON&quot;;;[Red]&quot;OFF&quot;;"/>
    <numFmt numFmtId="174" formatCode="#,##0_);[Red]\(#,##0\)"/>
    <numFmt numFmtId="175" formatCode="#,##0.0,,\ ;\(#,##0.0,,\)"/>
    <numFmt numFmtId="176" formatCode="_-* #,##0.0_-;\-* #,##0.0_-;_-* &quot;-&quot;??_-;_-@_-"/>
    <numFmt numFmtId="177" formatCode="#,##0.00_ ;\-#,##0.00\ "/>
    <numFmt numFmtId="178" formatCode="#,##0_ ;\-#,##0\ "/>
    <numFmt numFmtId="179" formatCode="#,##0.0000_ ;\-#,##0.0000\ "/>
    <numFmt numFmtId="180" formatCode="_-* #,##0.000000_-;\-* #,##0.000000_-;_-* &quot;-&quot;??_-;_-@_-"/>
  </numFmts>
  <fonts count="153">
    <font>
      <sz val="11"/>
      <color theme="1"/>
      <name val="Calibri"/>
      <family val="2"/>
      <scheme val="minor"/>
    </font>
    <font>
      <sz val="10"/>
      <color theme="1"/>
      <name val="Calibri"/>
      <family val="2"/>
      <scheme val="minor"/>
    </font>
    <font>
      <sz val="11"/>
      <color theme="1"/>
      <name val="Calibri"/>
      <family val="2"/>
      <scheme val="minor"/>
    </font>
    <font>
      <sz val="10"/>
      <name val="Arial"/>
      <family val="2"/>
    </font>
    <font>
      <b/>
      <sz val="10"/>
      <name val="Arial"/>
      <family val="2"/>
    </font>
    <font>
      <sz val="11"/>
      <color theme="1"/>
      <name val="Arial"/>
      <family val="2"/>
    </font>
    <font>
      <b/>
      <sz val="14"/>
      <name val="Arial"/>
      <family val="2"/>
    </font>
    <font>
      <b/>
      <sz val="11"/>
      <name val="Arial"/>
      <family val="2"/>
    </font>
    <font>
      <sz val="11"/>
      <name val="Arial"/>
      <family val="2"/>
    </font>
    <font>
      <b/>
      <sz val="12"/>
      <name val="Arial"/>
      <family val="2"/>
    </font>
    <font>
      <sz val="12"/>
      <color theme="1"/>
      <name val="Arial"/>
      <family val="2"/>
    </font>
    <font>
      <sz val="12"/>
      <name val="Arial"/>
      <family val="2"/>
    </font>
    <font>
      <sz val="11"/>
      <color rgb="FFFF0000"/>
      <name val="Calibri"/>
      <family val="2"/>
      <scheme val="minor"/>
    </font>
    <font>
      <b/>
      <sz val="12"/>
      <color rgb="FFFF0000"/>
      <name val="Arial"/>
      <family val="2"/>
    </font>
    <font>
      <b/>
      <sz val="48"/>
      <color rgb="FFFF0000"/>
      <name val="Arial"/>
      <family val="2"/>
    </font>
    <font>
      <sz val="10"/>
      <name val="CG Omega"/>
      <family val="2"/>
    </font>
    <font>
      <b/>
      <sz val="16"/>
      <name val="CG Omega"/>
      <family val="2"/>
    </font>
    <font>
      <sz val="16"/>
      <name val="CG Omega"/>
      <family val="2"/>
    </font>
    <font>
      <sz val="12"/>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0"/>
      <color theme="1"/>
      <name val="Arial"/>
      <family val="2"/>
    </font>
    <font>
      <b/>
      <sz val="10"/>
      <color theme="1"/>
      <name val="Arial"/>
      <family val="2"/>
    </font>
    <font>
      <sz val="10"/>
      <name val="Helv"/>
      <charset val="204"/>
    </font>
    <font>
      <sz val="10"/>
      <name val="Times New Roman"/>
      <family val="1"/>
    </font>
    <font>
      <sz val="8"/>
      <name val="Arial"/>
      <family val="2"/>
    </font>
    <font>
      <sz val="10"/>
      <color theme="1"/>
      <name val="Calibri"/>
      <family val="2"/>
    </font>
    <font>
      <sz val="11"/>
      <color indexed="8"/>
      <name val="Calibri"/>
      <family val="2"/>
    </font>
    <font>
      <sz val="11"/>
      <color theme="1"/>
      <name val="Calibri"/>
      <family val="2"/>
    </font>
    <font>
      <sz val="11"/>
      <color theme="0"/>
      <name val="Calibri"/>
      <family val="2"/>
      <scheme val="minor"/>
    </font>
    <font>
      <sz val="11"/>
      <color indexed="9"/>
      <name val="Calibri"/>
      <family val="2"/>
    </font>
    <font>
      <sz val="11"/>
      <color theme="0"/>
      <name val="Calibri"/>
      <family val="2"/>
    </font>
    <font>
      <sz val="10"/>
      <color theme="0"/>
      <name val="Calibri"/>
      <family val="2"/>
    </font>
    <font>
      <sz val="10"/>
      <color theme="0"/>
      <name val="Arial"/>
      <family val="2"/>
    </font>
    <font>
      <sz val="11"/>
      <color rgb="FF9C0006"/>
      <name val="Calibri"/>
      <family val="2"/>
      <scheme val="minor"/>
    </font>
    <font>
      <sz val="11"/>
      <color indexed="20"/>
      <name val="Calibri"/>
      <family val="2"/>
    </font>
    <font>
      <sz val="11"/>
      <color rgb="FF9C0006"/>
      <name val="Calibri"/>
      <family val="2"/>
    </font>
    <font>
      <sz val="10"/>
      <color rgb="FF9C0006"/>
      <name val="Calibri"/>
      <family val="2"/>
    </font>
    <font>
      <sz val="10"/>
      <color rgb="FF9C0006"/>
      <name val="Arial"/>
      <family val="2"/>
    </font>
    <font>
      <b/>
      <i/>
      <sz val="14"/>
      <name val="Arial"/>
      <family val="2"/>
    </font>
    <font>
      <b/>
      <sz val="10"/>
      <color indexed="18"/>
      <name val="Arial"/>
      <family val="2"/>
    </font>
    <font>
      <b/>
      <i/>
      <sz val="12"/>
      <name val="Arial"/>
      <family val="2"/>
    </font>
    <font>
      <i/>
      <sz val="12"/>
      <name val="Arial"/>
      <family val="2"/>
    </font>
    <font>
      <sz val="9"/>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b/>
      <sz val="24"/>
      <name val="Arial Narrow"/>
      <family val="2"/>
    </font>
    <font>
      <i/>
      <sz val="9"/>
      <color indexed="18"/>
      <name val="Arial"/>
      <family val="2"/>
    </font>
    <font>
      <b/>
      <sz val="11"/>
      <color indexed="52"/>
      <name val="Calibri"/>
      <family val="2"/>
      <scheme val="minor"/>
    </font>
    <font>
      <b/>
      <sz val="11"/>
      <color indexed="52"/>
      <name val="Calibri"/>
      <family val="2"/>
    </font>
    <font>
      <b/>
      <sz val="11"/>
      <color rgb="FFFA7D00"/>
      <name val="Calibri"/>
      <family val="2"/>
    </font>
    <font>
      <b/>
      <sz val="10"/>
      <color rgb="FFFA7D00"/>
      <name val="Calibri"/>
      <family val="2"/>
    </font>
    <font>
      <b/>
      <sz val="10"/>
      <color rgb="FFFA7D00"/>
      <name val="Arial"/>
      <family val="2"/>
    </font>
    <font>
      <b/>
      <sz val="11"/>
      <color rgb="FFFA7D00"/>
      <name val="Calibri"/>
      <family val="2"/>
      <scheme val="minor"/>
    </font>
    <font>
      <b/>
      <sz val="10"/>
      <color theme="0"/>
      <name val="Arial"/>
      <family val="2"/>
    </font>
    <font>
      <b/>
      <sz val="11"/>
      <color indexed="9"/>
      <name val="Calibri"/>
      <family val="2"/>
    </font>
    <font>
      <b/>
      <sz val="11"/>
      <color theme="0"/>
      <name val="Calibri"/>
      <family val="2"/>
    </font>
    <font>
      <b/>
      <sz val="10"/>
      <color theme="0"/>
      <name val="Calibri"/>
      <family val="2"/>
    </font>
    <font>
      <b/>
      <sz val="11"/>
      <color theme="0"/>
      <name val="Calibri"/>
      <family val="2"/>
      <scheme val="minor"/>
    </font>
    <font>
      <sz val="10"/>
      <name val="Arial "/>
    </font>
    <font>
      <sz val="10"/>
      <name val="Century Gothic"/>
      <family val="2"/>
    </font>
    <font>
      <sz val="10"/>
      <color indexed="8"/>
      <name val="Arial"/>
      <family val="2"/>
    </font>
    <font>
      <sz val="11"/>
      <color indexed="8"/>
      <name val="Calibri"/>
      <family val="2"/>
      <scheme val="minor"/>
    </font>
    <font>
      <b/>
      <sz val="9"/>
      <name val="Arial"/>
      <family val="2"/>
    </font>
    <font>
      <i/>
      <sz val="10"/>
      <color rgb="FF7F7F7F"/>
      <name val="Arial"/>
      <family val="2"/>
    </font>
    <font>
      <i/>
      <sz val="11"/>
      <color indexed="23"/>
      <name val="Calibri"/>
      <family val="2"/>
    </font>
    <font>
      <i/>
      <sz val="11"/>
      <color rgb="FF7F7F7F"/>
      <name val="Calibri"/>
      <family val="2"/>
    </font>
    <font>
      <i/>
      <sz val="10"/>
      <color rgb="FF7F7F7F"/>
      <name val="Calibri"/>
      <family val="2"/>
    </font>
    <font>
      <i/>
      <sz val="11"/>
      <color rgb="FF7F7F7F"/>
      <name val="Calibri"/>
      <family val="2"/>
      <scheme val="minor"/>
    </font>
    <font>
      <sz val="11"/>
      <color rgb="FF006100"/>
      <name val="Calibri"/>
      <family val="2"/>
      <scheme val="minor"/>
    </font>
    <font>
      <sz val="11"/>
      <color indexed="17"/>
      <name val="Calibri"/>
      <family val="2"/>
    </font>
    <font>
      <sz val="11"/>
      <color rgb="FF006100"/>
      <name val="Calibri"/>
      <family val="2"/>
    </font>
    <font>
      <sz val="10"/>
      <color rgb="FF006100"/>
      <name val="Calibri"/>
      <family val="2"/>
    </font>
    <font>
      <sz val="10"/>
      <color rgb="FF006100"/>
      <name val="Arial"/>
      <family val="2"/>
    </font>
    <font>
      <b/>
      <sz val="15"/>
      <color indexed="56"/>
      <name val="Calibri"/>
      <family val="2"/>
      <scheme val="minor"/>
    </font>
    <font>
      <b/>
      <sz val="15"/>
      <color indexed="56"/>
      <name val="Calibri"/>
      <family val="2"/>
    </font>
    <font>
      <b/>
      <sz val="15"/>
      <color theme="3"/>
      <name val="Calibri"/>
      <family val="2"/>
    </font>
    <font>
      <b/>
      <sz val="15"/>
      <color theme="3"/>
      <name val="Arial"/>
      <family val="2"/>
    </font>
    <font>
      <b/>
      <sz val="13"/>
      <color indexed="56"/>
      <name val="Calibri"/>
      <family val="2"/>
      <scheme val="minor"/>
    </font>
    <font>
      <b/>
      <sz val="13"/>
      <color indexed="56"/>
      <name val="Calibri"/>
      <family val="2"/>
    </font>
    <font>
      <b/>
      <sz val="13"/>
      <color theme="3"/>
      <name val="Calibri"/>
      <family val="2"/>
    </font>
    <font>
      <b/>
      <sz val="13"/>
      <color theme="3"/>
      <name val="Arial"/>
      <family val="2"/>
    </font>
    <font>
      <b/>
      <sz val="11"/>
      <color indexed="56"/>
      <name val="Calibri"/>
      <family val="2"/>
      <scheme val="minor"/>
    </font>
    <font>
      <b/>
      <sz val="11"/>
      <color indexed="56"/>
      <name val="Calibri"/>
      <family val="2"/>
    </font>
    <font>
      <b/>
      <sz val="11"/>
      <color theme="3"/>
      <name val="Calibri"/>
      <family val="2"/>
    </font>
    <font>
      <b/>
      <sz val="11"/>
      <color theme="3"/>
      <name val="Arial"/>
      <family val="2"/>
    </font>
    <font>
      <u/>
      <sz val="10"/>
      <color theme="10"/>
      <name val="Arial"/>
      <family val="2"/>
    </font>
    <font>
      <sz val="11"/>
      <color rgb="FF3F3F76"/>
      <name val="Calibri"/>
      <family val="2"/>
      <scheme val="minor"/>
    </font>
    <font>
      <sz val="11"/>
      <color indexed="62"/>
      <name val="Calibri"/>
      <family val="2"/>
    </font>
    <font>
      <sz val="11"/>
      <color rgb="FF3F3F76"/>
      <name val="Calibri"/>
      <family val="2"/>
    </font>
    <font>
      <sz val="10"/>
      <color rgb="FF3F3F76"/>
      <name val="Calibri"/>
      <family val="2"/>
    </font>
    <font>
      <sz val="10"/>
      <color rgb="FF3F3F76"/>
      <name val="Arial"/>
      <family val="2"/>
    </font>
    <font>
      <sz val="11"/>
      <color indexed="52"/>
      <name val="Calibri"/>
      <family val="2"/>
      <scheme val="minor"/>
    </font>
    <font>
      <sz val="11"/>
      <color indexed="52"/>
      <name val="Calibri"/>
      <family val="2"/>
    </font>
    <font>
      <sz val="11"/>
      <color rgb="FFFA7D00"/>
      <name val="Calibri"/>
      <family val="2"/>
    </font>
    <font>
      <sz val="10"/>
      <color rgb="FFFA7D00"/>
      <name val="Calibri"/>
      <family val="2"/>
    </font>
    <font>
      <sz val="10"/>
      <color rgb="FFFA7D00"/>
      <name val="Arial"/>
      <family val="2"/>
    </font>
    <font>
      <sz val="11"/>
      <color rgb="FFFA7D00"/>
      <name val="Calibri"/>
      <family val="2"/>
      <scheme val="minor"/>
    </font>
    <font>
      <sz val="11"/>
      <color indexed="60"/>
      <name val="Calibri"/>
      <family val="2"/>
      <scheme val="minor"/>
    </font>
    <font>
      <sz val="11"/>
      <color indexed="60"/>
      <name val="Calibri"/>
      <family val="2"/>
    </font>
    <font>
      <sz val="11"/>
      <color rgb="FF9C6500"/>
      <name val="Calibri"/>
      <family val="2"/>
    </font>
    <font>
      <sz val="10"/>
      <color rgb="FF9C6500"/>
      <name val="Calibri"/>
      <family val="2"/>
    </font>
    <font>
      <sz val="10"/>
      <color rgb="FF9C6500"/>
      <name val="Arial"/>
      <family val="2"/>
    </font>
    <font>
      <sz val="11"/>
      <color rgb="FF9C6500"/>
      <name val="Calibri"/>
      <family val="2"/>
      <scheme val="minor"/>
    </font>
    <font>
      <sz val="18"/>
      <name val="Arial MT"/>
      <family val="2"/>
    </font>
    <font>
      <sz val="10"/>
      <name val="Arial Unicode MS"/>
      <family val="2"/>
    </font>
    <font>
      <b/>
      <sz val="11"/>
      <color rgb="FF3F3F3F"/>
      <name val="Calibri"/>
      <family val="2"/>
      <scheme val="minor"/>
    </font>
    <font>
      <b/>
      <sz val="11"/>
      <color indexed="63"/>
      <name val="Calibri"/>
      <family val="2"/>
    </font>
    <font>
      <b/>
      <sz val="11"/>
      <color rgb="FF3F3F3F"/>
      <name val="Calibri"/>
      <family val="2"/>
    </font>
    <font>
      <b/>
      <sz val="10"/>
      <color rgb="FF3F3F3F"/>
      <name val="Calibri"/>
      <family val="2"/>
    </font>
    <font>
      <b/>
      <sz val="10"/>
      <color rgb="FF3F3F3F"/>
      <name val="Arial"/>
      <family val="2"/>
    </font>
    <font>
      <b/>
      <sz val="12"/>
      <color indexed="10"/>
      <name val="Times New Roman"/>
      <family val="1"/>
    </font>
    <font>
      <sz val="10"/>
      <name val="MS Sans Serif"/>
      <family val="2"/>
    </font>
    <font>
      <b/>
      <sz val="10"/>
      <name val="MS Sans Serif"/>
      <family val="2"/>
    </font>
    <font>
      <b/>
      <sz val="11"/>
      <color indexed="18"/>
      <name val="Arial"/>
      <family val="2"/>
    </font>
    <font>
      <sz val="10"/>
      <color indexed="9"/>
      <name val="Arial"/>
      <family val="2"/>
    </font>
    <font>
      <b/>
      <sz val="10"/>
      <color indexed="12"/>
      <name val="Arial"/>
      <family val="2"/>
    </font>
    <font>
      <i/>
      <sz val="11"/>
      <name val="Arial"/>
      <family val="2"/>
    </font>
    <font>
      <b/>
      <sz val="12"/>
      <color indexed="8"/>
      <name val="Arial"/>
      <family val="2"/>
    </font>
    <font>
      <b/>
      <sz val="18"/>
      <color indexed="56"/>
      <name val="Calibri Light"/>
      <family val="2"/>
      <scheme val="major"/>
    </font>
    <font>
      <b/>
      <sz val="18"/>
      <color indexed="56"/>
      <name val="Cambria"/>
      <family val="2"/>
    </font>
    <font>
      <b/>
      <sz val="11"/>
      <color theme="1"/>
      <name val="Calibri"/>
      <family val="2"/>
      <scheme val="minor"/>
    </font>
    <font>
      <b/>
      <sz val="11"/>
      <color indexed="8"/>
      <name val="Calibri"/>
      <family val="2"/>
    </font>
    <font>
      <b/>
      <sz val="11"/>
      <color theme="1"/>
      <name val="Calibri"/>
      <family val="2"/>
    </font>
    <font>
      <b/>
      <sz val="10"/>
      <color theme="1"/>
      <name val="Calibri"/>
      <family val="2"/>
    </font>
    <font>
      <sz val="10"/>
      <color rgb="FFFF0000"/>
      <name val="Arial"/>
      <family val="2"/>
    </font>
    <font>
      <sz val="11"/>
      <color indexed="10"/>
      <name val="Calibri"/>
      <family val="2"/>
    </font>
    <font>
      <sz val="11"/>
      <color rgb="FFFF0000"/>
      <name val="Calibri"/>
      <family val="2"/>
    </font>
    <font>
      <sz val="10"/>
      <color rgb="FFFF0000"/>
      <name val="Calibri"/>
      <family val="2"/>
    </font>
    <font>
      <b/>
      <sz val="16"/>
      <name val="Arial"/>
      <family val="2"/>
    </font>
    <font>
      <sz val="16"/>
      <name val="Arial"/>
      <family val="2"/>
    </font>
    <font>
      <sz val="8"/>
      <name val="Calibri"/>
      <family val="2"/>
      <scheme val="minor"/>
    </font>
    <font>
      <b/>
      <sz val="12"/>
      <name val="CG OMEGA"/>
    </font>
    <font>
      <b/>
      <sz val="12"/>
      <name val="CG Omega"/>
      <family val="2"/>
    </font>
    <font>
      <b/>
      <sz val="12"/>
      <color indexed="48"/>
      <name val="CG Omega"/>
      <family val="2"/>
    </font>
    <font>
      <b/>
      <sz val="16"/>
      <color indexed="48"/>
      <name val="CG Omega"/>
      <family val="2"/>
    </font>
    <font>
      <b/>
      <sz val="48"/>
      <name val="Arial"/>
      <family val="2"/>
    </font>
    <font>
      <vertAlign val="superscript"/>
      <sz val="12"/>
      <name val="Arial"/>
      <family val="2"/>
    </font>
    <font>
      <strike/>
      <sz val="11"/>
      <name val="Arial"/>
      <family val="2"/>
    </font>
    <font>
      <i/>
      <strike/>
      <sz val="11"/>
      <name val="Arial"/>
      <family val="2"/>
    </font>
    <font>
      <strike/>
      <sz val="10"/>
      <name val="Arial"/>
      <family val="2"/>
    </font>
    <font>
      <b/>
      <strike/>
      <sz val="10"/>
      <name val="Arial"/>
      <family val="2"/>
    </font>
    <font>
      <strike/>
      <sz val="11"/>
      <color theme="1"/>
      <name val="Calibri"/>
      <family val="2"/>
      <scheme val="minor"/>
    </font>
    <font>
      <strike/>
      <sz val="12"/>
      <color theme="1"/>
      <name val="Arial"/>
      <family val="2"/>
    </font>
    <font>
      <b/>
      <strike/>
      <sz val="16"/>
      <name val="CG Omega"/>
      <family val="2"/>
    </font>
    <font>
      <sz val="11"/>
      <color rgb="FF000000"/>
      <name val="Arial"/>
      <family val="2"/>
    </font>
    <font>
      <sz val="11"/>
      <name val="Calibri"/>
      <family val="2"/>
      <scheme val="minor"/>
    </font>
    <font>
      <sz val="10"/>
      <name val="Calibri"/>
      <family val="2"/>
      <scheme val="minor"/>
    </font>
  </fonts>
  <fills count="73">
    <fill>
      <patternFill patternType="none"/>
    </fill>
    <fill>
      <patternFill patternType="gray125"/>
    </fill>
    <fill>
      <patternFill patternType="solid">
        <fgColor indexed="43"/>
        <bgColor indexed="64"/>
      </patternFill>
    </fill>
    <fill>
      <patternFill patternType="solid">
        <fgColor indexed="45"/>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44"/>
        <bgColor indexed="41"/>
      </patternFill>
    </fill>
    <fill>
      <patternFill patternType="solid">
        <fgColor indexed="9"/>
        <bgColor indexed="64"/>
      </patternFill>
    </fill>
    <fill>
      <patternFill patternType="solid">
        <fgColor indexed="55"/>
      </patternFill>
    </fill>
    <fill>
      <patternFill patternType="solid">
        <fgColor indexed="27"/>
        <bgColor indexed="41"/>
      </patternFill>
    </fill>
    <fill>
      <patternFill patternType="solid">
        <fgColor indexed="31"/>
        <bgColor indexed="22"/>
      </patternFill>
    </fill>
    <fill>
      <patternFill patternType="solid">
        <fgColor indexed="44"/>
        <bgColor indexed="46"/>
      </patternFill>
    </fill>
    <fill>
      <patternFill patternType="solid">
        <fgColor indexed="46"/>
        <bgColor indexed="44"/>
      </patternFill>
    </fill>
    <fill>
      <patternFill patternType="solid">
        <fgColor indexed="25"/>
        <bgColor indexed="61"/>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1"/>
        <bgColor indexed="64"/>
      </patternFill>
    </fill>
    <fill>
      <patternFill patternType="solid">
        <fgColor indexed="41"/>
        <bgColor indexed="26"/>
      </patternFill>
    </fill>
    <fill>
      <patternFill patternType="solid">
        <fgColor theme="0"/>
        <bgColor indexed="64"/>
      </patternFill>
    </fill>
    <fill>
      <patternFill patternType="solid">
        <fgColor rgb="FFFFFF99"/>
        <bgColor indexed="64"/>
      </patternFill>
    </fill>
    <fill>
      <patternFill patternType="solid">
        <fgColor rgb="FFFF99CC"/>
        <bgColor indexed="64"/>
      </patternFill>
    </fill>
    <fill>
      <patternFill patternType="solid">
        <fgColor rgb="FFCCFFFF"/>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1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8"/>
      </left>
      <right/>
      <top/>
      <bottom style="medium">
        <color indexed="64"/>
      </bottom>
      <diagonal/>
    </border>
    <border>
      <left style="thin">
        <color indexed="8"/>
      </left>
      <right style="thin">
        <color indexed="64"/>
      </right>
      <top/>
      <bottom style="medium">
        <color indexed="64"/>
      </bottom>
      <diagonal/>
    </border>
    <border>
      <left style="medium">
        <color indexed="64"/>
      </left>
      <right style="thin">
        <color indexed="8"/>
      </right>
      <top/>
      <bottom style="medium">
        <color indexed="64"/>
      </bottom>
      <diagonal/>
    </border>
    <border>
      <left style="thin">
        <color indexed="64"/>
      </left>
      <right style="medium">
        <color indexed="64"/>
      </right>
      <top/>
      <bottom/>
      <diagonal/>
    </border>
    <border>
      <left style="thin">
        <color indexed="8"/>
      </left>
      <right/>
      <top/>
      <bottom/>
      <diagonal/>
    </border>
    <border>
      <left style="thin">
        <color indexed="8"/>
      </left>
      <right style="thin">
        <color indexed="64"/>
      </right>
      <top/>
      <bottom/>
      <diagonal/>
    </border>
    <border>
      <left style="medium">
        <color indexed="64"/>
      </left>
      <right style="thin">
        <color indexed="8"/>
      </right>
      <top/>
      <bottom/>
      <diagonal/>
    </border>
    <border>
      <left style="thin">
        <color indexed="8"/>
      </left>
      <right/>
      <top style="medium">
        <color indexed="64"/>
      </top>
      <bottom/>
      <diagonal/>
    </border>
    <border>
      <left style="thin">
        <color indexed="8"/>
      </left>
      <right style="thin">
        <color indexed="64"/>
      </right>
      <top style="medium">
        <color indexed="64"/>
      </top>
      <bottom/>
      <diagonal/>
    </border>
    <border>
      <left style="medium">
        <color indexed="64"/>
      </left>
      <right style="thin">
        <color indexed="8"/>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9995">
    <xf numFmtId="0" fontId="0" fillId="0" borderId="0"/>
    <xf numFmtId="9" fontId="2" fillId="0" borderId="0" applyFont="0" applyFill="0" applyBorder="0" applyAlignment="0" applyProtection="0"/>
    <xf numFmtId="0" fontId="3" fillId="0" borderId="0"/>
    <xf numFmtId="0" fontId="2" fillId="0" borderId="0"/>
    <xf numFmtId="43" fontId="3" fillId="0" borderId="0" applyFont="0" applyFill="0" applyBorder="0" applyAlignment="0" applyProtection="0"/>
    <xf numFmtId="0" fontId="5" fillId="0" borderId="0"/>
    <xf numFmtId="0" fontId="25" fillId="0" borderId="0"/>
    <xf numFmtId="0" fontId="3" fillId="0" borderId="0"/>
    <xf numFmtId="0" fontId="3" fillId="0" borderId="0"/>
    <xf numFmtId="0" fontId="3" fillId="0" borderId="0"/>
    <xf numFmtId="0" fontId="3" fillId="0" borderId="0"/>
    <xf numFmtId="0" fontId="26" fillId="0" borderId="0"/>
    <xf numFmtId="0" fontId="3" fillId="0" borderId="0"/>
    <xf numFmtId="166" fontId="3" fillId="0" borderId="0"/>
    <xf numFmtId="0" fontId="3" fillId="0" borderId="0"/>
    <xf numFmtId="0" fontId="25" fillId="0" borderId="0"/>
    <xf numFmtId="0" fontId="3" fillId="0" borderId="0"/>
    <xf numFmtId="0" fontId="3" fillId="0" borderId="0"/>
    <xf numFmtId="0" fontId="25" fillId="0" borderId="0"/>
    <xf numFmtId="0" fontId="27" fillId="0" borderId="0"/>
    <xf numFmtId="0" fontId="27" fillId="0" borderId="0"/>
    <xf numFmtId="166" fontId="3" fillId="0" borderId="0"/>
    <xf numFmtId="0" fontId="3" fillId="0" borderId="0"/>
    <xf numFmtId="167" fontId="2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3" fillId="0" borderId="0"/>
    <xf numFmtId="0" fontId="3" fillId="0" borderId="0"/>
    <xf numFmtId="0" fontId="3" fillId="0" borderId="0"/>
    <xf numFmtId="0" fontId="3" fillId="0" borderId="0"/>
    <xf numFmtId="0" fontId="27" fillId="0" borderId="0"/>
    <xf numFmtId="0" fontId="3" fillId="0" borderId="0"/>
    <xf numFmtId="0" fontId="3" fillId="0" borderId="0"/>
    <xf numFmtId="0" fontId="3" fillId="0" borderId="0"/>
    <xf numFmtId="167" fontId="25" fillId="0" borderId="0"/>
    <xf numFmtId="0" fontId="3" fillId="0" borderId="0"/>
    <xf numFmtId="0" fontId="26" fillId="0" borderId="0"/>
    <xf numFmtId="0" fontId="27" fillId="0" borderId="0"/>
    <xf numFmtId="0" fontId="3" fillId="0" borderId="0"/>
    <xf numFmtId="0" fontId="3" fillId="0" borderId="0"/>
    <xf numFmtId="0" fontId="27" fillId="0" borderId="0"/>
    <xf numFmtId="0" fontId="27" fillId="0" borderId="0"/>
    <xf numFmtId="0" fontId="27" fillId="0" borderId="0"/>
    <xf numFmtId="0" fontId="27" fillId="0" borderId="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30" fillId="1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13"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 fillId="36" borderId="0" applyNumberFormat="0" applyBorder="0" applyAlignment="0" applyProtection="0"/>
    <xf numFmtId="0" fontId="23" fillId="13" borderId="0" applyNumberFormat="0" applyBorder="0" applyAlignment="0" applyProtection="0"/>
    <xf numFmtId="0" fontId="28" fillId="13" borderId="0" applyNumberFormat="0" applyBorder="0" applyAlignment="0" applyProtection="0"/>
    <xf numFmtId="0" fontId="2"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3"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 fillId="13"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 fillId="37" borderId="0" applyNumberFormat="0" applyBorder="0" applyAlignment="0" applyProtection="0"/>
    <xf numFmtId="0" fontId="29" fillId="37" borderId="0" applyNumberFormat="0" applyBorder="0" applyAlignment="0" applyProtection="0"/>
    <xf numFmtId="0" fontId="30" fillId="1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30" fillId="17" borderId="0" applyNumberFormat="0" applyBorder="0" applyAlignment="0" applyProtection="0"/>
    <xf numFmtId="0" fontId="29" fillId="37" borderId="0" applyNumberFormat="0" applyBorder="0" applyAlignment="0" applyProtection="0"/>
    <xf numFmtId="0" fontId="2" fillId="3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 fillId="37" borderId="0" applyNumberFormat="0" applyBorder="0" applyAlignment="0" applyProtection="0"/>
    <xf numFmtId="0" fontId="23" fillId="17" borderId="0" applyNumberFormat="0" applyBorder="0" applyAlignment="0" applyProtection="0"/>
    <xf numFmtId="0" fontId="28" fillId="17" borderId="0" applyNumberFormat="0" applyBorder="0" applyAlignment="0" applyProtection="0"/>
    <xf numFmtId="0" fontId="2"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3"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 fillId="17"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 fillId="38" borderId="0" applyNumberFormat="0" applyBorder="0" applyAlignment="0" applyProtection="0"/>
    <xf numFmtId="0" fontId="29" fillId="38" borderId="0" applyNumberFormat="0" applyBorder="0" applyAlignment="0" applyProtection="0"/>
    <xf numFmtId="0" fontId="30" fillId="21"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0" fillId="21" borderId="0" applyNumberFormat="0" applyBorder="0" applyAlignment="0" applyProtection="0"/>
    <xf numFmtId="0" fontId="29" fillId="38" borderId="0" applyNumberFormat="0" applyBorder="0" applyAlignment="0" applyProtection="0"/>
    <xf numFmtId="0" fontId="2" fillId="38"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 fillId="38" borderId="0" applyNumberFormat="0" applyBorder="0" applyAlignment="0" applyProtection="0"/>
    <xf numFmtId="0" fontId="23" fillId="21" borderId="0" applyNumberFormat="0" applyBorder="0" applyAlignment="0" applyProtection="0"/>
    <xf numFmtId="0" fontId="28" fillId="21" borderId="0" applyNumberFormat="0" applyBorder="0" applyAlignment="0" applyProtection="0"/>
    <xf numFmtId="0" fontId="2"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3"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 fillId="21"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 fillId="39" borderId="0" applyNumberFormat="0" applyBorder="0" applyAlignment="0" applyProtection="0"/>
    <xf numFmtId="0" fontId="29" fillId="39" borderId="0" applyNumberFormat="0" applyBorder="0" applyAlignment="0" applyProtection="0"/>
    <xf numFmtId="0" fontId="30" fillId="2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0" fillId="25" borderId="0" applyNumberFormat="0" applyBorder="0" applyAlignment="0" applyProtection="0"/>
    <xf numFmtId="0" fontId="29" fillId="39" borderId="0" applyNumberFormat="0" applyBorder="0" applyAlignment="0" applyProtection="0"/>
    <xf numFmtId="0" fontId="2" fillId="39"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 fillId="39" borderId="0" applyNumberFormat="0" applyBorder="0" applyAlignment="0" applyProtection="0"/>
    <xf numFmtId="0" fontId="23" fillId="25" borderId="0" applyNumberFormat="0" applyBorder="0" applyAlignment="0" applyProtection="0"/>
    <xf numFmtId="0" fontId="28" fillId="25" borderId="0" applyNumberFormat="0" applyBorder="0" applyAlignment="0" applyProtection="0"/>
    <xf numFmtId="0" fontId="2"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3"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 fillId="25"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3" fillId="29" borderId="0" applyNumberFormat="0" applyBorder="0" applyAlignment="0" applyProtection="0"/>
    <xf numFmtId="0" fontId="29" fillId="40" borderId="0" applyNumberFormat="0" applyBorder="0" applyAlignment="0" applyProtection="0"/>
    <xf numFmtId="0" fontId="30" fillId="29" borderId="0" applyNumberFormat="0" applyBorder="0" applyAlignment="0" applyProtection="0"/>
    <xf numFmtId="0" fontId="23" fillId="29" borderId="0" applyNumberFormat="0" applyBorder="0" applyAlignment="0" applyProtection="0"/>
    <xf numFmtId="0" fontId="30" fillId="29" borderId="0" applyNumberFormat="0" applyBorder="0" applyAlignment="0" applyProtection="0"/>
    <xf numFmtId="0" fontId="29" fillId="40" borderId="0" applyNumberFormat="0" applyBorder="0" applyAlignment="0" applyProtection="0"/>
    <xf numFmtId="0" fontId="23"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 fillId="29"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 fillId="41" borderId="0" applyNumberFormat="0" applyBorder="0" applyAlignment="0" applyProtection="0"/>
    <xf numFmtId="0" fontId="29" fillId="42" borderId="0" applyNumberFormat="0" applyBorder="0" applyAlignment="0" applyProtection="0"/>
    <xf numFmtId="0" fontId="30" fillId="33"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30" fillId="33" borderId="0" applyNumberFormat="0" applyBorder="0" applyAlignment="0" applyProtection="0"/>
    <xf numFmtId="0" fontId="29" fillId="42" borderId="0" applyNumberFormat="0" applyBorder="0" applyAlignment="0" applyProtection="0"/>
    <xf numFmtId="0" fontId="2" fillId="41"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 fillId="41" borderId="0" applyNumberFormat="0" applyBorder="0" applyAlignment="0" applyProtection="0"/>
    <xf numFmtId="0" fontId="23" fillId="33" borderId="0" applyNumberFormat="0" applyBorder="0" applyAlignment="0" applyProtection="0"/>
    <xf numFmtId="0" fontId="28" fillId="33" borderId="0" applyNumberFormat="0" applyBorder="0" applyAlignment="0" applyProtection="0"/>
    <xf numFmtId="0" fontId="2"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3"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 fillId="3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 fillId="43" borderId="0" applyNumberFormat="0" applyBorder="0" applyAlignment="0" applyProtection="0"/>
    <xf numFmtId="0" fontId="29" fillId="43" borderId="0" applyNumberFormat="0" applyBorder="0" applyAlignment="0" applyProtection="0"/>
    <xf numFmtId="0" fontId="30" fillId="14"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0" fillId="14" borderId="0" applyNumberFormat="0" applyBorder="0" applyAlignment="0" applyProtection="0"/>
    <xf numFmtId="0" fontId="29" fillId="43" borderId="0" applyNumberFormat="0" applyBorder="0" applyAlignment="0" applyProtection="0"/>
    <xf numFmtId="0" fontId="2" fillId="4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 fillId="43" borderId="0" applyNumberFormat="0" applyBorder="0" applyAlignment="0" applyProtection="0"/>
    <xf numFmtId="0" fontId="23" fillId="14" borderId="0" applyNumberFormat="0" applyBorder="0" applyAlignment="0" applyProtection="0"/>
    <xf numFmtId="0" fontId="28" fillId="14" borderId="0" applyNumberFormat="0" applyBorder="0" applyAlignment="0" applyProtection="0"/>
    <xf numFmtId="0" fontId="2"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3"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 fillId="14"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3" fillId="18"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23" fillId="18" borderId="0" applyNumberFormat="0" applyBorder="0" applyAlignment="0" applyProtection="0"/>
    <xf numFmtId="0" fontId="30" fillId="18" borderId="0" applyNumberFormat="0" applyBorder="0" applyAlignment="0" applyProtection="0"/>
    <xf numFmtId="0" fontId="29" fillId="44" borderId="0" applyNumberFormat="0" applyBorder="0" applyAlignment="0" applyProtection="0"/>
    <xf numFmtId="0" fontId="23"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 fillId="18"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30" fillId="22" borderId="0" applyNumberFormat="0" applyBorder="0" applyAlignment="0" applyProtection="0"/>
    <xf numFmtId="0" fontId="29" fillId="45" borderId="0" applyNumberFormat="0" applyBorder="0" applyAlignment="0" applyProtection="0"/>
    <xf numFmtId="0" fontId="2" fillId="45"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 fillId="45" borderId="0" applyNumberFormat="0" applyBorder="0" applyAlignment="0" applyProtection="0"/>
    <xf numFmtId="0" fontId="23" fillId="22" borderId="0" applyNumberFormat="0" applyBorder="0" applyAlignment="0" applyProtection="0"/>
    <xf numFmtId="0" fontId="28" fillId="22" borderId="0" applyNumberFormat="0" applyBorder="0" applyAlignment="0" applyProtection="0"/>
    <xf numFmtId="0" fontId="2"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3"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 fillId="22"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 fillId="39" borderId="0" applyNumberFormat="0" applyBorder="0" applyAlignment="0" applyProtection="0"/>
    <xf numFmtId="0" fontId="29" fillId="39" borderId="0" applyNumberFormat="0" applyBorder="0" applyAlignment="0" applyProtection="0"/>
    <xf numFmtId="0" fontId="30" fillId="26"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0" fillId="26" borderId="0" applyNumberFormat="0" applyBorder="0" applyAlignment="0" applyProtection="0"/>
    <xf numFmtId="0" fontId="29" fillId="39" borderId="0" applyNumberFormat="0" applyBorder="0" applyAlignment="0" applyProtection="0"/>
    <xf numFmtId="0" fontId="2" fillId="39"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 fillId="39" borderId="0" applyNumberFormat="0" applyBorder="0" applyAlignment="0" applyProtection="0"/>
    <xf numFmtId="0" fontId="23" fillId="26" borderId="0" applyNumberFormat="0" applyBorder="0" applyAlignment="0" applyProtection="0"/>
    <xf numFmtId="0" fontId="28" fillId="26" borderId="0" applyNumberFormat="0" applyBorder="0" applyAlignment="0" applyProtection="0"/>
    <xf numFmtId="0" fontId="2"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3"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 fillId="26"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 fillId="43" borderId="0" applyNumberFormat="0" applyBorder="0" applyAlignment="0" applyProtection="0"/>
    <xf numFmtId="0" fontId="29" fillId="43" borderId="0" applyNumberFormat="0" applyBorder="0" applyAlignment="0" applyProtection="0"/>
    <xf numFmtId="0" fontId="30" fillId="30"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0" fillId="30" borderId="0" applyNumberFormat="0" applyBorder="0" applyAlignment="0" applyProtection="0"/>
    <xf numFmtId="0" fontId="29" fillId="43" borderId="0" applyNumberFormat="0" applyBorder="0" applyAlignment="0" applyProtection="0"/>
    <xf numFmtId="0" fontId="2" fillId="43"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 fillId="43" borderId="0" applyNumberFormat="0" applyBorder="0" applyAlignment="0" applyProtection="0"/>
    <xf numFmtId="0" fontId="23" fillId="30" borderId="0" applyNumberFormat="0" applyBorder="0" applyAlignment="0" applyProtection="0"/>
    <xf numFmtId="0" fontId="28" fillId="30" borderId="0" applyNumberFormat="0" applyBorder="0" applyAlignment="0" applyProtection="0"/>
    <xf numFmtId="0" fontId="2"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3"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 fillId="30"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 fillId="46" borderId="0" applyNumberFormat="0" applyBorder="0" applyAlignment="0" applyProtection="0"/>
    <xf numFmtId="0" fontId="29" fillId="46" borderId="0" applyNumberFormat="0" applyBorder="0" applyAlignment="0" applyProtection="0"/>
    <xf numFmtId="0" fontId="30" fillId="34"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0" fillId="34" borderId="0" applyNumberFormat="0" applyBorder="0" applyAlignment="0" applyProtection="0"/>
    <xf numFmtId="0" fontId="29" fillId="46" borderId="0" applyNumberFormat="0" applyBorder="0" applyAlignment="0" applyProtection="0"/>
    <xf numFmtId="0" fontId="2" fillId="46"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 fillId="46" borderId="0" applyNumberFormat="0" applyBorder="0" applyAlignment="0" applyProtection="0"/>
    <xf numFmtId="0" fontId="23" fillId="34" borderId="0" applyNumberFormat="0" applyBorder="0" applyAlignment="0" applyProtection="0"/>
    <xf numFmtId="0" fontId="28" fillId="34" borderId="0" applyNumberFormat="0" applyBorder="0" applyAlignment="0" applyProtection="0"/>
    <xf numFmtId="0" fontId="2"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3"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 fillId="34" borderId="0" applyNumberFormat="0" applyBorder="0" applyAlignment="0" applyProtection="0"/>
    <xf numFmtId="0" fontId="31" fillId="47" borderId="0" applyNumberFormat="0" applyBorder="0" applyAlignment="0" applyProtection="0"/>
    <xf numFmtId="0" fontId="32" fillId="47" borderId="0" applyNumberFormat="0" applyBorder="0" applyAlignment="0" applyProtection="0"/>
    <xf numFmtId="0" fontId="33" fillId="15" borderId="0" applyNumberFormat="0" applyBorder="0" applyAlignment="0" applyProtection="0"/>
    <xf numFmtId="0" fontId="31" fillId="47" borderId="0" applyNumberFormat="0" applyBorder="0" applyAlignment="0" applyProtection="0"/>
    <xf numFmtId="0" fontId="33" fillId="15" borderId="0" applyNumberFormat="0" applyBorder="0" applyAlignment="0" applyProtection="0"/>
    <xf numFmtId="0" fontId="32" fillId="47" borderId="0" applyNumberFormat="0" applyBorder="0" applyAlignment="0" applyProtection="0"/>
    <xf numFmtId="0" fontId="31" fillId="47" borderId="0" applyNumberFormat="0" applyBorder="0" applyAlignment="0" applyProtection="0"/>
    <xf numFmtId="0" fontId="34" fillId="15" borderId="0" applyNumberFormat="0" applyBorder="0" applyAlignment="0" applyProtection="0"/>
    <xf numFmtId="0" fontId="35" fillId="15" borderId="0" applyNumberFormat="0" applyBorder="0" applyAlignment="0" applyProtection="0"/>
    <xf numFmtId="0" fontId="34" fillId="15" borderId="0" applyNumberFormat="0" applyBorder="0" applyAlignment="0" applyProtection="0"/>
    <xf numFmtId="0" fontId="31" fillId="15" borderId="0" applyNumberFormat="0" applyBorder="0" applyAlignment="0" applyProtection="0"/>
    <xf numFmtId="0" fontId="35" fillId="15" borderId="0" applyNumberFormat="0" applyBorder="0" applyAlignment="0" applyProtection="0"/>
    <xf numFmtId="0" fontId="34" fillId="15" borderId="0" applyNumberFormat="0" applyBorder="0" applyAlignment="0" applyProtection="0"/>
    <xf numFmtId="0" fontId="31" fillId="15" borderId="0" applyNumberFormat="0" applyBorder="0" applyAlignment="0" applyProtection="0"/>
    <xf numFmtId="0" fontId="34"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44" borderId="0" applyNumberFormat="0" applyBorder="0" applyAlignment="0" applyProtection="0"/>
    <xf numFmtId="0" fontId="32" fillId="44" borderId="0" applyNumberFormat="0" applyBorder="0" applyAlignment="0" applyProtection="0"/>
    <xf numFmtId="0" fontId="33" fillId="19" borderId="0" applyNumberFormat="0" applyBorder="0" applyAlignment="0" applyProtection="0"/>
    <xf numFmtId="0" fontId="31" fillId="44" borderId="0" applyNumberFormat="0" applyBorder="0" applyAlignment="0" applyProtection="0"/>
    <xf numFmtId="0" fontId="33" fillId="19" borderId="0" applyNumberFormat="0" applyBorder="0" applyAlignment="0" applyProtection="0"/>
    <xf numFmtId="0" fontId="32" fillId="44" borderId="0" applyNumberFormat="0" applyBorder="0" applyAlignment="0" applyProtection="0"/>
    <xf numFmtId="0" fontId="31" fillId="44" borderId="0" applyNumberFormat="0" applyBorder="0" applyAlignment="0" applyProtection="0"/>
    <xf numFmtId="0" fontId="34" fillId="19" borderId="0" applyNumberFormat="0" applyBorder="0" applyAlignment="0" applyProtection="0"/>
    <xf numFmtId="0" fontId="35" fillId="19" borderId="0" applyNumberFormat="0" applyBorder="0" applyAlignment="0" applyProtection="0"/>
    <xf numFmtId="0" fontId="34" fillId="19" borderId="0" applyNumberFormat="0" applyBorder="0" applyAlignment="0" applyProtection="0"/>
    <xf numFmtId="0" fontId="31" fillId="19" borderId="0" applyNumberFormat="0" applyBorder="0" applyAlignment="0" applyProtection="0"/>
    <xf numFmtId="0" fontId="35" fillId="19" borderId="0" applyNumberFormat="0" applyBorder="0" applyAlignment="0" applyProtection="0"/>
    <xf numFmtId="0" fontId="34" fillId="19" borderId="0" applyNumberFormat="0" applyBorder="0" applyAlignment="0" applyProtection="0"/>
    <xf numFmtId="0" fontId="31" fillId="19" borderId="0" applyNumberFormat="0" applyBorder="0" applyAlignment="0" applyProtection="0"/>
    <xf numFmtId="0" fontId="34"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45" borderId="0" applyNumberFormat="0" applyBorder="0" applyAlignment="0" applyProtection="0"/>
    <xf numFmtId="0" fontId="32" fillId="45" borderId="0" applyNumberFormat="0" applyBorder="0" applyAlignment="0" applyProtection="0"/>
    <xf numFmtId="0" fontId="33" fillId="23" borderId="0" applyNumberFormat="0" applyBorder="0" applyAlignment="0" applyProtection="0"/>
    <xf numFmtId="0" fontId="31" fillId="45" borderId="0" applyNumberFormat="0" applyBorder="0" applyAlignment="0" applyProtection="0"/>
    <xf numFmtId="0" fontId="33" fillId="23" borderId="0" applyNumberFormat="0" applyBorder="0" applyAlignment="0" applyProtection="0"/>
    <xf numFmtId="0" fontId="32" fillId="45" borderId="0" applyNumberFormat="0" applyBorder="0" applyAlignment="0" applyProtection="0"/>
    <xf numFmtId="0" fontId="31" fillId="45" borderId="0" applyNumberFormat="0" applyBorder="0" applyAlignment="0" applyProtection="0"/>
    <xf numFmtId="0" fontId="34" fillId="23" borderId="0" applyNumberFormat="0" applyBorder="0" applyAlignment="0" applyProtection="0"/>
    <xf numFmtId="0" fontId="35" fillId="23" borderId="0" applyNumberFormat="0" applyBorder="0" applyAlignment="0" applyProtection="0"/>
    <xf numFmtId="0" fontId="34" fillId="23" borderId="0" applyNumberFormat="0" applyBorder="0" applyAlignment="0" applyProtection="0"/>
    <xf numFmtId="0" fontId="31" fillId="23" borderId="0" applyNumberFormat="0" applyBorder="0" applyAlignment="0" applyProtection="0"/>
    <xf numFmtId="0" fontId="35" fillId="23" borderId="0" applyNumberFormat="0" applyBorder="0" applyAlignment="0" applyProtection="0"/>
    <xf numFmtId="0" fontId="34" fillId="23" borderId="0" applyNumberFormat="0" applyBorder="0" applyAlignment="0" applyProtection="0"/>
    <xf numFmtId="0" fontId="31" fillId="23" borderId="0" applyNumberFormat="0" applyBorder="0" applyAlignment="0" applyProtection="0"/>
    <xf numFmtId="0" fontId="34"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48" borderId="0" applyNumberFormat="0" applyBorder="0" applyAlignment="0" applyProtection="0"/>
    <xf numFmtId="0" fontId="32" fillId="48" borderId="0" applyNumberFormat="0" applyBorder="0" applyAlignment="0" applyProtection="0"/>
    <xf numFmtId="0" fontId="33" fillId="27" borderId="0" applyNumberFormat="0" applyBorder="0" applyAlignment="0" applyProtection="0"/>
    <xf numFmtId="0" fontId="31" fillId="48" borderId="0" applyNumberFormat="0" applyBorder="0" applyAlignment="0" applyProtection="0"/>
    <xf numFmtId="0" fontId="33" fillId="27" borderId="0" applyNumberFormat="0" applyBorder="0" applyAlignment="0" applyProtection="0"/>
    <xf numFmtId="0" fontId="32" fillId="48" borderId="0" applyNumberFormat="0" applyBorder="0" applyAlignment="0" applyProtection="0"/>
    <xf numFmtId="0" fontId="31" fillId="48" borderId="0" applyNumberFormat="0" applyBorder="0" applyAlignment="0" applyProtection="0"/>
    <xf numFmtId="0" fontId="34" fillId="27" borderId="0" applyNumberFormat="0" applyBorder="0" applyAlignment="0" applyProtection="0"/>
    <xf numFmtId="0" fontId="35" fillId="27" borderId="0" applyNumberFormat="0" applyBorder="0" applyAlignment="0" applyProtection="0"/>
    <xf numFmtId="0" fontId="34" fillId="27" borderId="0" applyNumberFormat="0" applyBorder="0" applyAlignment="0" applyProtection="0"/>
    <xf numFmtId="0" fontId="31" fillId="27" borderId="0" applyNumberFormat="0" applyBorder="0" applyAlignment="0" applyProtection="0"/>
    <xf numFmtId="0" fontId="35" fillId="27" borderId="0" applyNumberFormat="0" applyBorder="0" applyAlignment="0" applyProtection="0"/>
    <xf numFmtId="0" fontId="34" fillId="27" borderId="0" applyNumberFormat="0" applyBorder="0" applyAlignment="0" applyProtection="0"/>
    <xf numFmtId="0" fontId="31" fillId="27" borderId="0" applyNumberFormat="0" applyBorder="0" applyAlignment="0" applyProtection="0"/>
    <xf numFmtId="0" fontId="34"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49" borderId="0" applyNumberFormat="0" applyBorder="0" applyAlignment="0" applyProtection="0"/>
    <xf numFmtId="0" fontId="32" fillId="49" borderId="0" applyNumberFormat="0" applyBorder="0" applyAlignment="0" applyProtection="0"/>
    <xf numFmtId="0" fontId="33" fillId="31" borderId="0" applyNumberFormat="0" applyBorder="0" applyAlignment="0" applyProtection="0"/>
    <xf numFmtId="0" fontId="31" fillId="49" borderId="0" applyNumberFormat="0" applyBorder="0" applyAlignment="0" applyProtection="0"/>
    <xf numFmtId="0" fontId="33" fillId="31" borderId="0" applyNumberFormat="0" applyBorder="0" applyAlignment="0" applyProtection="0"/>
    <xf numFmtId="0" fontId="32" fillId="49" borderId="0" applyNumberFormat="0" applyBorder="0" applyAlignment="0" applyProtection="0"/>
    <xf numFmtId="0" fontId="31" fillId="49" borderId="0" applyNumberFormat="0" applyBorder="0" applyAlignment="0" applyProtection="0"/>
    <xf numFmtId="0" fontId="34" fillId="31" borderId="0" applyNumberFormat="0" applyBorder="0" applyAlignment="0" applyProtection="0"/>
    <xf numFmtId="0" fontId="35" fillId="31" borderId="0" applyNumberFormat="0" applyBorder="0" applyAlignment="0" applyProtection="0"/>
    <xf numFmtId="0" fontId="34" fillId="31" borderId="0" applyNumberFormat="0" applyBorder="0" applyAlignment="0" applyProtection="0"/>
    <xf numFmtId="0" fontId="31" fillId="31" borderId="0" applyNumberFormat="0" applyBorder="0" applyAlignment="0" applyProtection="0"/>
    <xf numFmtId="0" fontId="35" fillId="31" borderId="0" applyNumberFormat="0" applyBorder="0" applyAlignment="0" applyProtection="0"/>
    <xf numFmtId="0" fontId="34" fillId="31" borderId="0" applyNumberFormat="0" applyBorder="0" applyAlignment="0" applyProtection="0"/>
    <xf numFmtId="0" fontId="31" fillId="31" borderId="0" applyNumberFormat="0" applyBorder="0" applyAlignment="0" applyProtection="0"/>
    <xf numFmtId="0" fontId="34"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50" borderId="0" applyNumberFormat="0" applyBorder="0" applyAlignment="0" applyProtection="0"/>
    <xf numFmtId="0" fontId="32" fillId="50" borderId="0" applyNumberFormat="0" applyBorder="0" applyAlignment="0" applyProtection="0"/>
    <xf numFmtId="0" fontId="33" fillId="35" borderId="0" applyNumberFormat="0" applyBorder="0" applyAlignment="0" applyProtection="0"/>
    <xf numFmtId="0" fontId="31" fillId="50" borderId="0" applyNumberFormat="0" applyBorder="0" applyAlignment="0" applyProtection="0"/>
    <xf numFmtId="0" fontId="33" fillId="35" borderId="0" applyNumberFormat="0" applyBorder="0" applyAlignment="0" applyProtection="0"/>
    <xf numFmtId="0" fontId="32" fillId="50" borderId="0" applyNumberFormat="0" applyBorder="0" applyAlignment="0" applyProtection="0"/>
    <xf numFmtId="0" fontId="31" fillId="50" borderId="0" applyNumberFormat="0" applyBorder="0" applyAlignment="0" applyProtection="0"/>
    <xf numFmtId="0" fontId="34" fillId="35" borderId="0" applyNumberFormat="0" applyBorder="0" applyAlignment="0" applyProtection="0"/>
    <xf numFmtId="0" fontId="35" fillId="35" borderId="0" applyNumberFormat="0" applyBorder="0" applyAlignment="0" applyProtection="0"/>
    <xf numFmtId="0" fontId="34" fillId="35" borderId="0" applyNumberFormat="0" applyBorder="0" applyAlignment="0" applyProtection="0"/>
    <xf numFmtId="0" fontId="31" fillId="35" borderId="0" applyNumberFormat="0" applyBorder="0" applyAlignment="0" applyProtection="0"/>
    <xf numFmtId="0" fontId="35" fillId="35" borderId="0" applyNumberFormat="0" applyBorder="0" applyAlignment="0" applyProtection="0"/>
    <xf numFmtId="0" fontId="34" fillId="35" borderId="0" applyNumberFormat="0" applyBorder="0" applyAlignment="0" applyProtection="0"/>
    <xf numFmtId="0" fontId="31" fillId="35" borderId="0" applyNumberFormat="0" applyBorder="0" applyAlignment="0" applyProtection="0"/>
    <xf numFmtId="0" fontId="34"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51" borderId="0" applyNumberFormat="0" applyBorder="0" applyAlignment="0" applyProtection="0"/>
    <xf numFmtId="0" fontId="32" fillId="51" borderId="0" applyNumberFormat="0" applyBorder="0" applyAlignment="0" applyProtection="0"/>
    <xf numFmtId="0" fontId="33" fillId="12" borderId="0" applyNumberFormat="0" applyBorder="0" applyAlignment="0" applyProtection="0"/>
    <xf numFmtId="0" fontId="31" fillId="51" borderId="0" applyNumberFormat="0" applyBorder="0" applyAlignment="0" applyProtection="0"/>
    <xf numFmtId="0" fontId="33" fillId="12" borderId="0" applyNumberFormat="0" applyBorder="0" applyAlignment="0" applyProtection="0"/>
    <xf numFmtId="0" fontId="32" fillId="51" borderId="0" applyNumberFormat="0" applyBorder="0" applyAlignment="0" applyProtection="0"/>
    <xf numFmtId="0" fontId="31" fillId="51" borderId="0" applyNumberFormat="0" applyBorder="0" applyAlignment="0" applyProtection="0"/>
    <xf numFmtId="0" fontId="34" fillId="12" borderId="0" applyNumberFormat="0" applyBorder="0" applyAlignment="0" applyProtection="0"/>
    <xf numFmtId="0" fontId="35" fillId="12" borderId="0" applyNumberFormat="0" applyBorder="0" applyAlignment="0" applyProtection="0"/>
    <xf numFmtId="0" fontId="34" fillId="12" borderId="0" applyNumberFormat="0" applyBorder="0" applyAlignment="0" applyProtection="0"/>
    <xf numFmtId="0" fontId="31" fillId="12" borderId="0" applyNumberFormat="0" applyBorder="0" applyAlignment="0" applyProtection="0"/>
    <xf numFmtId="0" fontId="35" fillId="12" borderId="0" applyNumberFormat="0" applyBorder="0" applyAlignment="0" applyProtection="0"/>
    <xf numFmtId="0" fontId="34" fillId="12" borderId="0" applyNumberFormat="0" applyBorder="0" applyAlignment="0" applyProtection="0"/>
    <xf numFmtId="0" fontId="31" fillId="12" borderId="0" applyNumberFormat="0" applyBorder="0" applyAlignment="0" applyProtection="0"/>
    <xf numFmtId="0" fontId="34"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52" borderId="0" applyNumberFormat="0" applyBorder="0" applyAlignment="0" applyProtection="0"/>
    <xf numFmtId="0" fontId="32" fillId="52" borderId="0" applyNumberFormat="0" applyBorder="0" applyAlignment="0" applyProtection="0"/>
    <xf numFmtId="0" fontId="33" fillId="16" borderId="0" applyNumberFormat="0" applyBorder="0" applyAlignment="0" applyProtection="0"/>
    <xf numFmtId="0" fontId="31" fillId="52" borderId="0" applyNumberFormat="0" applyBorder="0" applyAlignment="0" applyProtection="0"/>
    <xf numFmtId="0" fontId="33" fillId="16" borderId="0" applyNumberFormat="0" applyBorder="0" applyAlignment="0" applyProtection="0"/>
    <xf numFmtId="0" fontId="32" fillId="52" borderId="0" applyNumberFormat="0" applyBorder="0" applyAlignment="0" applyProtection="0"/>
    <xf numFmtId="0" fontId="31" fillId="52" borderId="0" applyNumberFormat="0" applyBorder="0" applyAlignment="0" applyProtection="0"/>
    <xf numFmtId="0" fontId="34" fillId="16" borderId="0" applyNumberFormat="0" applyBorder="0" applyAlignment="0" applyProtection="0"/>
    <xf numFmtId="0" fontId="35" fillId="16" borderId="0" applyNumberFormat="0" applyBorder="0" applyAlignment="0" applyProtection="0"/>
    <xf numFmtId="0" fontId="34" fillId="16" borderId="0" applyNumberFormat="0" applyBorder="0" applyAlignment="0" applyProtection="0"/>
    <xf numFmtId="0" fontId="31" fillId="16" borderId="0" applyNumberFormat="0" applyBorder="0" applyAlignment="0" applyProtection="0"/>
    <xf numFmtId="0" fontId="35" fillId="16" borderId="0" applyNumberFormat="0" applyBorder="0" applyAlignment="0" applyProtection="0"/>
    <xf numFmtId="0" fontId="34" fillId="16" borderId="0" applyNumberFormat="0" applyBorder="0" applyAlignment="0" applyProtection="0"/>
    <xf numFmtId="0" fontId="31" fillId="16" borderId="0" applyNumberFormat="0" applyBorder="0" applyAlignment="0" applyProtection="0"/>
    <xf numFmtId="0" fontId="34"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53" borderId="0" applyNumberFormat="0" applyBorder="0" applyAlignment="0" applyProtection="0"/>
    <xf numFmtId="0" fontId="32" fillId="53" borderId="0" applyNumberFormat="0" applyBorder="0" applyAlignment="0" applyProtection="0"/>
    <xf numFmtId="0" fontId="33" fillId="20" borderId="0" applyNumberFormat="0" applyBorder="0" applyAlignment="0" applyProtection="0"/>
    <xf numFmtId="0" fontId="31" fillId="53" borderId="0" applyNumberFormat="0" applyBorder="0" applyAlignment="0" applyProtection="0"/>
    <xf numFmtId="0" fontId="33" fillId="20" borderId="0" applyNumberFormat="0" applyBorder="0" applyAlignment="0" applyProtection="0"/>
    <xf numFmtId="0" fontId="32" fillId="53" borderId="0" applyNumberFormat="0" applyBorder="0" applyAlignment="0" applyProtection="0"/>
    <xf numFmtId="0" fontId="31" fillId="53" borderId="0" applyNumberFormat="0" applyBorder="0" applyAlignment="0" applyProtection="0"/>
    <xf numFmtId="0" fontId="34" fillId="20" borderId="0" applyNumberFormat="0" applyBorder="0" applyAlignment="0" applyProtection="0"/>
    <xf numFmtId="0" fontId="35" fillId="20" borderId="0" applyNumberFormat="0" applyBorder="0" applyAlignment="0" applyProtection="0"/>
    <xf numFmtId="0" fontId="34" fillId="20" borderId="0" applyNumberFormat="0" applyBorder="0" applyAlignment="0" applyProtection="0"/>
    <xf numFmtId="0" fontId="31" fillId="20" borderId="0" applyNumberFormat="0" applyBorder="0" applyAlignment="0" applyProtection="0"/>
    <xf numFmtId="0" fontId="35" fillId="20" borderId="0" applyNumberFormat="0" applyBorder="0" applyAlignment="0" applyProtection="0"/>
    <xf numFmtId="0" fontId="34" fillId="20" borderId="0" applyNumberFormat="0" applyBorder="0" applyAlignment="0" applyProtection="0"/>
    <xf numFmtId="0" fontId="31" fillId="20" borderId="0" applyNumberFormat="0" applyBorder="0" applyAlignment="0" applyProtection="0"/>
    <xf numFmtId="0" fontId="34"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48" borderId="0" applyNumberFormat="0" applyBorder="0" applyAlignment="0" applyProtection="0"/>
    <xf numFmtId="0" fontId="32" fillId="48" borderId="0" applyNumberFormat="0" applyBorder="0" applyAlignment="0" applyProtection="0"/>
    <xf numFmtId="0" fontId="33" fillId="24" borderId="0" applyNumberFormat="0" applyBorder="0" applyAlignment="0" applyProtection="0"/>
    <xf numFmtId="0" fontId="31" fillId="48" borderId="0" applyNumberFormat="0" applyBorder="0" applyAlignment="0" applyProtection="0"/>
    <xf numFmtId="0" fontId="33" fillId="24" borderId="0" applyNumberFormat="0" applyBorder="0" applyAlignment="0" applyProtection="0"/>
    <xf numFmtId="0" fontId="32" fillId="48" borderId="0" applyNumberFormat="0" applyBorder="0" applyAlignment="0" applyProtection="0"/>
    <xf numFmtId="0" fontId="31" fillId="48" borderId="0" applyNumberFormat="0" applyBorder="0" applyAlignment="0" applyProtection="0"/>
    <xf numFmtId="0" fontId="34" fillId="24" borderId="0" applyNumberFormat="0" applyBorder="0" applyAlignment="0" applyProtection="0"/>
    <xf numFmtId="0" fontId="35" fillId="24" borderId="0" applyNumberFormat="0" applyBorder="0" applyAlignment="0" applyProtection="0"/>
    <xf numFmtId="0" fontId="34" fillId="24" borderId="0" applyNumberFormat="0" applyBorder="0" applyAlignment="0" applyProtection="0"/>
    <xf numFmtId="0" fontId="31" fillId="24" borderId="0" applyNumberFormat="0" applyBorder="0" applyAlignment="0" applyProtection="0"/>
    <xf numFmtId="0" fontId="35" fillId="24" borderId="0" applyNumberFormat="0" applyBorder="0" applyAlignment="0" applyProtection="0"/>
    <xf numFmtId="0" fontId="34" fillId="24" borderId="0" applyNumberFormat="0" applyBorder="0" applyAlignment="0" applyProtection="0"/>
    <xf numFmtId="0" fontId="31" fillId="24" borderId="0" applyNumberFormat="0" applyBorder="0" applyAlignment="0" applyProtection="0"/>
    <xf numFmtId="0" fontId="34"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5" fillId="28" borderId="0" applyNumberFormat="0" applyBorder="0" applyAlignment="0" applyProtection="0"/>
    <xf numFmtId="0" fontId="32" fillId="49" borderId="0" applyNumberFormat="0" applyBorder="0" applyAlignment="0" applyProtection="0"/>
    <xf numFmtId="0" fontId="33" fillId="28" borderId="0" applyNumberFormat="0" applyBorder="0" applyAlignment="0" applyProtection="0"/>
    <xf numFmtId="0" fontId="35" fillId="28" borderId="0" applyNumberFormat="0" applyBorder="0" applyAlignment="0" applyProtection="0"/>
    <xf numFmtId="0" fontId="33" fillId="28" borderId="0" applyNumberFormat="0" applyBorder="0" applyAlignment="0" applyProtection="0"/>
    <xf numFmtId="0" fontId="32" fillId="49" borderId="0" applyNumberFormat="0" applyBorder="0" applyAlignment="0" applyProtection="0"/>
    <xf numFmtId="0" fontId="35"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1"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1" fillId="28" borderId="0" applyNumberFormat="0" applyBorder="0" applyAlignment="0" applyProtection="0"/>
    <xf numFmtId="0" fontId="34"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54" borderId="0" applyNumberFormat="0" applyBorder="0" applyAlignment="0" applyProtection="0"/>
    <xf numFmtId="0" fontId="32" fillId="54" borderId="0" applyNumberFormat="0" applyBorder="0" applyAlignment="0" applyProtection="0"/>
    <xf numFmtId="0" fontId="33" fillId="32" borderId="0" applyNumberFormat="0" applyBorder="0" applyAlignment="0" applyProtection="0"/>
    <xf numFmtId="0" fontId="31" fillId="54" borderId="0" applyNumberFormat="0" applyBorder="0" applyAlignment="0" applyProtection="0"/>
    <xf numFmtId="0" fontId="33" fillId="32" borderId="0" applyNumberFormat="0" applyBorder="0" applyAlignment="0" applyProtection="0"/>
    <xf numFmtId="0" fontId="32" fillId="54" borderId="0" applyNumberFormat="0" applyBorder="0" applyAlignment="0" applyProtection="0"/>
    <xf numFmtId="0" fontId="31" fillId="54" borderId="0" applyNumberFormat="0" applyBorder="0" applyAlignment="0" applyProtection="0"/>
    <xf numFmtId="0" fontId="34" fillId="32" borderId="0" applyNumberFormat="0" applyBorder="0" applyAlignment="0" applyProtection="0"/>
    <xf numFmtId="0" fontId="35" fillId="32" borderId="0" applyNumberFormat="0" applyBorder="0" applyAlignment="0" applyProtection="0"/>
    <xf numFmtId="0" fontId="34" fillId="32" borderId="0" applyNumberFormat="0" applyBorder="0" applyAlignment="0" applyProtection="0"/>
    <xf numFmtId="0" fontId="31" fillId="32" borderId="0" applyNumberFormat="0" applyBorder="0" applyAlignment="0" applyProtection="0"/>
    <xf numFmtId="0" fontId="35" fillId="32" borderId="0" applyNumberFormat="0" applyBorder="0" applyAlignment="0" applyProtection="0"/>
    <xf numFmtId="0" fontId="34" fillId="32" borderId="0" applyNumberFormat="0" applyBorder="0" applyAlignment="0" applyProtection="0"/>
    <xf numFmtId="0" fontId="31" fillId="32" borderId="0" applyNumberFormat="0" applyBorder="0" applyAlignment="0" applyProtection="0"/>
    <xf numFmtId="0" fontId="34"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6" fillId="37" borderId="0" applyNumberFormat="0" applyBorder="0" applyAlignment="0" applyProtection="0"/>
    <xf numFmtId="0" fontId="37" fillId="37" borderId="0" applyNumberFormat="0" applyBorder="0" applyAlignment="0" applyProtection="0"/>
    <xf numFmtId="0" fontId="38" fillId="6" borderId="0" applyNumberFormat="0" applyBorder="0" applyAlignment="0" applyProtection="0"/>
    <xf numFmtId="0" fontId="36" fillId="37" borderId="0" applyNumberFormat="0" applyBorder="0" applyAlignment="0" applyProtection="0"/>
    <xf numFmtId="0" fontId="38" fillId="6" borderId="0" applyNumberFormat="0" applyBorder="0" applyAlignment="0" applyProtection="0"/>
    <xf numFmtId="0" fontId="37" fillId="37" borderId="0" applyNumberFormat="0" applyBorder="0" applyAlignment="0" applyProtection="0"/>
    <xf numFmtId="0" fontId="36" fillId="37" borderId="0" applyNumberFormat="0" applyBorder="0" applyAlignment="0" applyProtection="0"/>
    <xf numFmtId="0" fontId="39" fillId="6" borderId="0" applyNumberFormat="0" applyBorder="0" applyAlignment="0" applyProtection="0"/>
    <xf numFmtId="0" fontId="40" fillId="6" borderId="0" applyNumberFormat="0" applyBorder="0" applyAlignment="0" applyProtection="0"/>
    <xf numFmtId="0" fontId="39" fillId="6" borderId="0" applyNumberFormat="0" applyBorder="0" applyAlignment="0" applyProtection="0"/>
    <xf numFmtId="0" fontId="36" fillId="6" borderId="0" applyNumberFormat="0" applyBorder="0" applyAlignment="0" applyProtection="0"/>
    <xf numFmtId="0" fontId="40" fillId="6" borderId="0" applyNumberFormat="0" applyBorder="0" applyAlignment="0" applyProtection="0"/>
    <xf numFmtId="0" fontId="39" fillId="6" borderId="0" applyNumberFormat="0" applyBorder="0" applyAlignment="0" applyProtection="0"/>
    <xf numFmtId="0" fontId="36" fillId="6" borderId="0" applyNumberFormat="0" applyBorder="0" applyAlignment="0" applyProtection="0"/>
    <xf numFmtId="0" fontId="39"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168" fontId="27" fillId="0" borderId="0" applyNumberFormat="0" applyFont="0" applyFill="0" applyBorder="0" applyAlignment="0"/>
    <xf numFmtId="168" fontId="27" fillId="0" borderId="0" applyNumberFormat="0" applyFont="0" applyFill="0" applyBorder="0" applyAlignment="0">
      <alignment horizontal="center"/>
    </xf>
    <xf numFmtId="0" fontId="3" fillId="0" borderId="0"/>
    <xf numFmtId="0" fontId="3" fillId="0" borderId="0"/>
    <xf numFmtId="38" fontId="3" fillId="55" borderId="0" applyNumberFormat="0" applyFont="0" applyFill="0" applyBorder="0" applyAlignment="0">
      <alignment horizontal="right"/>
    </xf>
    <xf numFmtId="0" fontId="3" fillId="0" borderId="0"/>
    <xf numFmtId="0" fontId="3" fillId="0" borderId="0"/>
    <xf numFmtId="0" fontId="41" fillId="0" borderId="0" applyNumberFormat="0" applyFont="0" applyFill="0" applyBorder="0" applyAlignment="0">
      <alignment vertical="top"/>
    </xf>
    <xf numFmtId="0" fontId="42" fillId="56" borderId="0" applyNumberFormat="0" applyFont="0" applyFill="0" applyBorder="0" applyAlignment="0">
      <alignment horizontal="center" vertical="top"/>
    </xf>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0" fontId="3" fillId="0" borderId="0"/>
    <xf numFmtId="0" fontId="3" fillId="0" borderId="0"/>
    <xf numFmtId="0" fontId="41" fillId="0" borderId="0" applyNumberFormat="0" applyFont="0" applyFill="0" applyBorder="0" applyAlignment="0">
      <alignment wrapText="1"/>
    </xf>
    <xf numFmtId="0" fontId="6" fillId="0" borderId="0" applyNumberFormat="0" applyFont="0" applyFill="0" applyBorder="0" applyAlignment="0">
      <alignment horizontal="left" vertical="top" wrapText="1"/>
    </xf>
    <xf numFmtId="168" fontId="7" fillId="0" borderId="0" applyNumberFormat="0" applyFont="0" applyFill="0" applyBorder="0" applyAlignment="0"/>
    <xf numFmtId="0" fontId="3" fillId="0" borderId="0"/>
    <xf numFmtId="0" fontId="3" fillId="0" borderId="0"/>
    <xf numFmtId="0" fontId="43" fillId="0" borderId="0" applyNumberFormat="0" applyFont="0" applyFill="0" applyBorder="0" applyAlignment="0">
      <alignment vertical="top" wrapText="1"/>
    </xf>
    <xf numFmtId="0" fontId="9" fillId="0" borderId="0" applyNumberFormat="0" applyFont="0" applyFill="0" applyBorder="0" applyAlignment="0">
      <alignment horizontal="left" vertical="top" wrapText="1"/>
    </xf>
    <xf numFmtId="168" fontId="3" fillId="0" borderId="0" applyNumberFormat="0" applyFont="0" applyFill="0" applyBorder="0" applyAlignment="0"/>
    <xf numFmtId="168" fontId="3" fillId="0" borderId="0" applyNumberFormat="0" applyFont="0" applyFill="0" applyBorder="0" applyAlignment="0"/>
    <xf numFmtId="0" fontId="3" fillId="0" borderId="0"/>
    <xf numFmtId="0" fontId="3" fillId="0" borderId="0"/>
    <xf numFmtId="0" fontId="44" fillId="0" borderId="0" applyNumberFormat="0" applyFont="0" applyFill="0" applyBorder="0" applyAlignment="0">
      <alignment vertical="center" wrapText="1"/>
    </xf>
    <xf numFmtId="0" fontId="11" fillId="0" borderId="0" applyNumberFormat="0" applyFont="0" applyFill="0" applyBorder="0" applyAlignment="0">
      <alignment horizontal="left" vertical="center" wrapText="1"/>
    </xf>
    <xf numFmtId="168" fontId="45" fillId="0" borderId="0" applyNumberFormat="0" applyFont="0" applyFill="0" applyBorder="0" applyAlignment="0"/>
    <xf numFmtId="0" fontId="3" fillId="0" borderId="0"/>
    <xf numFmtId="0" fontId="3" fillId="0" borderId="0"/>
    <xf numFmtId="0" fontId="46" fillId="0" borderId="0" applyNumberFormat="0" applyFont="0" applyFill="0" applyBorder="0" applyAlignment="0">
      <alignment horizontal="center" vertical="center" wrapText="1"/>
    </xf>
    <xf numFmtId="0" fontId="3" fillId="0" borderId="0" applyNumberFormat="0" applyFont="0" applyFill="0" applyBorder="0" applyAlignment="0">
      <alignment horizontal="center" vertical="center" wrapText="1"/>
    </xf>
    <xf numFmtId="168" fontId="47" fillId="0" borderId="0" applyNumberFormat="0" applyFont="0" applyFill="0" applyBorder="0" applyAlignment="0"/>
    <xf numFmtId="0" fontId="3" fillId="0" borderId="0"/>
    <xf numFmtId="0" fontId="3" fillId="0" borderId="0"/>
    <xf numFmtId="0" fontId="48" fillId="0" borderId="0" applyNumberFormat="0" applyFont="0" applyFill="0" applyBorder="0" applyAlignment="0">
      <alignment horizontal="center" vertical="center" wrapText="1"/>
    </xf>
    <xf numFmtId="0" fontId="49" fillId="0" borderId="0" applyNumberFormat="0" applyFont="0" applyFill="0" applyBorder="0" applyAlignment="0">
      <alignment horizontal="center" vertical="center" wrapText="1"/>
    </xf>
    <xf numFmtId="168" fontId="50" fillId="0" borderId="0" applyNumberFormat="0" applyFont="0" applyFill="0" applyBorder="0" applyAlignment="0"/>
    <xf numFmtId="0" fontId="51" fillId="0" borderId="0" applyNumberFormat="0" applyFont="0" applyFill="0" applyBorder="0" applyAlignment="0">
      <alignment horizontal="center"/>
    </xf>
    <xf numFmtId="0" fontId="52" fillId="0" borderId="0" applyNumberFormat="0" applyFont="0" applyFill="0" applyBorder="0" applyAlignment="0">
      <alignment horizontal="center" wrapText="1"/>
    </xf>
    <xf numFmtId="0" fontId="47" fillId="0" borderId="0" applyNumberFormat="0" applyFont="0" applyFill="0" applyBorder="0" applyAlignment="0">
      <alignment horizontal="center" wrapText="1"/>
    </xf>
    <xf numFmtId="0" fontId="53" fillId="41" borderId="20" applyNumberFormat="0" applyAlignment="0" applyProtection="0"/>
    <xf numFmtId="0" fontId="54" fillId="41" borderId="27" applyNumberFormat="0" applyAlignment="0" applyProtection="0"/>
    <xf numFmtId="0" fontId="55" fillId="9" borderId="20"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5" fillId="9" borderId="20"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3" fillId="41" borderId="20" applyNumberFormat="0" applyAlignment="0" applyProtection="0"/>
    <xf numFmtId="0" fontId="56" fillId="9" borderId="20"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7" fillId="9" borderId="20" applyNumberFormat="0" applyAlignment="0" applyProtection="0"/>
    <xf numFmtId="0" fontId="56" fillId="9" borderId="20" applyNumberFormat="0" applyAlignment="0" applyProtection="0"/>
    <xf numFmtId="0" fontId="58" fillId="9" borderId="20" applyNumberFormat="0" applyAlignment="0" applyProtection="0"/>
    <xf numFmtId="0" fontId="57" fillId="9" borderId="20" applyNumberFormat="0" applyAlignment="0" applyProtection="0"/>
    <xf numFmtId="0" fontId="56" fillId="9" borderId="20" applyNumberFormat="0" applyAlignment="0" applyProtection="0"/>
    <xf numFmtId="0" fontId="58" fillId="9" borderId="20" applyNumberFormat="0" applyAlignment="0" applyProtection="0"/>
    <xf numFmtId="0" fontId="56" fillId="9" borderId="20" applyNumberFormat="0" applyAlignment="0" applyProtection="0"/>
    <xf numFmtId="0" fontId="58" fillId="9" borderId="20" applyNumberFormat="0" applyAlignment="0" applyProtection="0"/>
    <xf numFmtId="0" fontId="58" fillId="9" borderId="20" applyNumberFormat="0" applyAlignment="0" applyProtection="0"/>
    <xf numFmtId="0" fontId="58" fillId="9" borderId="20" applyNumberFormat="0" applyAlignment="0" applyProtection="0"/>
    <xf numFmtId="0" fontId="3" fillId="57" borderId="0" applyNumberFormat="0" applyFont="0" applyFill="0" applyBorder="0" applyAlignment="0" applyProtection="0"/>
    <xf numFmtId="0" fontId="59" fillId="10" borderId="23" applyNumberFormat="0" applyAlignment="0" applyProtection="0"/>
    <xf numFmtId="0" fontId="60" fillId="58" borderId="28" applyNumberFormat="0" applyAlignment="0" applyProtection="0"/>
    <xf numFmtId="0" fontId="61" fillId="10" borderId="23" applyNumberFormat="0" applyAlignment="0" applyProtection="0"/>
    <xf numFmtId="0" fontId="59" fillId="10" borderId="23" applyNumberFormat="0" applyAlignment="0" applyProtection="0"/>
    <xf numFmtId="0" fontId="61" fillId="10" borderId="23" applyNumberFormat="0" applyAlignment="0" applyProtection="0"/>
    <xf numFmtId="0" fontId="60" fillId="58" borderId="28" applyNumberFormat="0" applyAlignment="0" applyProtection="0"/>
    <xf numFmtId="0" fontId="59" fillId="10" borderId="23" applyNumberFormat="0" applyAlignment="0" applyProtection="0"/>
    <xf numFmtId="0" fontId="62" fillId="10" borderId="23" applyNumberFormat="0" applyAlignment="0" applyProtection="0"/>
    <xf numFmtId="0" fontId="62" fillId="10" borderId="23" applyNumberFormat="0" applyAlignment="0" applyProtection="0"/>
    <xf numFmtId="0" fontId="63" fillId="10" borderId="23" applyNumberFormat="0" applyAlignment="0" applyProtection="0"/>
    <xf numFmtId="0" fontId="62" fillId="10" borderId="23" applyNumberFormat="0" applyAlignment="0" applyProtection="0"/>
    <xf numFmtId="0" fontId="62" fillId="10" borderId="23" applyNumberFormat="0" applyAlignment="0" applyProtection="0"/>
    <xf numFmtId="0" fontId="63" fillId="10" borderId="23" applyNumberFormat="0" applyAlignment="0" applyProtection="0"/>
    <xf numFmtId="0" fontId="62" fillId="10" borderId="23" applyNumberFormat="0" applyAlignment="0" applyProtection="0"/>
    <xf numFmtId="0" fontId="63" fillId="10" borderId="23" applyNumberFormat="0" applyAlignment="0" applyProtection="0"/>
    <xf numFmtId="0" fontId="63" fillId="10" borderId="23" applyNumberFormat="0" applyAlignment="0" applyProtection="0"/>
    <xf numFmtId="0" fontId="63" fillId="10" borderId="23" applyNumberFormat="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9" fontId="64" fillId="0" borderId="0" applyFont="0" applyFill="0" applyBorder="0" applyAlignment="0" applyProtection="0"/>
    <xf numFmtId="43" fontId="2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65"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9" fontId="64" fillId="0" borderId="0" applyFont="0" applyFill="0" applyBorder="0" applyAlignment="0" applyProtection="0"/>
    <xf numFmtId="170" fontId="66" fillId="0" borderId="0"/>
    <xf numFmtId="43" fontId="2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6" fillId="0" borderId="0" applyFont="0" applyFill="0" applyBorder="0" applyAlignment="0" applyProtection="0"/>
    <xf numFmtId="170" fontId="66" fillId="0" borderId="0"/>
    <xf numFmtId="43" fontId="6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9" fontId="65" fillId="0" borderId="0" applyFont="0" applyFill="0" applyBorder="0" applyAlignment="0" applyProtection="0"/>
    <xf numFmtId="43" fontId="2"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43" fontId="2" fillId="0" borderId="0" applyFont="0" applyFill="0" applyBorder="0" applyAlignment="0" applyProtection="0"/>
    <xf numFmtId="169" fontId="3" fillId="0" borderId="0" applyFont="0" applyFill="0" applyBorder="0" applyAlignment="0" applyProtection="0"/>
    <xf numFmtId="43" fontId="29" fillId="0" borderId="0" applyFont="0" applyFill="0" applyBorder="0" applyAlignment="0" applyProtection="0"/>
    <xf numFmtId="170" fontId="66" fillId="0" borderId="0"/>
    <xf numFmtId="43" fontId="3" fillId="0" borderId="0" applyFont="0" applyFill="0" applyBorder="0" applyAlignment="0" applyProtection="0"/>
    <xf numFmtId="43" fontId="28"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43" fontId="2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9"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6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4" fontId="67" fillId="0" borderId="0" applyFont="0" applyFill="0" applyBorder="0" applyAlignment="0" applyProtection="0"/>
    <xf numFmtId="44" fontId="2" fillId="0" borderId="0" applyFont="0" applyFill="0" applyBorder="0" applyAlignment="0" applyProtection="0"/>
    <xf numFmtId="171" fontId="68" fillId="57" borderId="29">
      <alignment horizontal="center"/>
    </xf>
    <xf numFmtId="0" fontId="29" fillId="59" borderId="0"/>
    <xf numFmtId="0" fontId="29" fillId="60" borderId="0"/>
    <xf numFmtId="0" fontId="32" fillId="61" borderId="0"/>
    <xf numFmtId="0" fontId="32" fillId="62" borderId="0"/>
    <xf numFmtId="0" fontId="32" fillId="63" borderId="0"/>
    <xf numFmtId="0" fontId="29" fillId="0" borderId="0"/>
    <xf numFmtId="0" fontId="69"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69"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38" borderId="0" applyNumberFormat="0" applyBorder="0" applyAlignment="0" applyProtection="0"/>
    <xf numFmtId="0" fontId="75" fillId="38" borderId="0" applyNumberFormat="0" applyBorder="0" applyAlignment="0" applyProtection="0"/>
    <xf numFmtId="0" fontId="76" fillId="5" borderId="0" applyNumberFormat="0" applyBorder="0" applyAlignment="0" applyProtection="0"/>
    <xf numFmtId="0" fontId="74" fillId="38" borderId="0" applyNumberFormat="0" applyBorder="0" applyAlignment="0" applyProtection="0"/>
    <xf numFmtId="0" fontId="76" fillId="5" borderId="0" applyNumberFormat="0" applyBorder="0" applyAlignment="0" applyProtection="0"/>
    <xf numFmtId="0" fontId="75" fillId="38" borderId="0" applyNumberFormat="0" applyBorder="0" applyAlignment="0" applyProtection="0"/>
    <xf numFmtId="0" fontId="74" fillId="38" borderId="0" applyNumberFormat="0" applyBorder="0" applyAlignment="0" applyProtection="0"/>
    <xf numFmtId="0" fontId="77" fillId="5" borderId="0" applyNumberFormat="0" applyBorder="0" applyAlignment="0" applyProtection="0"/>
    <xf numFmtId="0" fontId="78" fillId="5" borderId="0" applyNumberFormat="0" applyBorder="0" applyAlignment="0" applyProtection="0"/>
    <xf numFmtId="0" fontId="77" fillId="5" borderId="0" applyNumberFormat="0" applyBorder="0" applyAlignment="0" applyProtection="0"/>
    <xf numFmtId="0" fontId="74" fillId="5" borderId="0" applyNumberFormat="0" applyBorder="0" applyAlignment="0" applyProtection="0"/>
    <xf numFmtId="0" fontId="78" fillId="5" borderId="0" applyNumberFormat="0" applyBorder="0" applyAlignment="0" applyProtection="0"/>
    <xf numFmtId="0" fontId="77" fillId="5" borderId="0" applyNumberFormat="0" applyBorder="0" applyAlignment="0" applyProtection="0"/>
    <xf numFmtId="0" fontId="74" fillId="5" borderId="0" applyNumberFormat="0" applyBorder="0" applyAlignment="0" applyProtection="0"/>
    <xf numFmtId="0" fontId="77"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79" fillId="0" borderId="30" applyNumberFormat="0" applyFill="0" applyAlignment="0" applyProtection="0"/>
    <xf numFmtId="0" fontId="80" fillId="0" borderId="30" applyNumberFormat="0" applyFill="0" applyAlignment="0" applyProtection="0"/>
    <xf numFmtId="0" fontId="81" fillId="0" borderId="17" applyNumberFormat="0" applyFill="0" applyAlignment="0" applyProtection="0"/>
    <xf numFmtId="0" fontId="79" fillId="0" borderId="30" applyNumberFormat="0" applyFill="0" applyAlignment="0" applyProtection="0"/>
    <xf numFmtId="0" fontId="81" fillId="0" borderId="17" applyNumberFormat="0" applyFill="0" applyAlignment="0" applyProtection="0"/>
    <xf numFmtId="0" fontId="80" fillId="0" borderId="30" applyNumberFormat="0" applyFill="0" applyAlignment="0" applyProtection="0"/>
    <xf numFmtId="0" fontId="79" fillId="0" borderId="30" applyNumberFormat="0" applyFill="0" applyAlignment="0" applyProtection="0"/>
    <xf numFmtId="0" fontId="82" fillId="0" borderId="17" applyNumberFormat="0" applyFill="0" applyAlignment="0" applyProtection="0"/>
    <xf numFmtId="0" fontId="81" fillId="0" borderId="17" applyNumberFormat="0" applyFill="0" applyAlignment="0" applyProtection="0"/>
    <xf numFmtId="0" fontId="20" fillId="0" borderId="17" applyNumberFormat="0" applyFill="0" applyAlignment="0" applyProtection="0"/>
    <xf numFmtId="0" fontId="82" fillId="0" borderId="17" applyNumberFormat="0" applyFill="0" applyAlignment="0" applyProtection="0"/>
    <xf numFmtId="0" fontId="81" fillId="0" borderId="17" applyNumberFormat="0" applyFill="0" applyAlignment="0" applyProtection="0"/>
    <xf numFmtId="0" fontId="20" fillId="0" borderId="17" applyNumberFormat="0" applyFill="0" applyAlignment="0" applyProtection="0"/>
    <xf numFmtId="0" fontId="81" fillId="0" borderId="17" applyNumberFormat="0" applyFill="0" applyAlignment="0" applyProtection="0"/>
    <xf numFmtId="0" fontId="20" fillId="0" borderId="17" applyNumberFormat="0" applyFill="0" applyAlignment="0" applyProtection="0"/>
    <xf numFmtId="0" fontId="20" fillId="0" borderId="17" applyNumberFormat="0" applyFill="0" applyAlignment="0" applyProtection="0"/>
    <xf numFmtId="0" fontId="83" fillId="0" borderId="31" applyNumberFormat="0" applyFill="0" applyAlignment="0" applyProtection="0"/>
    <xf numFmtId="0" fontId="84" fillId="0" borderId="31" applyNumberFormat="0" applyFill="0" applyAlignment="0" applyProtection="0"/>
    <xf numFmtId="0" fontId="85" fillId="0" borderId="18" applyNumberFormat="0" applyFill="0" applyAlignment="0" applyProtection="0"/>
    <xf numFmtId="0" fontId="83" fillId="0" borderId="31" applyNumberFormat="0" applyFill="0" applyAlignment="0" applyProtection="0"/>
    <xf numFmtId="0" fontId="85" fillId="0" borderId="18" applyNumberFormat="0" applyFill="0" applyAlignment="0" applyProtection="0"/>
    <xf numFmtId="0" fontId="84" fillId="0" borderId="31" applyNumberFormat="0" applyFill="0" applyAlignment="0" applyProtection="0"/>
    <xf numFmtId="0" fontId="83" fillId="0" borderId="31" applyNumberFormat="0" applyFill="0" applyAlignment="0" applyProtection="0"/>
    <xf numFmtId="0" fontId="86" fillId="0" borderId="18" applyNumberFormat="0" applyFill="0" applyAlignment="0" applyProtection="0"/>
    <xf numFmtId="0" fontId="85" fillId="0" borderId="18" applyNumberFormat="0" applyFill="0" applyAlignment="0" applyProtection="0"/>
    <xf numFmtId="0" fontId="21" fillId="0" borderId="18" applyNumberFormat="0" applyFill="0" applyAlignment="0" applyProtection="0"/>
    <xf numFmtId="0" fontId="86" fillId="0" borderId="18" applyNumberFormat="0" applyFill="0" applyAlignment="0" applyProtection="0"/>
    <xf numFmtId="0" fontId="85" fillId="0" borderId="18" applyNumberFormat="0" applyFill="0" applyAlignment="0" applyProtection="0"/>
    <xf numFmtId="0" fontId="21" fillId="0" borderId="18" applyNumberFormat="0" applyFill="0" applyAlignment="0" applyProtection="0"/>
    <xf numFmtId="0" fontId="85"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87" fillId="0" borderId="32" applyNumberFormat="0" applyFill="0" applyAlignment="0" applyProtection="0"/>
    <xf numFmtId="0" fontId="88" fillId="0" borderId="32" applyNumberFormat="0" applyFill="0" applyAlignment="0" applyProtection="0"/>
    <xf numFmtId="0" fontId="89" fillId="0" borderId="19" applyNumberFormat="0" applyFill="0" applyAlignment="0" applyProtection="0"/>
    <xf numFmtId="0" fontId="87" fillId="0" borderId="32" applyNumberFormat="0" applyFill="0" applyAlignment="0" applyProtection="0"/>
    <xf numFmtId="0" fontId="89" fillId="0" borderId="19" applyNumberFormat="0" applyFill="0" applyAlignment="0" applyProtection="0"/>
    <xf numFmtId="0" fontId="88" fillId="0" borderId="32" applyNumberFormat="0" applyFill="0" applyAlignment="0" applyProtection="0"/>
    <xf numFmtId="0" fontId="87" fillId="0" borderId="32" applyNumberFormat="0" applyFill="0" applyAlignment="0" applyProtection="0"/>
    <xf numFmtId="0" fontId="90" fillId="0" borderId="19" applyNumberFormat="0" applyFill="0" applyAlignment="0" applyProtection="0"/>
    <xf numFmtId="0" fontId="89" fillId="0" borderId="19" applyNumberFormat="0" applyFill="0" applyAlignment="0" applyProtection="0"/>
    <xf numFmtId="0" fontId="22" fillId="0" borderId="19" applyNumberFormat="0" applyFill="0" applyAlignment="0" applyProtection="0"/>
    <xf numFmtId="0" fontId="90" fillId="0" borderId="19" applyNumberFormat="0" applyFill="0" applyAlignment="0" applyProtection="0"/>
    <xf numFmtId="0" fontId="89" fillId="0" borderId="19" applyNumberFormat="0" applyFill="0" applyAlignment="0" applyProtection="0"/>
    <xf numFmtId="0" fontId="22" fillId="0" borderId="19" applyNumberFormat="0" applyFill="0" applyAlignment="0" applyProtection="0"/>
    <xf numFmtId="0" fontId="89"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89" fillId="0" borderId="0" applyNumberFormat="0" applyFill="0" applyBorder="0" applyAlignment="0" applyProtection="0"/>
    <xf numFmtId="0" fontId="87" fillId="0" borderId="0" applyNumberFormat="0" applyFill="0" applyBorder="0" applyAlignment="0" applyProtection="0"/>
    <xf numFmtId="0" fontId="89" fillId="0" borderId="0" applyNumberFormat="0" applyFill="0" applyBorder="0" applyAlignment="0" applyProtection="0"/>
    <xf numFmtId="0" fontId="88" fillId="0" borderId="0" applyNumberFormat="0" applyFill="0" applyBorder="0" applyAlignment="0" applyProtection="0"/>
    <xf numFmtId="0" fontId="87"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22"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22" fillId="0" borderId="0" applyNumberFormat="0" applyFill="0" applyBorder="0" applyAlignment="0" applyProtection="0"/>
    <xf numFmtId="0" fontId="89"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91" fillId="0" borderId="0" applyNumberFormat="0" applyFill="0" applyBorder="0" applyAlignment="0" applyProtection="0"/>
    <xf numFmtId="0" fontId="92" fillId="41" borderId="20" applyNumberFormat="0" applyAlignment="0" applyProtection="0"/>
    <xf numFmtId="0" fontId="93" fillId="42" borderId="27" applyNumberFormat="0" applyAlignment="0" applyProtection="0"/>
    <xf numFmtId="0" fontId="94" fillId="8" borderId="20"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4" fillId="8" borderId="20"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2" fillId="41" borderId="20" applyNumberFormat="0" applyAlignment="0" applyProtection="0"/>
    <xf numFmtId="0" fontId="95" fillId="8" borderId="20"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6" fillId="8" borderId="20" applyNumberFormat="0" applyAlignment="0" applyProtection="0"/>
    <xf numFmtId="0" fontId="95" fillId="8" borderId="20" applyNumberFormat="0" applyAlignment="0" applyProtection="0"/>
    <xf numFmtId="0" fontId="92" fillId="8" borderId="20" applyNumberFormat="0" applyAlignment="0" applyProtection="0"/>
    <xf numFmtId="0" fontId="96" fillId="8" borderId="20" applyNumberFormat="0" applyAlignment="0" applyProtection="0"/>
    <xf numFmtId="0" fontId="95" fillId="8" borderId="20" applyNumberFormat="0" applyAlignment="0" applyProtection="0"/>
    <xf numFmtId="0" fontId="92" fillId="8" borderId="20" applyNumberFormat="0" applyAlignment="0" applyProtection="0"/>
    <xf numFmtId="0" fontId="95" fillId="8" borderId="20" applyNumberFormat="0" applyAlignment="0" applyProtection="0"/>
    <xf numFmtId="0" fontId="92" fillId="8" borderId="20" applyNumberFormat="0" applyAlignment="0" applyProtection="0"/>
    <xf numFmtId="0" fontId="92" fillId="8" borderId="20" applyNumberFormat="0" applyAlignment="0" applyProtection="0"/>
    <xf numFmtId="0" fontId="92" fillId="8" borderId="20" applyNumberFormat="0" applyAlignment="0" applyProtection="0"/>
    <xf numFmtId="0" fontId="97" fillId="0" borderId="33" applyNumberFormat="0" applyFill="0" applyAlignment="0" applyProtection="0"/>
    <xf numFmtId="0" fontId="98" fillId="0" borderId="33" applyNumberFormat="0" applyFill="0" applyAlignment="0" applyProtection="0"/>
    <xf numFmtId="0" fontId="99" fillId="0" borderId="22" applyNumberFormat="0" applyFill="0" applyAlignment="0" applyProtection="0"/>
    <xf numFmtId="0" fontId="97" fillId="0" borderId="33" applyNumberFormat="0" applyFill="0" applyAlignment="0" applyProtection="0"/>
    <xf numFmtId="0" fontId="99" fillId="0" borderId="22" applyNumberFormat="0" applyFill="0" applyAlignment="0" applyProtection="0"/>
    <xf numFmtId="0" fontId="98" fillId="0" borderId="33" applyNumberFormat="0" applyFill="0" applyAlignment="0" applyProtection="0"/>
    <xf numFmtId="0" fontId="97" fillId="0" borderId="33" applyNumberFormat="0" applyFill="0" applyAlignment="0" applyProtection="0"/>
    <xf numFmtId="0" fontId="100" fillId="0" borderId="22" applyNumberFormat="0" applyFill="0" applyAlignment="0" applyProtection="0"/>
    <xf numFmtId="0" fontId="101" fillId="0" borderId="22" applyNumberFormat="0" applyFill="0" applyAlignment="0" applyProtection="0"/>
    <xf numFmtId="0" fontId="100" fillId="0" borderId="22" applyNumberFormat="0" applyFill="0" applyAlignment="0" applyProtection="0"/>
    <xf numFmtId="0" fontId="102" fillId="0" borderId="22" applyNumberFormat="0" applyFill="0" applyAlignment="0" applyProtection="0"/>
    <xf numFmtId="0" fontId="101" fillId="0" borderId="22" applyNumberFormat="0" applyFill="0" applyAlignment="0" applyProtection="0"/>
    <xf numFmtId="0" fontId="100" fillId="0" borderId="22" applyNumberFormat="0" applyFill="0" applyAlignment="0" applyProtection="0"/>
    <xf numFmtId="0" fontId="102" fillId="0" borderId="22" applyNumberFormat="0" applyFill="0" applyAlignment="0" applyProtection="0"/>
    <xf numFmtId="0" fontId="100" fillId="0" borderId="22" applyNumberFormat="0" applyFill="0" applyAlignment="0" applyProtection="0"/>
    <xf numFmtId="0" fontId="102" fillId="0" borderId="22" applyNumberFormat="0" applyFill="0" applyAlignment="0" applyProtection="0"/>
    <xf numFmtId="0" fontId="102" fillId="0" borderId="22" applyNumberFormat="0" applyFill="0" applyAlignment="0" applyProtection="0"/>
    <xf numFmtId="0" fontId="102" fillId="0" borderId="22" applyNumberFormat="0" applyFill="0" applyAlignment="0" applyProtection="0"/>
    <xf numFmtId="0" fontId="103" fillId="7" borderId="0" applyNumberFormat="0" applyBorder="0" applyAlignment="0" applyProtection="0"/>
    <xf numFmtId="0" fontId="104" fillId="64" borderId="0" applyNumberFormat="0" applyBorder="0" applyAlignment="0" applyProtection="0"/>
    <xf numFmtId="0" fontId="105" fillId="7" borderId="0" applyNumberFormat="0" applyBorder="0" applyAlignment="0" applyProtection="0"/>
    <xf numFmtId="0" fontId="103" fillId="7" borderId="0" applyNumberFormat="0" applyBorder="0" applyAlignment="0" applyProtection="0"/>
    <xf numFmtId="0" fontId="105" fillId="7" borderId="0" applyNumberFormat="0" applyBorder="0" applyAlignment="0" applyProtection="0"/>
    <xf numFmtId="0" fontId="104" fillId="64" borderId="0" applyNumberFormat="0" applyBorder="0" applyAlignment="0" applyProtection="0"/>
    <xf numFmtId="0" fontId="103" fillId="7" borderId="0" applyNumberFormat="0" applyBorder="0" applyAlignment="0" applyProtection="0"/>
    <xf numFmtId="0" fontId="106" fillId="7" borderId="0" applyNumberFormat="0" applyBorder="0" applyAlignment="0" applyProtection="0"/>
    <xf numFmtId="0" fontId="107" fillId="7" borderId="0" applyNumberFormat="0" applyBorder="0" applyAlignment="0" applyProtection="0"/>
    <xf numFmtId="0" fontId="106" fillId="7" borderId="0" applyNumberFormat="0" applyBorder="0" applyAlignment="0" applyProtection="0"/>
    <xf numFmtId="0" fontId="108" fillId="7" borderId="0" applyNumberFormat="0" applyBorder="0" applyAlignment="0" applyProtection="0"/>
    <xf numFmtId="0" fontId="107" fillId="7" borderId="0" applyNumberFormat="0" applyBorder="0" applyAlignment="0" applyProtection="0"/>
    <xf numFmtId="0" fontId="106" fillId="7" borderId="0" applyNumberFormat="0" applyBorder="0" applyAlignment="0" applyProtection="0"/>
    <xf numFmtId="0" fontId="108" fillId="7" borderId="0" applyNumberFormat="0" applyBorder="0" applyAlignment="0" applyProtection="0"/>
    <xf numFmtId="0" fontId="106" fillId="7" borderId="0" applyNumberFormat="0" applyBorder="0" applyAlignment="0" applyProtection="0"/>
    <xf numFmtId="0" fontId="108" fillId="7" borderId="0" applyNumberFormat="0" applyBorder="0" applyAlignment="0" applyProtection="0"/>
    <xf numFmtId="0" fontId="108" fillId="7" borderId="0" applyNumberFormat="0" applyBorder="0" applyAlignment="0" applyProtection="0"/>
    <xf numFmtId="0" fontId="108" fillId="7" borderId="0" applyNumberFormat="0" applyBorder="0" applyAlignment="0" applyProtection="0"/>
    <xf numFmtId="0" fontId="109" fillId="0" borderId="0"/>
    <xf numFmtId="0" fontId="26" fillId="0" borderId="0"/>
    <xf numFmtId="0" fontId="3" fillId="0" borderId="0"/>
    <xf numFmtId="0" fontId="2" fillId="0" borderId="0"/>
    <xf numFmtId="0" fontId="23" fillId="0" borderId="0"/>
    <xf numFmtId="0" fontId="23" fillId="0" borderId="0"/>
    <xf numFmtId="0" fontId="23" fillId="0" borderId="0"/>
    <xf numFmtId="0" fontId="23" fillId="0" borderId="0"/>
    <xf numFmtId="0" fontId="28"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6" fillId="0" borderId="0"/>
    <xf numFmtId="0" fontId="66" fillId="0" borderId="0"/>
    <xf numFmtId="0" fontId="11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1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1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1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1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1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0"/>
    <xf numFmtId="0" fontId="29" fillId="0" borderId="0"/>
    <xf numFmtId="0" fontId="110" fillId="0" borderId="0"/>
    <xf numFmtId="0" fontId="3" fillId="0" borderId="0"/>
    <xf numFmtId="0" fontId="64" fillId="0" borderId="0"/>
    <xf numFmtId="0" fontId="110" fillId="0" borderId="0"/>
    <xf numFmtId="0" fontId="29" fillId="0" borderId="0"/>
    <xf numFmtId="0" fontId="29" fillId="0" borderId="0"/>
    <xf numFmtId="0" fontId="29" fillId="0" borderId="0"/>
    <xf numFmtId="0" fontId="29" fillId="0" borderId="0"/>
    <xf numFmtId="0" fontId="29" fillId="0" borderId="0"/>
    <xf numFmtId="0" fontId="6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23" fillId="0" borderId="0"/>
    <xf numFmtId="0" fontId="64" fillId="0" borderId="0"/>
    <xf numFmtId="0" fontId="3" fillId="0" borderId="0"/>
    <xf numFmtId="167" fontId="64"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67"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1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6" fillId="0" borderId="0"/>
    <xf numFmtId="167" fontId="3" fillId="0" borderId="0"/>
    <xf numFmtId="0" fontId="28" fillId="0" borderId="0"/>
    <xf numFmtId="0" fontId="28" fillId="0" borderId="0"/>
    <xf numFmtId="0" fontId="28" fillId="0" borderId="0"/>
    <xf numFmtId="0" fontId="28"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66" fillId="0" borderId="0"/>
    <xf numFmtId="0" fontId="6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167" fontId="3" fillId="0" borderId="0"/>
    <xf numFmtId="0" fontId="3" fillId="0" borderId="0"/>
    <xf numFmtId="0" fontId="110" fillId="0" borderId="0"/>
    <xf numFmtId="0" fontId="64" fillId="0" borderId="0"/>
    <xf numFmtId="0" fontId="3" fillId="0" borderId="0"/>
    <xf numFmtId="0" fontId="66" fillId="0" borderId="0"/>
    <xf numFmtId="0" fontId="29" fillId="0" borderId="0"/>
    <xf numFmtId="0" fontId="110" fillId="0" borderId="0"/>
    <xf numFmtId="0" fontId="3" fillId="0" borderId="0"/>
    <xf numFmtId="167" fontId="3" fillId="0" borderId="0"/>
    <xf numFmtId="167" fontId="3" fillId="0" borderId="0"/>
    <xf numFmtId="0" fontId="2" fillId="0" borderId="0"/>
    <xf numFmtId="0" fontId="2"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6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6" fillId="0" borderId="0"/>
    <xf numFmtId="0" fontId="66" fillId="0" borderId="0"/>
    <xf numFmtId="0" fontId="2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 fillId="0" borderId="0"/>
    <xf numFmtId="0" fontId="110" fillId="0" borderId="0"/>
    <xf numFmtId="0" fontId="28" fillId="0" borderId="0"/>
    <xf numFmtId="0" fontId="28" fillId="0" borderId="0"/>
    <xf numFmtId="167" fontId="65" fillId="0" borderId="0"/>
    <xf numFmtId="0" fontId="2" fillId="0" borderId="0"/>
    <xf numFmtId="0" fontId="2" fillId="0" borderId="0"/>
    <xf numFmtId="0" fontId="110" fillId="0" borderId="0"/>
    <xf numFmtId="0" fontId="11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6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3" fillId="0" borderId="0"/>
    <xf numFmtId="0" fontId="2" fillId="0" borderId="0"/>
    <xf numFmtId="0" fontId="66" fillId="0" borderId="0"/>
    <xf numFmtId="0" fontId="66"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1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10" fillId="0" borderId="0"/>
    <xf numFmtId="0" fontId="28" fillId="0" borderId="0"/>
    <xf numFmtId="0" fontId="28" fillId="0" borderId="0"/>
    <xf numFmtId="0" fontId="28" fillId="0" borderId="0"/>
    <xf numFmtId="0" fontId="28" fillId="0" borderId="0"/>
    <xf numFmtId="0" fontId="28" fillId="0" borderId="0"/>
    <xf numFmtId="0" fontId="66" fillId="0" borderId="0"/>
    <xf numFmtId="0" fontId="66"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 fillId="0" borderId="0"/>
    <xf numFmtId="0" fontId="3" fillId="0" borderId="0"/>
    <xf numFmtId="0" fontId="3" fillId="0" borderId="0"/>
    <xf numFmtId="0" fontId="28" fillId="0" borderId="0"/>
    <xf numFmtId="0" fontId="28"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1" fillId="0" borderId="0"/>
    <xf numFmtId="0" fontId="2" fillId="0" borderId="0"/>
    <xf numFmtId="0" fontId="2" fillId="0" borderId="0"/>
    <xf numFmtId="0" fontId="2" fillId="0" borderId="0"/>
    <xf numFmtId="0" fontId="110" fillId="0" borderId="0"/>
    <xf numFmtId="0" fontId="3" fillId="0" borderId="0"/>
    <xf numFmtId="0" fontId="28" fillId="0" borderId="0"/>
    <xf numFmtId="0" fontId="28" fillId="0" borderId="0"/>
    <xf numFmtId="0" fontId="2" fillId="0" borderId="0"/>
    <xf numFmtId="0" fontId="2" fillId="0" borderId="0"/>
    <xf numFmtId="0" fontId="3" fillId="0" borderId="0"/>
    <xf numFmtId="0" fontId="28" fillId="0" borderId="0"/>
    <xf numFmtId="0" fontId="28"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 fillId="0" borderId="0"/>
    <xf numFmtId="0" fontId="28" fillId="0" borderId="0"/>
    <xf numFmtId="0" fontId="28"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1" fillId="0" borderId="0"/>
    <xf numFmtId="0" fontId="23" fillId="0" borderId="0"/>
    <xf numFmtId="0" fontId="110" fillId="0" borderId="0"/>
    <xf numFmtId="0" fontId="110" fillId="0" borderId="0"/>
    <xf numFmtId="0" fontId="2" fillId="0" borderId="0"/>
    <xf numFmtId="0" fontId="3" fillId="0" borderId="0"/>
    <xf numFmtId="0" fontId="30" fillId="0" borderId="0"/>
    <xf numFmtId="0" fontId="2" fillId="0" borderId="0"/>
    <xf numFmtId="0" fontId="2" fillId="0" borderId="0"/>
    <xf numFmtId="0" fontId="3" fillId="0" borderId="0"/>
    <xf numFmtId="0" fontId="3" fillId="0" borderId="0"/>
    <xf numFmtId="0" fontId="2" fillId="0" borderId="0"/>
    <xf numFmtId="0" fontId="65" fillId="0" borderId="0"/>
    <xf numFmtId="0" fontId="65" fillId="0" borderId="0"/>
    <xf numFmtId="0" fontId="2" fillId="0" borderId="0"/>
    <xf numFmtId="172" fontId="3" fillId="0" borderId="0"/>
    <xf numFmtId="172" fontId="3" fillId="0" borderId="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 fillId="11" borderId="24" applyNumberFormat="0" applyFont="0" applyAlignment="0" applyProtection="0"/>
    <xf numFmtId="0" fontId="29" fillId="11" borderId="24" applyNumberFormat="0" applyFont="0" applyAlignment="0" applyProtection="0"/>
    <xf numFmtId="0" fontId="3" fillId="65" borderId="34" applyNumberFormat="0" applyFont="0" applyAlignment="0" applyProtection="0"/>
    <xf numFmtId="0" fontId="2" fillId="11" borderId="24" applyNumberFormat="0" applyFont="0" applyAlignment="0" applyProtection="0"/>
    <xf numFmtId="0" fontId="2" fillId="11" borderId="2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2" fillId="11" borderId="2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2" fillId="11" borderId="2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29" fillId="11" borderId="2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23"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 fillId="11" borderId="24" applyNumberFormat="0" applyFont="0" applyAlignment="0" applyProtection="0"/>
    <xf numFmtId="0" fontId="2" fillId="11" borderId="24" applyNumberFormat="0" applyFont="0" applyAlignment="0" applyProtection="0"/>
    <xf numFmtId="0" fontId="23" fillId="11" borderId="24" applyNumberFormat="0" applyFont="0" applyAlignment="0" applyProtection="0"/>
    <xf numFmtId="0" fontId="28" fillId="11" borderId="24" applyNumberFormat="0" applyFont="0" applyAlignment="0" applyProtection="0"/>
    <xf numFmtId="0" fontId="2"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30"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173" fontId="4" fillId="0" borderId="0">
      <alignment horizontal="center"/>
    </xf>
    <xf numFmtId="0" fontId="111" fillId="41" borderId="21" applyNumberFormat="0" applyAlignment="0" applyProtection="0"/>
    <xf numFmtId="0" fontId="112" fillId="41" borderId="35" applyNumberFormat="0" applyAlignment="0" applyProtection="0"/>
    <xf numFmtId="0" fontId="113" fillId="9" borderId="21"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3" fillId="9" borderId="21"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1" fillId="41" borderId="21" applyNumberFormat="0" applyAlignment="0" applyProtection="0"/>
    <xf numFmtId="0" fontId="114" fillId="9" borderId="21"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5" fillId="9" borderId="21" applyNumberFormat="0" applyAlignment="0" applyProtection="0"/>
    <xf numFmtId="0" fontId="114" fillId="9" borderId="21" applyNumberFormat="0" applyAlignment="0" applyProtection="0"/>
    <xf numFmtId="0" fontId="111" fillId="9" borderId="21" applyNumberFormat="0" applyAlignment="0" applyProtection="0"/>
    <xf numFmtId="0" fontId="115" fillId="9" borderId="21" applyNumberFormat="0" applyAlignment="0" applyProtection="0"/>
    <xf numFmtId="0" fontId="114" fillId="9" borderId="21" applyNumberFormat="0" applyAlignment="0" applyProtection="0"/>
    <xf numFmtId="0" fontId="111" fillId="9" borderId="21" applyNumberFormat="0" applyAlignment="0" applyProtection="0"/>
    <xf numFmtId="0" fontId="114" fillId="9" borderId="21" applyNumberFormat="0" applyAlignment="0" applyProtection="0"/>
    <xf numFmtId="0" fontId="111" fillId="9" borderId="21" applyNumberFormat="0" applyAlignment="0" applyProtection="0"/>
    <xf numFmtId="0" fontId="111" fillId="9" borderId="21" applyNumberFormat="0" applyAlignment="0" applyProtection="0"/>
    <xf numFmtId="0" fontId="111" fillId="9" borderId="21" applyNumberFormat="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65" fillId="0" borderId="0" applyFont="0" applyFill="0" applyBorder="0" applyAlignment="0" applyProtection="0"/>
    <xf numFmtId="9" fontId="66" fillId="0" borderId="0" applyFont="0" applyFill="0" applyBorder="0" applyAlignment="0" applyProtection="0"/>
    <xf numFmtId="9" fontId="23" fillId="0" borderId="0" applyFont="0" applyFill="0" applyBorder="0" applyAlignment="0" applyProtection="0"/>
    <xf numFmtId="9" fontId="3" fillId="0" borderId="0" applyFont="0" applyFill="0" applyBorder="0" applyAlignment="0" applyProtection="0"/>
    <xf numFmtId="9" fontId="64"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16" fillId="0" borderId="0">
      <alignment horizontal="left"/>
    </xf>
    <xf numFmtId="0" fontId="117" fillId="0" borderId="0" applyNumberFormat="0" applyFont="0" applyFill="0" applyBorder="0" applyAlignment="0" applyProtection="0">
      <alignment horizontal="left"/>
    </xf>
    <xf numFmtId="15" fontId="117" fillId="0" borderId="0" applyFont="0" applyFill="0" applyBorder="0" applyAlignment="0" applyProtection="0"/>
    <xf numFmtId="4" fontId="117" fillId="0" borderId="0" applyFont="0" applyFill="0" applyBorder="0" applyAlignment="0" applyProtection="0"/>
    <xf numFmtId="0" fontId="118" fillId="0" borderId="14">
      <alignment horizontal="center"/>
    </xf>
    <xf numFmtId="3" fontId="117" fillId="0" borderId="0" applyFont="0" applyFill="0" applyBorder="0" applyAlignment="0" applyProtection="0"/>
    <xf numFmtId="0" fontId="117" fillId="66" borderId="0" applyNumberFormat="0" applyFont="0" applyBorder="0" applyAlignment="0" applyProtection="0"/>
    <xf numFmtId="174" fontId="49" fillId="0" borderId="0" applyNumberFormat="0">
      <alignment horizontal="right"/>
    </xf>
    <xf numFmtId="174" fontId="49" fillId="0" borderId="0" applyNumberFormat="0">
      <alignment horizontal="right"/>
    </xf>
    <xf numFmtId="174" fontId="49" fillId="0" borderId="0" applyNumberFormat="0">
      <alignment horizontal="right"/>
    </xf>
    <xf numFmtId="0" fontId="42" fillId="0" borderId="0">
      <alignment horizontal="left" indent="1"/>
    </xf>
    <xf numFmtId="167" fontId="42" fillId="0" borderId="0">
      <alignment horizontal="left" indent="1"/>
    </xf>
    <xf numFmtId="0" fontId="42" fillId="0" borderId="0">
      <alignment horizontal="left" indent="1"/>
    </xf>
    <xf numFmtId="174" fontId="119" fillId="0" borderId="0" applyNumberFormat="0">
      <alignment horizontal="right"/>
    </xf>
    <xf numFmtId="174" fontId="119" fillId="0" borderId="0" applyNumberFormat="0">
      <alignment horizontal="right"/>
    </xf>
    <xf numFmtId="174" fontId="7" fillId="0" borderId="0" applyNumberFormat="0" applyAlignment="0">
      <alignment horizontal="left"/>
    </xf>
    <xf numFmtId="0" fontId="120" fillId="0" borderId="0"/>
    <xf numFmtId="0" fontId="119" fillId="0" borderId="0">
      <alignment horizontal="left"/>
    </xf>
    <xf numFmtId="174" fontId="42" fillId="67" borderId="0" applyNumberFormat="0">
      <alignment horizontal="right"/>
    </xf>
    <xf numFmtId="174" fontId="42" fillId="68" borderId="0" applyNumberFormat="0" applyBorder="0" applyAlignment="0"/>
    <xf numFmtId="0" fontId="120" fillId="0" borderId="0">
      <alignment horizontal="left"/>
    </xf>
    <xf numFmtId="0" fontId="121" fillId="67" borderId="0">
      <alignment horizontal="left" indent="1"/>
    </xf>
    <xf numFmtId="38" fontId="3" fillId="0" borderId="0" applyNumberFormat="0" applyFont="0" applyFill="0" applyBorder="0" applyAlignment="0">
      <alignment horizontal="right"/>
    </xf>
    <xf numFmtId="38" fontId="3" fillId="0" borderId="0" applyNumberFormat="0" applyFont="0" applyFill="0" applyBorder="0" applyAlignment="0">
      <alignment horizontal="right"/>
    </xf>
    <xf numFmtId="0" fontId="3" fillId="0" borderId="0" applyNumberFormat="0" applyFont="0" applyFill="0" applyBorder="0" applyAlignment="0"/>
    <xf numFmtId="0" fontId="3" fillId="0" borderId="0" applyNumberFormat="0" applyFont="0" applyFill="0" applyBorder="0" applyAlignment="0"/>
    <xf numFmtId="0" fontId="43" fillId="0" borderId="0" applyNumberFormat="0" applyFont="0" applyFill="0" applyBorder="0" applyAlignment="0">
      <alignment horizontal="left" indent="2"/>
    </xf>
    <xf numFmtId="0" fontId="121" fillId="0" borderId="0" applyNumberFormat="0" applyFont="0" applyFill="0" applyBorder="0" applyAlignment="0">
      <alignment horizontal="left" indent="2"/>
    </xf>
    <xf numFmtId="38" fontId="3" fillId="0" borderId="0" applyNumberFormat="0" applyFont="0" applyFill="0" applyBorder="0" applyAlignment="0"/>
    <xf numFmtId="38" fontId="3" fillId="0" borderId="0" applyNumberFormat="0" applyFont="0" applyFill="0" applyBorder="0" applyAlignment="0"/>
    <xf numFmtId="0" fontId="3" fillId="0" borderId="0" applyNumberFormat="0" applyFont="0" applyFill="0" applyBorder="0" applyAlignment="0"/>
    <xf numFmtId="0" fontId="3" fillId="0" borderId="0" applyNumberFormat="0" applyFont="0" applyFill="0" applyBorder="0" applyAlignment="0"/>
    <xf numFmtId="0" fontId="122" fillId="0" borderId="0" applyNumberFormat="0" applyFont="0" applyFill="0" applyBorder="0" applyAlignment="0">
      <alignment horizontal="left" indent="3"/>
    </xf>
    <xf numFmtId="0" fontId="42" fillId="0" borderId="0" applyNumberFormat="0" applyFont="0" applyFill="0" applyBorder="0" applyAlignment="0">
      <alignment horizontal="left" indent="3"/>
    </xf>
    <xf numFmtId="175" fontId="45" fillId="0" borderId="0" applyNumberFormat="0" applyFont="0" applyFill="0" applyBorder="0" applyAlignment="0"/>
    <xf numFmtId="0" fontId="3" fillId="0" borderId="0" applyNumberFormat="0" applyFont="0" applyFill="0" applyBorder="0" applyAlignment="0"/>
    <xf numFmtId="0" fontId="3" fillId="0" borderId="0" applyNumberFormat="0" applyFont="0" applyFill="0" applyBorder="0" applyAlignment="0"/>
    <xf numFmtId="0" fontId="46" fillId="0" borderId="0" applyNumberFormat="0" applyFont="0" applyFill="0" applyBorder="0" applyAlignment="0">
      <alignment horizontal="left" indent="4"/>
    </xf>
    <xf numFmtId="0" fontId="3" fillId="0" borderId="0" applyNumberFormat="0" applyFont="0" applyFill="0" applyBorder="0" applyAlignment="0">
      <alignment horizontal="left" indent="4"/>
    </xf>
    <xf numFmtId="175" fontId="47" fillId="0" borderId="0" applyNumberFormat="0" applyFont="0" applyFill="0" applyBorder="0" applyAlignment="0"/>
    <xf numFmtId="0" fontId="3" fillId="0" borderId="0" applyNumberFormat="0" applyFont="0" applyFill="0" applyBorder="0" applyAlignment="0"/>
    <xf numFmtId="0" fontId="3" fillId="0" borderId="0" applyNumberFormat="0" applyFont="0" applyFill="0" applyBorder="0" applyAlignment="0"/>
    <xf numFmtId="0" fontId="48" fillId="0" borderId="0" applyNumberFormat="0" applyFont="0" applyFill="0" applyBorder="0" applyAlignment="0">
      <alignment horizontal="left" indent="5"/>
    </xf>
    <xf numFmtId="0" fontId="49" fillId="0" borderId="0" applyNumberFormat="0" applyFont="0" applyFill="0" applyBorder="0" applyAlignment="0">
      <alignment horizontal="left" indent="5"/>
    </xf>
    <xf numFmtId="175" fontId="50" fillId="0" borderId="0" applyNumberFormat="0" applyFont="0" applyFill="0" applyBorder="0" applyAlignment="0"/>
    <xf numFmtId="0" fontId="3" fillId="0" borderId="0" applyNumberFormat="0" applyFont="0" applyFill="0" applyBorder="0" applyAlignment="0"/>
    <xf numFmtId="0" fontId="3" fillId="0" borderId="0" applyNumberFormat="0" applyFont="0" applyFill="0" applyBorder="0" applyAlignment="0"/>
    <xf numFmtId="0" fontId="3" fillId="0" borderId="0"/>
    <xf numFmtId="0" fontId="3" fillId="0" borderId="0"/>
    <xf numFmtId="0" fontId="47" fillId="0" borderId="0" applyNumberFormat="0" applyFont="0" applyFill="0" applyBorder="0" applyAlignment="0">
      <alignment horizontal="left" indent="6"/>
    </xf>
    <xf numFmtId="4" fontId="123" fillId="55" borderId="36" applyNumberFormat="0" applyProtection="0">
      <alignment horizontal="left" vertical="center" indent="1"/>
    </xf>
    <xf numFmtId="0" fontId="25" fillId="0" borderId="0"/>
    <xf numFmtId="167" fontId="3" fillId="0" borderId="0" applyNumberFormat="0" applyFill="0" applyBorder="0" applyAlignment="0" applyProtection="0"/>
    <xf numFmtId="167" fontId="3" fillId="0" borderId="0" applyNumberFormat="0" applyFill="0" applyBorder="0" applyAlignment="0" applyProtection="0"/>
    <xf numFmtId="0"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0" fontId="124" fillId="0" borderId="0" applyNumberFormat="0" applyFill="0" applyBorder="0" applyAlignment="0" applyProtection="0"/>
    <xf numFmtId="0" fontId="125" fillId="0" borderId="0" applyNumberFormat="0" applyFill="0" applyBorder="0" applyAlignment="0" applyProtection="0"/>
    <xf numFmtId="0" fontId="124" fillId="0" borderId="0" applyNumberFormat="0" applyFill="0" applyBorder="0" applyAlignment="0" applyProtection="0"/>
    <xf numFmtId="0" fontId="19" fillId="0" borderId="0" applyNumberFormat="0" applyFill="0" applyBorder="0" applyAlignment="0" applyProtection="0"/>
    <xf numFmtId="0" fontId="126" fillId="0" borderId="37" applyNumberFormat="0" applyFill="0" applyAlignment="0" applyProtection="0"/>
    <xf numFmtId="0" fontId="127" fillId="0" borderId="37" applyNumberFormat="0" applyFill="0" applyAlignment="0" applyProtection="0"/>
    <xf numFmtId="0" fontId="128" fillId="0" borderId="25" applyNumberFormat="0" applyFill="0" applyAlignment="0" applyProtection="0"/>
    <xf numFmtId="0" fontId="127" fillId="0" borderId="37" applyNumberFormat="0" applyFill="0" applyAlignment="0" applyProtection="0"/>
    <xf numFmtId="0" fontId="126" fillId="0" borderId="37" applyNumberFormat="0" applyFill="0" applyAlignment="0" applyProtection="0"/>
    <xf numFmtId="0" fontId="126" fillId="0" borderId="37" applyNumberFormat="0" applyFill="0" applyAlignment="0" applyProtection="0"/>
    <xf numFmtId="0" fontId="126" fillId="0" borderId="37" applyNumberFormat="0" applyFill="0" applyAlignment="0" applyProtection="0"/>
    <xf numFmtId="0" fontId="126" fillId="0" borderId="37" applyNumberFormat="0" applyFill="0" applyAlignment="0" applyProtection="0"/>
    <xf numFmtId="0" fontId="126" fillId="0" borderId="37" applyNumberFormat="0" applyFill="0" applyAlignment="0" applyProtection="0"/>
    <xf numFmtId="0" fontId="126"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8" fillId="0" borderId="25"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6" fillId="0" borderId="37" applyNumberFormat="0" applyFill="0" applyAlignment="0" applyProtection="0"/>
    <xf numFmtId="0" fontId="129" fillId="0" borderId="25"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6" fillId="0" borderId="37" applyNumberFormat="0" applyFill="0" applyAlignment="0" applyProtection="0"/>
    <xf numFmtId="0" fontId="126" fillId="0" borderId="37" applyNumberFormat="0" applyFill="0" applyAlignment="0" applyProtection="0"/>
    <xf numFmtId="0" fontId="24" fillId="0" borderId="25" applyNumberFormat="0" applyFill="0" applyAlignment="0" applyProtection="0"/>
    <xf numFmtId="0" fontId="129" fillId="0" borderId="25" applyNumberFormat="0" applyFill="0" applyAlignment="0" applyProtection="0"/>
    <xf numFmtId="0" fontId="126" fillId="0" borderId="25" applyNumberFormat="0" applyFill="0" applyAlignment="0" applyProtection="0"/>
    <xf numFmtId="0" fontId="24" fillId="0" borderId="25" applyNumberFormat="0" applyFill="0" applyAlignment="0" applyProtection="0"/>
    <xf numFmtId="0" fontId="129" fillId="0" borderId="25" applyNumberFormat="0" applyFill="0" applyAlignment="0" applyProtection="0"/>
    <xf numFmtId="0" fontId="126" fillId="0" borderId="25" applyNumberFormat="0" applyFill="0" applyAlignment="0" applyProtection="0"/>
    <xf numFmtId="0" fontId="129" fillId="0" borderId="25" applyNumberFormat="0" applyFill="0" applyAlignment="0" applyProtection="0"/>
    <xf numFmtId="0" fontId="126" fillId="0" borderId="25" applyNumberFormat="0" applyFill="0" applyAlignment="0" applyProtection="0"/>
    <xf numFmtId="0" fontId="126" fillId="0" borderId="25" applyNumberFormat="0" applyFill="0" applyAlignment="0" applyProtection="0"/>
    <xf numFmtId="0" fontId="126" fillId="0" borderId="25" applyNumberFormat="0" applyFill="0" applyAlignment="0" applyProtection="0"/>
    <xf numFmtId="0" fontId="130" fillId="0" borderId="0" applyNumberFormat="0" applyFill="0" applyBorder="0" applyAlignment="0" applyProtection="0"/>
    <xf numFmtId="0" fontId="131" fillId="0" borderId="0" applyNumberFormat="0" applyFill="0" applyBorder="0" applyAlignment="0" applyProtection="0"/>
    <xf numFmtId="0" fontId="132" fillId="0" borderId="0" applyNumberFormat="0" applyFill="0" applyBorder="0" applyAlignment="0" applyProtection="0"/>
    <xf numFmtId="0" fontId="130" fillId="0" borderId="0" applyNumberFormat="0" applyFill="0" applyBorder="0" applyAlignment="0" applyProtection="0"/>
    <xf numFmtId="0" fontId="132" fillId="0" borderId="0" applyNumberFormat="0" applyFill="0" applyBorder="0" applyAlignment="0" applyProtection="0"/>
    <xf numFmtId="0" fontId="131" fillId="0" borderId="0" applyNumberFormat="0" applyFill="0" applyBorder="0" applyAlignment="0" applyProtection="0"/>
    <xf numFmtId="0" fontId="130" fillId="0" borderId="0" applyNumberFormat="0" applyFill="0" applyBorder="0" applyAlignment="0" applyProtection="0"/>
    <xf numFmtId="0" fontId="133" fillId="0" borderId="0" applyNumberFormat="0" applyFill="0" applyBorder="0" applyAlignment="0" applyProtection="0"/>
    <xf numFmtId="0" fontId="133" fillId="0" borderId="0" applyNumberFormat="0" applyFill="0" applyBorder="0" applyAlignment="0" applyProtection="0"/>
    <xf numFmtId="0" fontId="12" fillId="0" borderId="0" applyNumberFormat="0" applyFill="0" applyBorder="0" applyAlignment="0" applyProtection="0"/>
    <xf numFmtId="0" fontId="133" fillId="0" borderId="0" applyNumberFormat="0" applyFill="0" applyBorder="0" applyAlignment="0" applyProtection="0"/>
    <xf numFmtId="0" fontId="133" fillId="0" borderId="0" applyNumberFormat="0" applyFill="0" applyBorder="0" applyAlignment="0" applyProtection="0"/>
    <xf numFmtId="0" fontId="12" fillId="0" borderId="0" applyNumberFormat="0" applyFill="0" applyBorder="0" applyAlignment="0" applyProtection="0"/>
    <xf numFmtId="0" fontId="133"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3" fontId="2" fillId="0" borderId="0" applyFont="0" applyFill="0" applyBorder="0" applyAlignment="0" applyProtection="0"/>
  </cellStyleXfs>
  <cellXfs count="509">
    <xf numFmtId="0" fontId="0" fillId="0" borderId="0" xfId="0"/>
    <xf numFmtId="0" fontId="3" fillId="0" borderId="0" xfId="2"/>
    <xf numFmtId="0" fontId="6" fillId="0" borderId="0" xfId="3" applyFont="1" applyAlignment="1">
      <alignment horizontal="left"/>
    </xf>
    <xf numFmtId="0" fontId="9" fillId="2" borderId="1" xfId="2" applyFont="1" applyFill="1" applyBorder="1" applyAlignment="1">
      <alignment horizontal="left" vertical="top"/>
    </xf>
    <xf numFmtId="0" fontId="10" fillId="0" borderId="2" xfId="0" applyFont="1" applyBorder="1"/>
    <xf numFmtId="0" fontId="11" fillId="0" borderId="3" xfId="2" applyFont="1" applyBorder="1" applyAlignment="1">
      <alignment horizontal="left" vertical="center"/>
    </xf>
    <xf numFmtId="164" fontId="11" fillId="3" borderId="1" xfId="4" applyNumberFormat="1" applyFont="1" applyFill="1" applyBorder="1" applyAlignment="1">
      <alignment horizontal="right" vertical="center"/>
    </xf>
    <xf numFmtId="0" fontId="10" fillId="0" borderId="0" xfId="0" applyFont="1"/>
    <xf numFmtId="164" fontId="11" fillId="0" borderId="0" xfId="4" applyNumberFormat="1" applyFont="1" applyFill="1" applyBorder="1" applyAlignment="1">
      <alignment horizontal="right" vertical="center"/>
    </xf>
    <xf numFmtId="0" fontId="9" fillId="0" borderId="0" xfId="3" applyFont="1" applyAlignment="1">
      <alignment horizontal="left"/>
    </xf>
    <xf numFmtId="0" fontId="11" fillId="0" borderId="1" xfId="2" applyFont="1" applyBorder="1" applyAlignment="1">
      <alignment horizontal="left" vertical="top"/>
    </xf>
    <xf numFmtId="164" fontId="11" fillId="4" borderId="1" xfId="4" applyNumberFormat="1" applyFont="1" applyFill="1" applyBorder="1" applyAlignment="1" applyProtection="1">
      <alignment horizontal="right" vertical="center"/>
      <protection locked="0"/>
    </xf>
    <xf numFmtId="0" fontId="11" fillId="0" borderId="1" xfId="2" applyFont="1" applyBorder="1" applyAlignment="1">
      <alignment horizontal="left" vertical="center"/>
    </xf>
    <xf numFmtId="164" fontId="11" fillId="3" borderId="3" xfId="4" applyNumberFormat="1" applyFont="1" applyFill="1" applyBorder="1" applyAlignment="1">
      <alignment horizontal="right" vertical="center"/>
    </xf>
    <xf numFmtId="0" fontId="11" fillId="0" borderId="5" xfId="2" applyFont="1" applyBorder="1" applyAlignment="1">
      <alignment horizontal="left" vertical="center"/>
    </xf>
    <xf numFmtId="0" fontId="11" fillId="0" borderId="0" xfId="2" applyFont="1" applyAlignment="1">
      <alignment horizontal="left" vertical="center"/>
    </xf>
    <xf numFmtId="0" fontId="11" fillId="0" borderId="1" xfId="2" applyFont="1" applyBorder="1"/>
    <xf numFmtId="164" fontId="11" fillId="0" borderId="0" xfId="4" applyNumberFormat="1" applyFont="1" applyAlignment="1" applyProtection="1">
      <alignment horizontal="right" vertical="center"/>
      <protection locked="0"/>
    </xf>
    <xf numFmtId="0" fontId="9" fillId="0" borderId="0" xfId="2" applyFont="1" applyAlignment="1">
      <alignment horizontal="left" vertical="top"/>
    </xf>
    <xf numFmtId="0" fontId="10" fillId="0" borderId="1" xfId="0" applyFont="1" applyBorder="1"/>
    <xf numFmtId="0" fontId="11" fillId="0" borderId="1" xfId="2" applyFont="1" applyBorder="1" applyAlignment="1">
      <alignment horizontal="left"/>
    </xf>
    <xf numFmtId="0" fontId="11" fillId="0" borderId="0" xfId="2" applyFont="1"/>
    <xf numFmtId="0" fontId="11" fillId="0" borderId="0" xfId="2" applyFont="1" applyAlignment="1">
      <alignment horizontal="center"/>
    </xf>
    <xf numFmtId="0" fontId="10" fillId="0" borderId="4" xfId="0" applyFont="1" applyBorder="1"/>
    <xf numFmtId="0" fontId="13" fillId="0" borderId="7" xfId="2" applyFont="1" applyBorder="1" applyAlignment="1">
      <alignment horizontal="left" vertical="top"/>
    </xf>
    <xf numFmtId="0" fontId="8" fillId="0" borderId="0" xfId="0" applyFont="1"/>
    <xf numFmtId="0" fontId="9" fillId="2" borderId="1" xfId="2" applyFont="1" applyFill="1" applyBorder="1" applyAlignment="1">
      <alignment horizontal="center" vertical="top"/>
    </xf>
    <xf numFmtId="0" fontId="14" fillId="0" borderId="0" xfId="0" applyFont="1"/>
    <xf numFmtId="0" fontId="16" fillId="0" borderId="0" xfId="0" applyFont="1"/>
    <xf numFmtId="0" fontId="16" fillId="0" borderId="16" xfId="0" applyFont="1" applyBorder="1"/>
    <xf numFmtId="165" fontId="11" fillId="4" borderId="1" xfId="4" applyNumberFormat="1" applyFont="1" applyFill="1" applyBorder="1" applyAlignment="1" applyProtection="1">
      <alignment horizontal="right" vertical="center"/>
      <protection locked="0"/>
    </xf>
    <xf numFmtId="165" fontId="10" fillId="0" borderId="0" xfId="0" applyNumberFormat="1" applyFont="1"/>
    <xf numFmtId="164" fontId="18" fillId="3" borderId="1" xfId="4" applyNumberFormat="1" applyFont="1" applyFill="1" applyBorder="1" applyAlignment="1">
      <alignment horizontal="right" vertical="center"/>
    </xf>
    <xf numFmtId="164" fontId="18" fillId="4" borderId="1" xfId="4" applyNumberFormat="1" applyFont="1" applyFill="1" applyBorder="1" applyAlignment="1" applyProtection="1">
      <alignment horizontal="right" vertical="center"/>
      <protection locked="0"/>
    </xf>
    <xf numFmtId="165" fontId="18" fillId="4" borderId="1" xfId="4" applyNumberFormat="1" applyFont="1" applyFill="1" applyBorder="1" applyAlignment="1" applyProtection="1">
      <alignment horizontal="right" vertical="center"/>
      <protection locked="0"/>
    </xf>
    <xf numFmtId="9" fontId="11" fillId="3" borderId="1" xfId="1" applyFont="1" applyFill="1" applyBorder="1" applyAlignment="1">
      <alignment horizontal="right" vertical="center"/>
    </xf>
    <xf numFmtId="9" fontId="0" fillId="0" borderId="0" xfId="1" applyFont="1" applyFill="1"/>
    <xf numFmtId="0" fontId="11" fillId="0" borderId="0" xfId="2" applyFont="1" applyAlignment="1">
      <alignment horizontal="left"/>
    </xf>
    <xf numFmtId="0" fontId="0" fillId="0" borderId="0" xfId="0" applyAlignment="1">
      <alignment vertical="center"/>
    </xf>
    <xf numFmtId="10" fontId="11" fillId="3" borderId="1" xfId="4" applyNumberFormat="1" applyFont="1" applyFill="1" applyBorder="1" applyAlignment="1">
      <alignment horizontal="right" vertical="center"/>
    </xf>
    <xf numFmtId="177" fontId="11" fillId="4" borderId="1" xfId="4" applyNumberFormat="1" applyFont="1" applyFill="1" applyBorder="1" applyAlignment="1" applyProtection="1">
      <alignment horizontal="right" vertical="center"/>
      <protection locked="0"/>
    </xf>
    <xf numFmtId="2" fontId="11" fillId="4" borderId="1" xfId="4" applyNumberFormat="1" applyFont="1" applyFill="1" applyBorder="1" applyAlignment="1" applyProtection="1">
      <alignment horizontal="right" vertical="center"/>
      <protection locked="0"/>
    </xf>
    <xf numFmtId="43" fontId="11" fillId="3" borderId="1" xfId="4" applyFont="1" applyFill="1" applyBorder="1" applyAlignment="1">
      <alignment horizontal="right" vertical="center"/>
    </xf>
    <xf numFmtId="43" fontId="11" fillId="3" borderId="3" xfId="4" applyFont="1" applyFill="1" applyBorder="1" applyAlignment="1">
      <alignment horizontal="right" vertical="center"/>
    </xf>
    <xf numFmtId="43" fontId="11" fillId="0" borderId="0" xfId="2" applyNumberFormat="1" applyFont="1"/>
    <xf numFmtId="0" fontId="0" fillId="0" borderId="0" xfId="0" applyAlignment="1">
      <alignment horizontal="center" wrapText="1"/>
    </xf>
    <xf numFmtId="164" fontId="10" fillId="0" borderId="0" xfId="0" applyNumberFormat="1" applyFont="1"/>
    <xf numFmtId="178" fontId="11" fillId="4" borderId="1" xfId="4" applyNumberFormat="1" applyFont="1" applyFill="1" applyBorder="1" applyAlignment="1" applyProtection="1">
      <alignment horizontal="right" vertical="center"/>
      <protection locked="0"/>
    </xf>
    <xf numFmtId="0" fontId="10" fillId="69" borderId="1" xfId="0" applyFont="1" applyFill="1" applyBorder="1"/>
    <xf numFmtId="179" fontId="11" fillId="4" borderId="1" xfId="4" applyNumberFormat="1" applyFont="1" applyFill="1" applyBorder="1" applyAlignment="1" applyProtection="1">
      <alignment horizontal="right" vertical="center"/>
      <protection locked="0"/>
    </xf>
    <xf numFmtId="0" fontId="4" fillId="0" borderId="0" xfId="15339" applyFont="1"/>
    <xf numFmtId="0" fontId="6" fillId="0" borderId="0" xfId="15339" applyFont="1"/>
    <xf numFmtId="0" fontId="9" fillId="0" borderId="0" xfId="15339" applyFont="1"/>
    <xf numFmtId="0" fontId="4" fillId="0" borderId="0" xfId="15339" applyFont="1" applyAlignment="1">
      <alignment horizontal="center"/>
    </xf>
    <xf numFmtId="0" fontId="4" fillId="0" borderId="0" xfId="15339" applyFont="1" applyAlignment="1">
      <alignment horizontal="center" vertical="center"/>
    </xf>
    <xf numFmtId="0" fontId="134" fillId="0" borderId="0" xfId="15339" applyFont="1" applyAlignment="1">
      <alignment horizontal="center"/>
    </xf>
    <xf numFmtId="0" fontId="134" fillId="0" borderId="0" xfId="0" applyFont="1"/>
    <xf numFmtId="0" fontId="135" fillId="0" borderId="0" xfId="0" applyFont="1"/>
    <xf numFmtId="0" fontId="134" fillId="0" borderId="16" xfId="0" applyFont="1" applyBorder="1"/>
    <xf numFmtId="0" fontId="134" fillId="70" borderId="8" xfId="0" applyFont="1" applyFill="1" applyBorder="1"/>
    <xf numFmtId="0" fontId="134" fillId="70" borderId="9" xfId="0" applyFont="1" applyFill="1" applyBorder="1"/>
    <xf numFmtId="0" fontId="134" fillId="70" borderId="13" xfId="0" applyFont="1" applyFill="1" applyBorder="1" applyAlignment="1">
      <alignment vertical="center"/>
    </xf>
    <xf numFmtId="0" fontId="134" fillId="70" borderId="14" xfId="0" applyFont="1" applyFill="1" applyBorder="1" applyAlignment="1">
      <alignment vertical="center"/>
    </xf>
    <xf numFmtId="0" fontId="9" fillId="70" borderId="45" xfId="15339" applyFont="1" applyFill="1" applyBorder="1" applyAlignment="1">
      <alignment horizontal="center"/>
    </xf>
    <xf numFmtId="0" fontId="9" fillId="70" borderId="40" xfId="15339" applyFont="1" applyFill="1" applyBorder="1" applyAlignment="1">
      <alignment horizontal="center"/>
    </xf>
    <xf numFmtId="0" fontId="135" fillId="0" borderId="0" xfId="0" applyFont="1" applyAlignment="1">
      <alignment horizontal="center"/>
    </xf>
    <xf numFmtId="0" fontId="135" fillId="0" borderId="16" xfId="0" applyFont="1" applyBorder="1" applyAlignment="1">
      <alignment horizontal="center"/>
    </xf>
    <xf numFmtId="0" fontId="9" fillId="70" borderId="45" xfId="15339" applyFont="1" applyFill="1" applyBorder="1" applyAlignment="1">
      <alignment horizontal="center" vertical="center"/>
    </xf>
    <xf numFmtId="0" fontId="9" fillId="70" borderId="40" xfId="15339" applyFont="1" applyFill="1" applyBorder="1" applyAlignment="1">
      <alignment horizontal="center" vertical="center"/>
    </xf>
    <xf numFmtId="0" fontId="3" fillId="0" borderId="0" xfId="15339"/>
    <xf numFmtId="0" fontId="1" fillId="0" borderId="0" xfId="0" applyFont="1" applyAlignment="1">
      <alignment horizontal="right"/>
    </xf>
    <xf numFmtId="0" fontId="1" fillId="0" borderId="0" xfId="0" applyFont="1"/>
    <xf numFmtId="164" fontId="3" fillId="71" borderId="51" xfId="11552" applyNumberFormat="1" applyFont="1" applyFill="1" applyBorder="1" applyAlignment="1" applyProtection="1">
      <alignment horizontal="right" vertical="center"/>
    </xf>
    <xf numFmtId="164" fontId="3" fillId="71" borderId="49" xfId="11552" applyNumberFormat="1" applyFont="1" applyFill="1" applyBorder="1" applyAlignment="1" applyProtection="1">
      <alignment horizontal="right" vertical="center"/>
    </xf>
    <xf numFmtId="0" fontId="3" fillId="0" borderId="39" xfId="15339" applyBorder="1" applyAlignment="1">
      <alignment horizontal="center" vertical="center"/>
    </xf>
    <xf numFmtId="0" fontId="3" fillId="0" borderId="50" xfId="15339" applyBorder="1" applyAlignment="1">
      <alignment horizontal="center" vertical="center"/>
    </xf>
    <xf numFmtId="0" fontId="15" fillId="0" borderId="50" xfId="15339" quotePrefix="1" applyFont="1" applyBorder="1" applyAlignment="1">
      <alignment horizontal="left"/>
    </xf>
    <xf numFmtId="164" fontId="3" fillId="71" borderId="53" xfId="11552" applyNumberFormat="1" applyFont="1" applyFill="1" applyBorder="1" applyAlignment="1" applyProtection="1">
      <alignment horizontal="right" vertical="center"/>
    </xf>
    <xf numFmtId="164" fontId="3" fillId="71" borderId="54" xfId="11552" applyNumberFormat="1" applyFont="1" applyFill="1" applyBorder="1" applyAlignment="1" applyProtection="1">
      <alignment horizontal="right" vertical="center"/>
    </xf>
    <xf numFmtId="0" fontId="3" fillId="0" borderId="52" xfId="15339" applyBorder="1" applyAlignment="1">
      <alignment horizontal="center" vertical="center"/>
    </xf>
    <xf numFmtId="0" fontId="3" fillId="0" borderId="1" xfId="15339" applyBorder="1" applyAlignment="1">
      <alignment horizontal="center" vertical="center"/>
    </xf>
    <xf numFmtId="0" fontId="15" fillId="0" borderId="1" xfId="15339" quotePrefix="1" applyFont="1" applyBorder="1" applyAlignment="1">
      <alignment horizontal="left"/>
    </xf>
    <xf numFmtId="164" fontId="3" fillId="71" borderId="55" xfId="11552" applyNumberFormat="1" applyFont="1" applyFill="1" applyBorder="1" applyAlignment="1" applyProtection="1">
      <alignment horizontal="right" vertical="center"/>
    </xf>
    <xf numFmtId="164" fontId="3" fillId="71" borderId="56" xfId="11552" applyNumberFormat="1" applyFont="1" applyFill="1" applyBorder="1" applyAlignment="1" applyProtection="1">
      <alignment horizontal="right" vertical="center"/>
    </xf>
    <xf numFmtId="164" fontId="3" fillId="72" borderId="48" xfId="11552" applyNumberFormat="1" applyFont="1" applyFill="1" applyBorder="1" applyAlignment="1" applyProtection="1">
      <alignment horizontal="right" vertical="center"/>
      <protection locked="0"/>
    </xf>
    <xf numFmtId="164" fontId="3" fillId="71" borderId="57" xfId="11552" applyNumberFormat="1" applyFont="1" applyFill="1" applyBorder="1" applyAlignment="1" applyProtection="1">
      <alignment horizontal="right" vertical="center"/>
    </xf>
    <xf numFmtId="164" fontId="3" fillId="71" borderId="46" xfId="11552" applyNumberFormat="1" applyFont="1" applyFill="1" applyBorder="1" applyAlignment="1" applyProtection="1">
      <alignment horizontal="right" vertical="center"/>
    </xf>
    <xf numFmtId="43" fontId="3" fillId="0" borderId="0" xfId="11552" applyFont="1" applyFill="1" applyBorder="1" applyAlignment="1" applyProtection="1">
      <alignment horizontal="right" vertical="center"/>
    </xf>
    <xf numFmtId="0" fontId="3" fillId="0" borderId="0" xfId="15339" applyAlignment="1">
      <alignment horizontal="center" vertical="center"/>
    </xf>
    <xf numFmtId="0" fontId="3" fillId="0" borderId="0" xfId="15339" applyAlignment="1">
      <alignment horizontal="center"/>
    </xf>
    <xf numFmtId="0" fontId="4" fillId="0" borderId="0" xfId="15339" applyFont="1" applyAlignment="1">
      <alignment horizontal="left"/>
    </xf>
    <xf numFmtId="180" fontId="3" fillId="72" borderId="51" xfId="11552" applyNumberFormat="1" applyFont="1" applyFill="1" applyBorder="1" applyAlignment="1" applyProtection="1">
      <alignment horizontal="right" vertical="center"/>
      <protection locked="0"/>
    </xf>
    <xf numFmtId="180" fontId="3" fillId="72" borderId="49" xfId="11552" applyNumberFormat="1" applyFont="1" applyFill="1" applyBorder="1" applyAlignment="1" applyProtection="1">
      <alignment horizontal="right" vertical="center"/>
      <protection locked="0"/>
    </xf>
    <xf numFmtId="0" fontId="15" fillId="0" borderId="50" xfId="15339" applyFont="1" applyBorder="1"/>
    <xf numFmtId="180" fontId="3" fillId="72" borderId="11" xfId="11552" applyNumberFormat="1" applyFont="1" applyFill="1" applyBorder="1" applyAlignment="1" applyProtection="1">
      <alignment horizontal="right" vertical="center"/>
      <protection locked="0"/>
    </xf>
    <xf numFmtId="180" fontId="3" fillId="72" borderId="57" xfId="11552" applyNumberFormat="1" applyFont="1" applyFill="1" applyBorder="1" applyAlignment="1" applyProtection="1">
      <alignment horizontal="right" vertical="center"/>
      <protection locked="0"/>
    </xf>
    <xf numFmtId="180" fontId="3" fillId="72" borderId="46" xfId="11552" applyNumberFormat="1" applyFont="1" applyFill="1" applyBorder="1" applyAlignment="1" applyProtection="1">
      <alignment horizontal="right" vertical="center"/>
      <protection locked="0"/>
    </xf>
    <xf numFmtId="43" fontId="3" fillId="72" borderId="49" xfId="11552" applyFont="1" applyFill="1" applyBorder="1" applyAlignment="1" applyProtection="1">
      <alignment horizontal="right" vertical="center"/>
      <protection locked="0"/>
    </xf>
    <xf numFmtId="0" fontId="3" fillId="0" borderId="50" xfId="15339" applyBorder="1" applyAlignment="1">
      <alignment horizontal="left" vertical="center"/>
    </xf>
    <xf numFmtId="0" fontId="3" fillId="0" borderId="1" xfId="15339" applyBorder="1" applyAlignment="1">
      <alignment horizontal="left" vertical="center"/>
    </xf>
    <xf numFmtId="43" fontId="3" fillId="72" borderId="46" xfId="11552" applyFont="1" applyFill="1" applyBorder="1" applyAlignment="1" applyProtection="1">
      <alignment horizontal="right" vertical="center"/>
      <protection locked="0"/>
    </xf>
    <xf numFmtId="0" fontId="15" fillId="0" borderId="50" xfId="15339" applyFont="1" applyBorder="1" applyAlignment="1">
      <alignment horizontal="left"/>
    </xf>
    <xf numFmtId="164" fontId="3" fillId="72" borderId="54" xfId="11552" applyNumberFormat="1" applyFont="1" applyFill="1" applyBorder="1" applyAlignment="1" applyProtection="1">
      <alignment horizontal="right" vertical="center"/>
      <protection locked="0"/>
    </xf>
    <xf numFmtId="0" fontId="15" fillId="0" borderId="1" xfId="15339" applyFont="1" applyBorder="1" applyAlignment="1">
      <alignment horizontal="left"/>
    </xf>
    <xf numFmtId="164" fontId="3" fillId="72" borderId="46" xfId="11552" applyNumberFormat="1" applyFont="1" applyFill="1" applyBorder="1" applyAlignment="1" applyProtection="1">
      <alignment horizontal="right" vertical="center"/>
      <protection locked="0"/>
    </xf>
    <xf numFmtId="0" fontId="3" fillId="0" borderId="0" xfId="15339" applyAlignment="1">
      <alignment horizontal="center" vertical="top"/>
    </xf>
    <xf numFmtId="0" fontId="4" fillId="0" borderId="0" xfId="15339" applyFont="1" applyAlignment="1">
      <alignment wrapText="1"/>
    </xf>
    <xf numFmtId="0" fontId="4" fillId="2" borderId="39" xfId="0" applyFont="1" applyFill="1" applyBorder="1" applyAlignment="1">
      <alignment horizontal="center" vertical="center"/>
    </xf>
    <xf numFmtId="0" fontId="137" fillId="2" borderId="13" xfId="0" applyFont="1" applyFill="1" applyBorder="1" applyAlignment="1">
      <alignment horizontal="center" vertical="center"/>
    </xf>
    <xf numFmtId="0" fontId="4" fillId="0" borderId="0" xfId="0" applyFont="1" applyAlignment="1">
      <alignment horizontal="center" vertical="center"/>
    </xf>
    <xf numFmtId="0" fontId="138" fillId="2" borderId="59" xfId="0" applyFont="1" applyFill="1" applyBorder="1" applyAlignment="1">
      <alignment horizontal="center"/>
    </xf>
    <xf numFmtId="0" fontId="138" fillId="2" borderId="60" xfId="0" applyFont="1" applyFill="1" applyBorder="1" applyAlignment="1">
      <alignment horizontal="center"/>
    </xf>
    <xf numFmtId="0" fontId="15" fillId="2" borderId="61" xfId="0" applyFont="1" applyFill="1" applyBorder="1" applyAlignment="1">
      <alignment horizontal="center"/>
    </xf>
    <xf numFmtId="0" fontId="138" fillId="2" borderId="62" xfId="0" applyFont="1" applyFill="1" applyBorder="1" applyAlignment="1">
      <alignment horizontal="left"/>
    </xf>
    <xf numFmtId="0" fontId="0" fillId="2" borderId="12" xfId="0" applyFill="1" applyBorder="1"/>
    <xf numFmtId="0" fontId="137" fillId="2" borderId="11" xfId="0" applyFont="1" applyFill="1" applyBorder="1" applyAlignment="1">
      <alignment horizontal="center" vertical="center"/>
    </xf>
    <xf numFmtId="0" fontId="138" fillId="2" borderId="63" xfId="0" applyFont="1" applyFill="1" applyBorder="1" applyAlignment="1">
      <alignment horizontal="center" vertical="top"/>
    </xf>
    <xf numFmtId="0" fontId="138" fillId="2" borderId="64" xfId="0" applyFont="1" applyFill="1" applyBorder="1" applyAlignment="1">
      <alignment horizontal="center" vertical="top"/>
    </xf>
    <xf numFmtId="0" fontId="138" fillId="2" borderId="65" xfId="0" applyFont="1" applyFill="1" applyBorder="1" applyAlignment="1">
      <alignment horizontal="left"/>
    </xf>
    <xf numFmtId="0" fontId="138" fillId="2" borderId="66" xfId="0" applyFont="1" applyFill="1" applyBorder="1" applyAlignment="1">
      <alignment horizontal="left"/>
    </xf>
    <xf numFmtId="0" fontId="4" fillId="2" borderId="10" xfId="0" applyFont="1" applyFill="1" applyBorder="1" applyAlignment="1">
      <alignment horizontal="center" vertical="center"/>
    </xf>
    <xf numFmtId="0" fontId="137" fillId="2" borderId="8" xfId="0" applyFont="1" applyFill="1" applyBorder="1" applyAlignment="1">
      <alignment horizontal="center" vertical="center"/>
    </xf>
    <xf numFmtId="0" fontId="138" fillId="2" borderId="38" xfId="0" applyFont="1" applyFill="1" applyBorder="1" applyAlignment="1">
      <alignment horizontal="center"/>
    </xf>
    <xf numFmtId="0" fontId="138" fillId="2" borderId="67" xfId="0" applyFont="1" applyFill="1" applyBorder="1" applyAlignment="1">
      <alignment horizontal="center"/>
    </xf>
    <xf numFmtId="0" fontId="138" fillId="2" borderId="68" xfId="0" applyFont="1" applyFill="1" applyBorder="1" applyAlignment="1">
      <alignment horizontal="left"/>
    </xf>
    <xf numFmtId="0" fontId="138" fillId="2" borderId="69" xfId="0" applyFont="1" applyFill="1" applyBorder="1" applyAlignment="1">
      <alignment horizontal="left"/>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15" fillId="0" borderId="0" xfId="0" applyFont="1"/>
    <xf numFmtId="0" fontId="139" fillId="0" borderId="0" xfId="0" applyFont="1"/>
    <xf numFmtId="0" fontId="138" fillId="0" borderId="0" xfId="0" applyFont="1" applyAlignment="1">
      <alignment horizontal="left"/>
    </xf>
    <xf numFmtId="0" fontId="17" fillId="0" borderId="16" xfId="0" applyFont="1" applyBorder="1"/>
    <xf numFmtId="0" fontId="140" fillId="0" borderId="16" xfId="0" applyFont="1" applyBorder="1"/>
    <xf numFmtId="0" fontId="17" fillId="0" borderId="0" xfId="0" applyFont="1"/>
    <xf numFmtId="0" fontId="140" fillId="0" borderId="0" xfId="0" applyFont="1"/>
    <xf numFmtId="0" fontId="137" fillId="2" borderId="11" xfId="0" applyFont="1" applyFill="1" applyBorder="1" applyAlignment="1">
      <alignment vertical="center"/>
    </xf>
    <xf numFmtId="0" fontId="4" fillId="70" borderId="8" xfId="15339" applyFont="1" applyFill="1" applyBorder="1" applyAlignment="1">
      <alignment horizontal="left"/>
    </xf>
    <xf numFmtId="0" fontId="4" fillId="70" borderId="9" xfId="15339" applyFont="1" applyFill="1" applyBorder="1" applyAlignment="1">
      <alignment horizontal="left"/>
    </xf>
    <xf numFmtId="0" fontId="3" fillId="70" borderId="9" xfId="15339" applyFill="1" applyBorder="1" applyAlignment="1">
      <alignment horizontal="center" vertical="top"/>
    </xf>
    <xf numFmtId="0" fontId="3" fillId="70" borderId="10" xfId="15339" applyFill="1" applyBorder="1" applyAlignment="1">
      <alignment horizontal="center" vertical="top"/>
    </xf>
    <xf numFmtId="0" fontId="3" fillId="0" borderId="47" xfId="15339" applyBorder="1" applyAlignment="1">
      <alignment horizontal="left" vertical="center"/>
    </xf>
    <xf numFmtId="0" fontId="3" fillId="0" borderId="47" xfId="15339" applyBorder="1" applyAlignment="1">
      <alignment horizontal="center" vertical="center"/>
    </xf>
    <xf numFmtId="0" fontId="3" fillId="0" borderId="48" xfId="15339" applyBorder="1" applyAlignment="1">
      <alignment horizontal="center" vertical="center"/>
    </xf>
    <xf numFmtId="164" fontId="3" fillId="72" borderId="57" xfId="11552" applyNumberFormat="1" applyFont="1" applyFill="1" applyBorder="1" applyAlignment="1" applyProtection="1">
      <alignment horizontal="right" vertical="center"/>
      <protection locked="0"/>
    </xf>
    <xf numFmtId="164" fontId="3" fillId="72" borderId="55" xfId="11552" applyNumberFormat="1" applyFont="1" applyFill="1" applyBorder="1" applyAlignment="1" applyProtection="1">
      <alignment horizontal="right" vertical="center"/>
      <protection locked="0"/>
    </xf>
    <xf numFmtId="164" fontId="3" fillId="72" borderId="58" xfId="11552" applyNumberFormat="1" applyFont="1" applyFill="1" applyBorder="1" applyAlignment="1" applyProtection="1">
      <alignment horizontal="right" vertical="center"/>
      <protection locked="0"/>
    </xf>
    <xf numFmtId="164" fontId="3" fillId="72" borderId="56" xfId="11552" applyNumberFormat="1" applyFont="1" applyFill="1" applyBorder="1" applyAlignment="1" applyProtection="1">
      <alignment horizontal="right" vertical="center"/>
      <protection locked="0"/>
    </xf>
    <xf numFmtId="164" fontId="3" fillId="72" borderId="53" xfId="11552" applyNumberFormat="1" applyFont="1" applyFill="1" applyBorder="1" applyAlignment="1" applyProtection="1">
      <alignment horizontal="right" vertical="center"/>
      <protection locked="0"/>
    </xf>
    <xf numFmtId="164" fontId="3" fillId="72" borderId="72" xfId="11552" applyNumberFormat="1" applyFont="1" applyFill="1" applyBorder="1" applyAlignment="1" applyProtection="1">
      <alignment horizontal="right" vertical="center"/>
      <protection locked="0"/>
    </xf>
    <xf numFmtId="164" fontId="3" fillId="72" borderId="73" xfId="11552" applyNumberFormat="1" applyFont="1" applyFill="1" applyBorder="1" applyAlignment="1" applyProtection="1">
      <alignment horizontal="right" vertical="center"/>
      <protection locked="0"/>
    </xf>
    <xf numFmtId="164" fontId="3" fillId="72" borderId="59" xfId="11552" applyNumberFormat="1" applyFont="1" applyFill="1" applyBorder="1" applyAlignment="1" applyProtection="1">
      <alignment horizontal="right" vertical="center"/>
      <protection locked="0"/>
    </xf>
    <xf numFmtId="0" fontId="3" fillId="70" borderId="9" xfId="15339" applyFill="1" applyBorder="1" applyAlignment="1">
      <alignment horizontal="center" vertical="center"/>
    </xf>
    <xf numFmtId="0" fontId="3" fillId="70" borderId="10" xfId="15339" applyFill="1" applyBorder="1" applyAlignment="1">
      <alignment horizontal="center" vertical="center"/>
    </xf>
    <xf numFmtId="0" fontId="15" fillId="0" borderId="47" xfId="15339" applyFont="1" applyBorder="1" applyAlignment="1">
      <alignment horizontal="left"/>
    </xf>
    <xf numFmtId="43" fontId="3" fillId="72" borderId="57" xfId="11552" applyFont="1" applyFill="1" applyBorder="1" applyAlignment="1" applyProtection="1">
      <alignment horizontal="right" vertical="center"/>
      <protection locked="0"/>
    </xf>
    <xf numFmtId="43" fontId="3" fillId="72" borderId="55" xfId="11552" applyFont="1" applyFill="1" applyBorder="1" applyAlignment="1" applyProtection="1">
      <alignment horizontal="right" vertical="center"/>
      <protection locked="0"/>
    </xf>
    <xf numFmtId="43" fontId="3" fillId="72" borderId="56" xfId="11552" applyFont="1" applyFill="1" applyBorder="1" applyAlignment="1" applyProtection="1">
      <alignment horizontal="right" vertical="center"/>
      <protection locked="0"/>
    </xf>
    <xf numFmtId="43" fontId="3" fillId="72" borderId="72" xfId="11552" applyFont="1" applyFill="1" applyBorder="1" applyAlignment="1" applyProtection="1">
      <alignment horizontal="right" vertical="center"/>
      <protection locked="0"/>
    </xf>
    <xf numFmtId="43" fontId="3" fillId="72" borderId="73" xfId="11552" applyFont="1" applyFill="1" applyBorder="1" applyAlignment="1" applyProtection="1">
      <alignment horizontal="right" vertical="center"/>
      <protection locked="0"/>
    </xf>
    <xf numFmtId="43" fontId="3" fillId="72" borderId="51" xfId="11552" applyFont="1" applyFill="1" applyBorder="1" applyAlignment="1" applyProtection="1">
      <alignment horizontal="right" vertical="center"/>
      <protection locked="0"/>
    </xf>
    <xf numFmtId="180" fontId="3" fillId="72" borderId="74" xfId="11552" applyNumberFormat="1" applyFont="1" applyFill="1" applyBorder="1" applyAlignment="1" applyProtection="1">
      <alignment horizontal="right" vertical="center"/>
      <protection locked="0"/>
    </xf>
    <xf numFmtId="0" fontId="134" fillId="70" borderId="75" xfId="0" applyFont="1" applyFill="1" applyBorder="1"/>
    <xf numFmtId="0" fontId="134" fillId="70" borderId="76" xfId="0" applyFont="1" applyFill="1" applyBorder="1" applyAlignment="1">
      <alignment vertical="center"/>
    </xf>
    <xf numFmtId="0" fontId="9" fillId="2" borderId="3" xfId="2" applyFont="1" applyFill="1" applyBorder="1" applyAlignment="1">
      <alignment horizontal="left" vertical="top"/>
    </xf>
    <xf numFmtId="0" fontId="9" fillId="2" borderId="78" xfId="2" applyFont="1" applyFill="1" applyBorder="1" applyAlignment="1">
      <alignment horizontal="left" vertical="top"/>
    </xf>
    <xf numFmtId="43" fontId="11" fillId="4" borderId="1" xfId="4" applyFont="1" applyFill="1" applyBorder="1" applyAlignment="1" applyProtection="1">
      <alignment horizontal="right" vertical="center"/>
      <protection locked="0"/>
    </xf>
    <xf numFmtId="0" fontId="9" fillId="2" borderId="6" xfId="2" applyFont="1" applyFill="1" applyBorder="1" applyAlignment="1">
      <alignment horizontal="left" vertical="top"/>
    </xf>
    <xf numFmtId="0" fontId="11" fillId="0" borderId="6" xfId="2" applyFont="1" applyBorder="1" applyAlignment="1">
      <alignment horizontal="left" vertical="center"/>
    </xf>
    <xf numFmtId="0" fontId="11" fillId="0" borderId="79" xfId="2" applyFont="1" applyBorder="1" applyAlignment="1">
      <alignment horizontal="left" vertical="center"/>
    </xf>
    <xf numFmtId="0" fontId="11" fillId="0" borderId="3" xfId="2" applyFont="1" applyBorder="1" applyAlignment="1">
      <alignment horizontal="left"/>
    </xf>
    <xf numFmtId="9" fontId="11" fillId="0" borderId="3" xfId="1" applyFont="1" applyFill="1" applyBorder="1" applyAlignment="1">
      <alignment horizontal="left"/>
    </xf>
    <xf numFmtId="0" fontId="11" fillId="0" borderId="0" xfId="0" applyFont="1"/>
    <xf numFmtId="0" fontId="141" fillId="0" borderId="0" xfId="0" applyFont="1"/>
    <xf numFmtId="0" fontId="11" fillId="70" borderId="43" xfId="0" applyFont="1" applyFill="1" applyBorder="1"/>
    <xf numFmtId="0" fontId="11" fillId="0" borderId="2" xfId="0" applyFont="1" applyBorder="1"/>
    <xf numFmtId="0" fontId="11" fillId="0" borderId="1" xfId="0" applyFont="1" applyBorder="1"/>
    <xf numFmtId="0" fontId="11" fillId="0" borderId="3" xfId="0" applyFont="1" applyBorder="1"/>
    <xf numFmtId="0" fontId="11" fillId="0" borderId="70" xfId="0" applyFont="1" applyBorder="1"/>
    <xf numFmtId="0" fontId="11" fillId="0" borderId="78" xfId="0" applyFont="1" applyBorder="1"/>
    <xf numFmtId="0" fontId="11" fillId="0" borderId="4" xfId="0" applyFont="1" applyBorder="1"/>
    <xf numFmtId="0" fontId="8" fillId="0" borderId="0" xfId="0" applyFont="1" applyAlignment="1">
      <alignment horizontal="left"/>
    </xf>
    <xf numFmtId="164" fontId="8" fillId="0" borderId="0" xfId="0" applyNumberFormat="1" applyFont="1"/>
    <xf numFmtId="0" fontId="134" fillId="0" borderId="0" xfId="0" applyFont="1" applyAlignment="1">
      <alignment horizontal="left"/>
    </xf>
    <xf numFmtId="0" fontId="134" fillId="70" borderId="8" xfId="0" applyFont="1" applyFill="1" applyBorder="1" applyAlignment="1">
      <alignment horizontal="left"/>
    </xf>
    <xf numFmtId="0" fontId="134" fillId="70" borderId="13" xfId="0" applyFont="1" applyFill="1" applyBorder="1" applyAlignment="1">
      <alignment horizontal="left" vertical="center"/>
    </xf>
    <xf numFmtId="0" fontId="11" fillId="0" borderId="0" xfId="0" applyFont="1" applyAlignment="1">
      <alignment horizontal="left"/>
    </xf>
    <xf numFmtId="1" fontId="8" fillId="0" borderId="0" xfId="0" applyNumberFormat="1" applyFont="1" applyAlignment="1">
      <alignment horizontal="left"/>
    </xf>
    <xf numFmtId="0" fontId="16" fillId="70" borderId="8" xfId="0" applyFont="1" applyFill="1" applyBorder="1"/>
    <xf numFmtId="0" fontId="0" fillId="70" borderId="9" xfId="0" applyFill="1" applyBorder="1"/>
    <xf numFmtId="0" fontId="0" fillId="70" borderId="10" xfId="0" applyFill="1" applyBorder="1"/>
    <xf numFmtId="0" fontId="16" fillId="70" borderId="13" xfId="0" applyFont="1" applyFill="1" applyBorder="1"/>
    <xf numFmtId="0" fontId="0" fillId="70" borderId="14" xfId="0" applyFill="1" applyBorder="1" applyAlignment="1">
      <alignment wrapText="1"/>
    </xf>
    <xf numFmtId="0" fontId="0" fillId="70" borderId="15" xfId="0" applyFill="1" applyBorder="1" applyAlignment="1">
      <alignment wrapText="1"/>
    </xf>
    <xf numFmtId="0" fontId="11" fillId="70" borderId="41" xfId="15339" applyFont="1" applyFill="1" applyBorder="1" applyAlignment="1">
      <alignment horizontal="center" vertical="top"/>
    </xf>
    <xf numFmtId="0" fontId="11" fillId="70" borderId="42" xfId="15339" applyFont="1" applyFill="1" applyBorder="1" applyAlignment="1">
      <alignment horizontal="center" vertical="top"/>
    </xf>
    <xf numFmtId="0" fontId="11" fillId="70" borderId="42" xfId="15339" applyFont="1" applyFill="1" applyBorder="1"/>
    <xf numFmtId="0" fontId="11" fillId="70" borderId="43" xfId="15339" applyFont="1" applyFill="1" applyBorder="1" applyAlignment="1">
      <alignment horizontal="center" vertical="top"/>
    </xf>
    <xf numFmtId="0" fontId="9" fillId="70" borderId="42" xfId="15339" applyFont="1" applyFill="1" applyBorder="1" applyAlignment="1">
      <alignment horizontal="left" vertical="top"/>
    </xf>
    <xf numFmtId="0" fontId="3" fillId="0" borderId="1" xfId="15339" applyBorder="1" applyAlignment="1">
      <alignment vertical="center"/>
    </xf>
    <xf numFmtId="164" fontId="3" fillId="4" borderId="54" xfId="11552" applyNumberFormat="1" applyFont="1" applyFill="1" applyBorder="1" applyAlignment="1" applyProtection="1">
      <alignment horizontal="right" vertical="center"/>
      <protection locked="0"/>
    </xf>
    <xf numFmtId="164" fontId="3" fillId="4" borderId="52" xfId="11552" applyNumberFormat="1" applyFont="1" applyFill="1" applyBorder="1" applyAlignment="1" applyProtection="1">
      <alignment horizontal="right" vertical="center"/>
      <protection locked="0"/>
    </xf>
    <xf numFmtId="164" fontId="3" fillId="4" borderId="53" xfId="11552" applyNumberFormat="1" applyFont="1" applyFill="1" applyBorder="1" applyAlignment="1" applyProtection="1">
      <alignment horizontal="right" vertical="center"/>
      <protection locked="0"/>
    </xf>
    <xf numFmtId="43" fontId="120" fillId="0" borderId="0" xfId="11552" applyFont="1" applyFill="1" applyBorder="1" applyAlignment="1"/>
    <xf numFmtId="43" fontId="3" fillId="0" borderId="0" xfId="11552" applyFont="1" applyFill="1" applyBorder="1" applyAlignment="1"/>
    <xf numFmtId="0" fontId="3" fillId="0" borderId="47" xfId="15339" applyBorder="1" applyAlignment="1">
      <alignment vertical="center"/>
    </xf>
    <xf numFmtId="0" fontId="3" fillId="0" borderId="50" xfId="15339" applyBorder="1" applyAlignment="1">
      <alignment vertical="center"/>
    </xf>
    <xf numFmtId="164" fontId="3" fillId="4" borderId="46" xfId="11552" applyNumberFormat="1" applyFont="1" applyFill="1" applyBorder="1" applyAlignment="1" applyProtection="1">
      <alignment horizontal="right" vertical="center"/>
      <protection locked="0"/>
    </xf>
    <xf numFmtId="164" fontId="3" fillId="4" borderId="48" xfId="11552" applyNumberFormat="1" applyFont="1" applyFill="1" applyBorder="1" applyAlignment="1" applyProtection="1">
      <alignment horizontal="right" vertical="center"/>
      <protection locked="0"/>
    </xf>
    <xf numFmtId="164" fontId="3" fillId="4" borderId="57" xfId="11552" applyNumberFormat="1" applyFont="1" applyFill="1" applyBorder="1" applyAlignment="1" applyProtection="1">
      <alignment horizontal="right" vertical="center"/>
      <protection locked="0"/>
    </xf>
    <xf numFmtId="0" fontId="4" fillId="2" borderId="42" xfId="15339" applyFont="1" applyFill="1" applyBorder="1" applyAlignment="1">
      <alignment horizontal="left"/>
    </xf>
    <xf numFmtId="43" fontId="3" fillId="0" borderId="0" xfId="11552" applyFont="1" applyFill="1" applyAlignment="1">
      <alignment vertical="center"/>
    </xf>
    <xf numFmtId="0" fontId="4" fillId="2" borderId="9" xfId="15339" applyFont="1" applyFill="1" applyBorder="1" applyAlignment="1">
      <alignment horizontal="left"/>
    </xf>
    <xf numFmtId="0" fontId="31" fillId="0" borderId="0" xfId="0" applyFont="1"/>
    <xf numFmtId="0" fontId="4" fillId="2" borderId="41" xfId="15339" applyFont="1" applyFill="1" applyBorder="1" applyAlignment="1">
      <alignment horizontal="left"/>
    </xf>
    <xf numFmtId="0" fontId="15" fillId="0" borderId="45" xfId="15339" applyFont="1" applyBorder="1" applyAlignment="1">
      <alignment horizontal="left"/>
    </xf>
    <xf numFmtId="0" fontId="3" fillId="0" borderId="45" xfId="15339" applyBorder="1" applyAlignment="1">
      <alignment horizontal="left"/>
    </xf>
    <xf numFmtId="0" fontId="3" fillId="2" borderId="42" xfId="15339" applyFill="1" applyBorder="1" applyAlignment="1">
      <alignment horizontal="center" vertical="center"/>
    </xf>
    <xf numFmtId="0" fontId="3" fillId="2" borderId="43" xfId="15339" applyFill="1" applyBorder="1" applyAlignment="1">
      <alignment horizontal="center" vertical="center"/>
    </xf>
    <xf numFmtId="164" fontId="3" fillId="0" borderId="0" xfId="11552" applyNumberFormat="1" applyFont="1" applyFill="1" applyBorder="1" applyAlignment="1">
      <alignment horizontal="right" vertical="center"/>
    </xf>
    <xf numFmtId="0" fontId="3" fillId="0" borderId="45" xfId="15339" applyBorder="1" applyAlignment="1">
      <alignment horizontal="center" vertical="center"/>
    </xf>
    <xf numFmtId="0" fontId="3" fillId="0" borderId="40" xfId="15339" applyBorder="1" applyAlignment="1">
      <alignment horizontal="center" vertical="center"/>
    </xf>
    <xf numFmtId="43" fontId="3" fillId="4" borderId="44" xfId="11552" applyFont="1" applyFill="1" applyBorder="1" applyAlignment="1" applyProtection="1">
      <alignment horizontal="right" vertical="center"/>
      <protection locked="0"/>
    </xf>
    <xf numFmtId="164" fontId="3" fillId="4" borderId="40" xfId="11552" applyNumberFormat="1" applyFont="1" applyFill="1" applyBorder="1" applyAlignment="1" applyProtection="1">
      <alignment horizontal="right" vertical="center"/>
      <protection locked="0"/>
    </xf>
    <xf numFmtId="164" fontId="3" fillId="3" borderId="44" xfId="11552" applyNumberFormat="1" applyFont="1" applyFill="1" applyBorder="1" applyAlignment="1">
      <alignment horizontal="right" vertical="center"/>
    </xf>
    <xf numFmtId="43" fontId="3" fillId="0" borderId="0" xfId="15339" applyNumberFormat="1"/>
    <xf numFmtId="0" fontId="4" fillId="70" borderId="80" xfId="15339" applyFont="1" applyFill="1" applyBorder="1"/>
    <xf numFmtId="0" fontId="134" fillId="0" borderId="0" xfId="0" applyFont="1" applyAlignment="1">
      <alignment horizontal="center"/>
    </xf>
    <xf numFmtId="0" fontId="134" fillId="0" borderId="16" xfId="0" applyFont="1" applyBorder="1" applyAlignment="1">
      <alignment horizontal="center"/>
    </xf>
    <xf numFmtId="0" fontId="8" fillId="70" borderId="9" xfId="0" applyFont="1" applyFill="1" applyBorder="1"/>
    <xf numFmtId="0" fontId="8" fillId="70" borderId="9" xfId="0" applyFont="1" applyFill="1" applyBorder="1" applyAlignment="1">
      <alignment horizontal="center"/>
    </xf>
    <xf numFmtId="0" fontId="8" fillId="70" borderId="10" xfId="0" applyFont="1" applyFill="1" applyBorder="1" applyAlignment="1">
      <alignment horizontal="center"/>
    </xf>
    <xf numFmtId="0" fontId="8" fillId="70" borderId="14" xfId="0" applyFont="1" applyFill="1" applyBorder="1" applyAlignment="1">
      <alignment wrapText="1"/>
    </xf>
    <xf numFmtId="0" fontId="8" fillId="70" borderId="14" xfId="0" applyFont="1" applyFill="1" applyBorder="1" applyAlignment="1">
      <alignment horizontal="center" wrapText="1"/>
    </xf>
    <xf numFmtId="0" fontId="8" fillId="70" borderId="15" xfId="0" applyFont="1" applyFill="1" applyBorder="1" applyAlignment="1">
      <alignment horizontal="center" wrapText="1"/>
    </xf>
    <xf numFmtId="0" fontId="8" fillId="0" borderId="0" xfId="0" applyFont="1" applyAlignment="1">
      <alignment vertical="center"/>
    </xf>
    <xf numFmtId="0" fontId="11" fillId="0" borderId="0" xfId="0" applyFont="1" applyAlignment="1">
      <alignment vertical="center"/>
    </xf>
    <xf numFmtId="0" fontId="9" fillId="70" borderId="44" xfId="0" applyFont="1" applyFill="1" applyBorder="1" applyAlignment="1">
      <alignment horizontal="center"/>
    </xf>
    <xf numFmtId="0" fontId="9" fillId="70" borderId="45" xfId="0" applyFont="1" applyFill="1" applyBorder="1" applyAlignment="1">
      <alignment horizontal="center"/>
    </xf>
    <xf numFmtId="0" fontId="11" fillId="0" borderId="0" xfId="0" applyFont="1" applyAlignment="1">
      <alignment horizontal="center"/>
    </xf>
    <xf numFmtId="0" fontId="11" fillId="0" borderId="4" xfId="0" applyFont="1" applyBorder="1" applyAlignment="1">
      <alignment horizontal="center"/>
    </xf>
    <xf numFmtId="0" fontId="11" fillId="70" borderId="41" xfId="0" applyFont="1" applyFill="1" applyBorder="1"/>
    <xf numFmtId="0" fontId="9" fillId="70" borderId="42" xfId="0" applyFont="1" applyFill="1" applyBorder="1"/>
    <xf numFmtId="0" fontId="11" fillId="70" borderId="42" xfId="0" applyFont="1" applyFill="1" applyBorder="1" applyAlignment="1">
      <alignment horizontal="center"/>
    </xf>
    <xf numFmtId="0" fontId="11" fillId="70" borderId="43" xfId="0" applyFont="1" applyFill="1" applyBorder="1" applyAlignment="1">
      <alignment horizontal="center"/>
    </xf>
    <xf numFmtId="0" fontId="11" fillId="0" borderId="4" xfId="0" applyFont="1" applyBorder="1" applyAlignment="1">
      <alignment horizontal="center" vertical="center"/>
    </xf>
    <xf numFmtId="164" fontId="11" fillId="72" borderId="1" xfId="19994" applyNumberFormat="1" applyFont="1" applyFill="1" applyBorder="1"/>
    <xf numFmtId="164" fontId="11" fillId="72" borderId="2" xfId="19994" applyNumberFormat="1" applyFont="1" applyFill="1" applyBorder="1"/>
    <xf numFmtId="164" fontId="11" fillId="71" borderId="1" xfId="19994" applyNumberFormat="1" applyFont="1" applyFill="1" applyBorder="1"/>
    <xf numFmtId="9" fontId="11" fillId="71" borderId="1" xfId="1" applyFont="1" applyFill="1" applyBorder="1"/>
    <xf numFmtId="0" fontId="11" fillId="0" borderId="1" xfId="0" applyFont="1" applyBorder="1" applyAlignment="1">
      <alignment horizontal="center"/>
    </xf>
    <xf numFmtId="0" fontId="11" fillId="0" borderId="1" xfId="0" applyFont="1" applyBorder="1" applyAlignment="1">
      <alignment horizontal="center" vertical="center"/>
    </xf>
    <xf numFmtId="2" fontId="11" fillId="71" borderId="1" xfId="0" applyNumberFormat="1" applyFont="1" applyFill="1" applyBorder="1"/>
    <xf numFmtId="0" fontId="9" fillId="70" borderId="42" xfId="0" applyFont="1" applyFill="1" applyBorder="1" applyAlignment="1">
      <alignment wrapText="1"/>
    </xf>
    <xf numFmtId="164" fontId="11" fillId="0" borderId="0" xfId="19994" applyNumberFormat="1" applyFont="1" applyFill="1" applyBorder="1"/>
    <xf numFmtId="9" fontId="11" fillId="72" borderId="4" xfId="0" applyNumberFormat="1" applyFont="1" applyFill="1" applyBorder="1"/>
    <xf numFmtId="9" fontId="11" fillId="72" borderId="1" xfId="1" applyFont="1" applyFill="1" applyBorder="1"/>
    <xf numFmtId="0" fontId="9" fillId="70" borderId="42" xfId="0" applyFont="1" applyFill="1" applyBorder="1" applyAlignment="1">
      <alignment vertical="center" wrapText="1"/>
    </xf>
    <xf numFmtId="0" fontId="9" fillId="70" borderId="43" xfId="0" applyFont="1" applyFill="1" applyBorder="1" applyAlignment="1">
      <alignment vertical="center" wrapText="1"/>
    </xf>
    <xf numFmtId="0" fontId="9" fillId="70" borderId="44" xfId="0" applyFont="1" applyFill="1" applyBorder="1" applyAlignment="1">
      <alignment horizontal="center" vertical="center"/>
    </xf>
    <xf numFmtId="0" fontId="9" fillId="70" borderId="45" xfId="0" applyFont="1" applyFill="1" applyBorder="1" applyAlignment="1">
      <alignment horizontal="center" vertical="center"/>
    </xf>
    <xf numFmtId="164" fontId="11" fillId="71" borderId="4" xfId="19994" applyNumberFormat="1" applyFont="1" applyFill="1" applyBorder="1"/>
    <xf numFmtId="9" fontId="11" fillId="71" borderId="4" xfId="1" applyFont="1" applyFill="1" applyBorder="1"/>
    <xf numFmtId="43" fontId="11" fillId="71" borderId="4" xfId="19994" applyFont="1" applyFill="1" applyBorder="1"/>
    <xf numFmtId="0" fontId="11" fillId="72" borderId="4" xfId="0" applyFont="1" applyFill="1" applyBorder="1"/>
    <xf numFmtId="164" fontId="11" fillId="71" borderId="1" xfId="0" applyNumberFormat="1" applyFont="1" applyFill="1" applyBorder="1"/>
    <xf numFmtId="0" fontId="8" fillId="0" borderId="0" xfId="0" applyFont="1" applyAlignment="1">
      <alignment horizontal="center"/>
    </xf>
    <xf numFmtId="0" fontId="130" fillId="0" borderId="0" xfId="15339" applyFont="1"/>
    <xf numFmtId="43" fontId="3" fillId="0" borderId="0" xfId="19994" applyFont="1"/>
    <xf numFmtId="10" fontId="8" fillId="0" borderId="0" xfId="1" applyNumberFormat="1" applyFont="1" applyAlignment="1">
      <alignment horizontal="center" wrapText="1"/>
    </xf>
    <xf numFmtId="0" fontId="8" fillId="0" borderId="1" xfId="0" applyFont="1" applyBorder="1"/>
    <xf numFmtId="0" fontId="122" fillId="0" borderId="1" xfId="0" applyFont="1" applyBorder="1"/>
    <xf numFmtId="0" fontId="8" fillId="0" borderId="79" xfId="0" applyFont="1" applyBorder="1"/>
    <xf numFmtId="0" fontId="122" fillId="0" borderId="79" xfId="0" applyFont="1" applyBorder="1" applyAlignment="1">
      <alignment horizontal="left" indent="2"/>
    </xf>
    <xf numFmtId="0" fontId="11" fillId="70" borderId="2" xfId="0" applyFont="1" applyFill="1" applyBorder="1"/>
    <xf numFmtId="0" fontId="8" fillId="0" borderId="6" xfId="0" applyFont="1" applyBorder="1"/>
    <xf numFmtId="0" fontId="122" fillId="0" borderId="6" xfId="0" applyFont="1" applyBorder="1"/>
    <xf numFmtId="0" fontId="11" fillId="70" borderId="77" xfId="0" applyFont="1" applyFill="1" applyBorder="1"/>
    <xf numFmtId="0" fontId="8" fillId="0" borderId="26" xfId="0" applyFont="1" applyBorder="1"/>
    <xf numFmtId="0" fontId="122" fillId="0" borderId="26" xfId="0" applyFont="1" applyBorder="1" applyAlignment="1">
      <alignment horizontal="left" indent="2"/>
    </xf>
    <xf numFmtId="0" fontId="122" fillId="0" borderId="0" xfId="0" applyFont="1"/>
    <xf numFmtId="10" fontId="122" fillId="0" borderId="0" xfId="1" applyNumberFormat="1" applyFont="1" applyBorder="1"/>
    <xf numFmtId="9" fontId="122" fillId="0" borderId="0" xfId="1" applyFont="1" applyBorder="1"/>
    <xf numFmtId="0" fontId="11" fillId="0" borderId="4" xfId="2" applyFont="1" applyBorder="1" applyAlignment="1">
      <alignment horizontal="left" vertical="top"/>
    </xf>
    <xf numFmtId="0" fontId="11" fillId="0" borderId="4" xfId="2" applyFont="1" applyBorder="1" applyAlignment="1">
      <alignment horizontal="left" vertical="center"/>
    </xf>
    <xf numFmtId="0" fontId="9" fillId="2" borderId="3" xfId="2" applyFont="1" applyFill="1" applyBorder="1" applyAlignment="1">
      <alignment horizontal="left"/>
    </xf>
    <xf numFmtId="0" fontId="11" fillId="0" borderId="4" xfId="2" applyFont="1" applyBorder="1" applyAlignment="1">
      <alignment horizontal="left"/>
    </xf>
    <xf numFmtId="0" fontId="11" fillId="0" borderId="4" xfId="2" applyFont="1" applyBorder="1"/>
    <xf numFmtId="0" fontId="10" fillId="0" borderId="77" xfId="0" applyFont="1" applyBorder="1"/>
    <xf numFmtId="0" fontId="9" fillId="2" borderId="2" xfId="2" applyFont="1" applyFill="1" applyBorder="1" applyAlignment="1">
      <alignment horizontal="left" vertical="top"/>
    </xf>
    <xf numFmtId="0" fontId="11" fillId="0" borderId="1" xfId="2" applyFont="1" applyBorder="1" applyAlignment="1">
      <alignment horizontal="center" vertical="center"/>
    </xf>
    <xf numFmtId="0" fontId="11" fillId="0" borderId="0" xfId="2" applyFont="1" applyAlignment="1">
      <alignment horizontal="center" vertical="center"/>
    </xf>
    <xf numFmtId="0" fontId="9" fillId="0" borderId="0" xfId="3" applyFont="1" applyAlignment="1">
      <alignment horizontal="center"/>
    </xf>
    <xf numFmtId="0" fontId="9" fillId="2" borderId="3" xfId="2" applyFont="1" applyFill="1" applyBorder="1" applyAlignment="1">
      <alignment horizontal="center" vertical="top"/>
    </xf>
    <xf numFmtId="0" fontId="11" fillId="0" borderId="3" xfId="2" applyFont="1" applyBorder="1" applyAlignment="1">
      <alignment horizontal="center" vertical="top"/>
    </xf>
    <xf numFmtId="0" fontId="11" fillId="0" borderId="3" xfId="2" applyFont="1" applyBorder="1" applyAlignment="1">
      <alignment horizontal="center" vertical="center"/>
    </xf>
    <xf numFmtId="0" fontId="9" fillId="0" borderId="0" xfId="2" applyFont="1" applyAlignment="1">
      <alignment horizontal="center"/>
    </xf>
    <xf numFmtId="0" fontId="9" fillId="0" borderId="0" xfId="2" applyFont="1" applyAlignment="1">
      <alignment horizontal="center" vertical="top"/>
    </xf>
    <xf numFmtId="0" fontId="10" fillId="0" borderId="0" xfId="0" applyFont="1" applyAlignment="1">
      <alignment horizontal="center"/>
    </xf>
    <xf numFmtId="0" fontId="11" fillId="0" borderId="3" xfId="2" applyFont="1" applyBorder="1" applyAlignment="1">
      <alignment horizontal="center"/>
    </xf>
    <xf numFmtId="2" fontId="11" fillId="0" borderId="3" xfId="2" applyNumberFormat="1" applyFont="1" applyBorder="1" applyAlignment="1">
      <alignment horizontal="center" vertical="center"/>
    </xf>
    <xf numFmtId="0" fontId="10" fillId="0" borderId="1" xfId="0" applyFont="1" applyBorder="1" applyAlignment="1">
      <alignment horizontal="center"/>
    </xf>
    <xf numFmtId="0" fontId="11" fillId="0" borderId="1" xfId="2" applyFont="1" applyBorder="1" applyAlignment="1">
      <alignment horizontal="center" vertical="top"/>
    </xf>
    <xf numFmtId="0" fontId="11" fillId="0" borderId="1" xfId="2" applyFont="1" applyBorder="1" applyAlignment="1">
      <alignment horizontal="center"/>
    </xf>
    <xf numFmtId="2" fontId="11" fillId="0" borderId="1" xfId="2" applyNumberFormat="1" applyFont="1" applyBorder="1" applyAlignment="1">
      <alignment horizontal="center"/>
    </xf>
    <xf numFmtId="9" fontId="11" fillId="0" borderId="3" xfId="1" applyFont="1" applyBorder="1" applyAlignment="1">
      <alignment horizontal="center" vertical="center"/>
    </xf>
    <xf numFmtId="0" fontId="10" fillId="0" borderId="3" xfId="0" applyFont="1" applyBorder="1" applyAlignment="1">
      <alignment horizontal="center"/>
    </xf>
    <xf numFmtId="0" fontId="135" fillId="0" borderId="16" xfId="0" applyFont="1" applyBorder="1"/>
    <xf numFmtId="0" fontId="8" fillId="0" borderId="16" xfId="0" applyFont="1" applyBorder="1"/>
    <xf numFmtId="0" fontId="4" fillId="0" borderId="16" xfId="15339" applyFont="1" applyBorder="1"/>
    <xf numFmtId="0" fontId="9" fillId="0" borderId="16" xfId="15339" applyFont="1" applyBorder="1"/>
    <xf numFmtId="0" fontId="135" fillId="0" borderId="0" xfId="0" applyFont="1" applyAlignment="1">
      <alignment horizontal="left"/>
    </xf>
    <xf numFmtId="0" fontId="134" fillId="0" borderId="16" xfId="0" applyFont="1" applyBorder="1" applyAlignment="1">
      <alignment horizontal="left"/>
    </xf>
    <xf numFmtId="0" fontId="10" fillId="0" borderId="16" xfId="0" applyFont="1" applyBorder="1"/>
    <xf numFmtId="0" fontId="9" fillId="70" borderId="41" xfId="2" applyFont="1" applyFill="1" applyBorder="1" applyAlignment="1">
      <alignment horizontal="left" vertical="top"/>
    </xf>
    <xf numFmtId="0" fontId="9" fillId="70" borderId="80" xfId="15339" applyFont="1" applyFill="1" applyBorder="1"/>
    <xf numFmtId="0" fontId="23" fillId="0" borderId="0" xfId="0" applyFont="1"/>
    <xf numFmtId="0" fontId="3" fillId="0" borderId="54" xfId="15339" applyBorder="1" applyAlignment="1">
      <alignment horizontal="left"/>
    </xf>
    <xf numFmtId="0" fontId="3" fillId="0" borderId="49" xfId="15339" applyBorder="1" applyAlignment="1">
      <alignment horizontal="left"/>
    </xf>
    <xf numFmtId="0" fontId="9" fillId="70" borderId="41" xfId="15339" applyFont="1" applyFill="1" applyBorder="1" applyAlignment="1">
      <alignment horizontal="left"/>
    </xf>
    <xf numFmtId="0" fontId="9" fillId="70" borderId="42" xfId="15339" applyFont="1" applyFill="1" applyBorder="1" applyAlignment="1">
      <alignment horizontal="left"/>
    </xf>
    <xf numFmtId="0" fontId="11" fillId="0" borderId="0" xfId="15339" applyFont="1"/>
    <xf numFmtId="0" fontId="11" fillId="0" borderId="0" xfId="15339" applyFont="1" applyAlignment="1">
      <alignment horizontal="center" vertical="top"/>
    </xf>
    <xf numFmtId="0" fontId="11" fillId="0" borderId="56" xfId="15339" applyFont="1" applyBorder="1" applyAlignment="1">
      <alignment horizontal="left"/>
    </xf>
    <xf numFmtId="0" fontId="11" fillId="0" borderId="4" xfId="15339" applyFont="1" applyBorder="1" applyAlignment="1">
      <alignment horizontal="left" vertical="center"/>
    </xf>
    <xf numFmtId="0" fontId="11" fillId="0" borderId="4" xfId="15339" applyFont="1" applyBorder="1" applyAlignment="1">
      <alignment horizontal="center" vertical="center"/>
    </xf>
    <xf numFmtId="0" fontId="11" fillId="0" borderId="58" xfId="15339" applyFont="1" applyBorder="1" applyAlignment="1">
      <alignment horizontal="center" vertical="center"/>
    </xf>
    <xf numFmtId="164" fontId="11" fillId="72" borderId="46" xfId="11552" applyNumberFormat="1" applyFont="1" applyFill="1" applyBorder="1" applyAlignment="1" applyProtection="1">
      <alignment horizontal="right" vertical="center"/>
      <protection locked="0"/>
    </xf>
    <xf numFmtId="164" fontId="11" fillId="72" borderId="48" xfId="11552" applyNumberFormat="1" applyFont="1" applyFill="1" applyBorder="1" applyAlignment="1" applyProtection="1">
      <alignment horizontal="right" vertical="center"/>
      <protection locked="0"/>
    </xf>
    <xf numFmtId="0" fontId="11" fillId="0" borderId="54" xfId="15339" applyFont="1" applyBorder="1" applyAlignment="1">
      <alignment horizontal="left"/>
    </xf>
    <xf numFmtId="0" fontId="11" fillId="0" borderId="1" xfId="15339" applyFont="1" applyBorder="1" applyAlignment="1">
      <alignment horizontal="left" vertical="center"/>
    </xf>
    <xf numFmtId="0" fontId="11" fillId="0" borderId="52" xfId="15339" applyFont="1" applyBorder="1" applyAlignment="1">
      <alignment horizontal="center" vertical="center"/>
    </xf>
    <xf numFmtId="164" fontId="11" fillId="72" borderId="54" xfId="11552" applyNumberFormat="1" applyFont="1" applyFill="1" applyBorder="1" applyAlignment="1" applyProtection="1">
      <alignment horizontal="right" vertical="center"/>
      <protection locked="0"/>
    </xf>
    <xf numFmtId="164" fontId="11" fillId="72" borderId="52" xfId="11552" applyNumberFormat="1" applyFont="1" applyFill="1" applyBorder="1" applyAlignment="1" applyProtection="1">
      <alignment horizontal="right" vertical="center"/>
      <protection locked="0"/>
    </xf>
    <xf numFmtId="0" fontId="11" fillId="0" borderId="49" xfId="15339" applyFont="1" applyBorder="1" applyAlignment="1">
      <alignment horizontal="left"/>
    </xf>
    <xf numFmtId="0" fontId="11" fillId="0" borderId="50" xfId="15339" applyFont="1" applyBorder="1" applyAlignment="1">
      <alignment horizontal="left" vertical="center"/>
    </xf>
    <xf numFmtId="0" fontId="11" fillId="0" borderId="50" xfId="15339" applyFont="1" applyBorder="1" applyAlignment="1">
      <alignment horizontal="center" vertical="center"/>
    </xf>
    <xf numFmtId="0" fontId="11" fillId="0" borderId="39" xfId="15339" applyFont="1" applyBorder="1" applyAlignment="1">
      <alignment horizontal="center" vertical="center"/>
    </xf>
    <xf numFmtId="164" fontId="11" fillId="71" borderId="49" xfId="11552" applyNumberFormat="1" applyFont="1" applyFill="1" applyBorder="1" applyAlignment="1" applyProtection="1">
      <alignment horizontal="right" vertical="center"/>
    </xf>
    <xf numFmtId="164" fontId="11" fillId="72" borderId="39" xfId="11552" applyNumberFormat="1" applyFont="1" applyFill="1" applyBorder="1" applyAlignment="1" applyProtection="1">
      <alignment horizontal="right" vertical="center"/>
      <protection locked="0"/>
    </xf>
    <xf numFmtId="0" fontId="9" fillId="0" borderId="0" xfId="15339" applyFont="1" applyAlignment="1">
      <alignment horizontal="left"/>
    </xf>
    <xf numFmtId="0" fontId="11" fillId="0" borderId="0" xfId="15339" applyFont="1" applyAlignment="1">
      <alignment horizontal="center"/>
    </xf>
    <xf numFmtId="0" fontId="11" fillId="0" borderId="0" xfId="15339" applyFont="1" applyAlignment="1">
      <alignment horizontal="center" vertical="center"/>
    </xf>
    <xf numFmtId="43" fontId="11" fillId="0" borderId="0" xfId="11552" applyFont="1" applyFill="1" applyBorder="1" applyAlignment="1" applyProtection="1">
      <alignment horizontal="right" vertical="center"/>
    </xf>
    <xf numFmtId="0" fontId="11" fillId="70" borderId="42" xfId="15339" applyFont="1" applyFill="1" applyBorder="1" applyAlignment="1">
      <alignment horizontal="center" vertical="center"/>
    </xf>
    <xf numFmtId="0" fontId="11" fillId="70" borderId="43" xfId="15339" applyFont="1" applyFill="1" applyBorder="1" applyAlignment="1">
      <alignment horizontal="center" vertical="center"/>
    </xf>
    <xf numFmtId="0" fontId="11" fillId="0" borderId="4" xfId="15339" applyFont="1" applyBorder="1" applyAlignment="1">
      <alignment horizontal="left"/>
    </xf>
    <xf numFmtId="0" fontId="11" fillId="0" borderId="1" xfId="15339" quotePrefix="1" applyFont="1" applyBorder="1" applyAlignment="1">
      <alignment horizontal="left"/>
    </xf>
    <xf numFmtId="0" fontId="11" fillId="0" borderId="1" xfId="15339" applyFont="1" applyBorder="1" applyAlignment="1">
      <alignment horizontal="center" vertical="center"/>
    </xf>
    <xf numFmtId="0" fontId="11" fillId="0" borderId="1" xfId="15339" applyFont="1" applyBorder="1" applyAlignment="1">
      <alignment horizontal="left"/>
    </xf>
    <xf numFmtId="0" fontId="11" fillId="0" borderId="50" xfId="15339" applyFont="1" applyBorder="1" applyAlignment="1">
      <alignment horizontal="left"/>
    </xf>
    <xf numFmtId="43" fontId="11" fillId="72" borderId="46" xfId="11552" applyFont="1" applyFill="1" applyBorder="1" applyAlignment="1" applyProtection="1">
      <alignment horizontal="right" vertical="center"/>
      <protection locked="0"/>
    </xf>
    <xf numFmtId="43" fontId="11" fillId="72" borderId="54" xfId="11552" applyFont="1" applyFill="1" applyBorder="1" applyAlignment="1" applyProtection="1">
      <alignment horizontal="right" vertical="center"/>
      <protection locked="0"/>
    </xf>
    <xf numFmtId="43" fontId="11" fillId="72" borderId="49" xfId="11552" applyFont="1" applyFill="1" applyBorder="1" applyAlignment="1" applyProtection="1">
      <alignment horizontal="right" vertical="center"/>
      <protection locked="0"/>
    </xf>
    <xf numFmtId="180" fontId="11" fillId="72" borderId="46" xfId="11552" applyNumberFormat="1" applyFont="1" applyFill="1" applyBorder="1" applyAlignment="1" applyProtection="1">
      <alignment horizontal="right" vertical="center"/>
      <protection locked="0"/>
    </xf>
    <xf numFmtId="180" fontId="11" fillId="72" borderId="57" xfId="11552" applyNumberFormat="1" applyFont="1" applyFill="1" applyBorder="1" applyAlignment="1" applyProtection="1">
      <alignment horizontal="right" vertical="center"/>
      <protection locked="0"/>
    </xf>
    <xf numFmtId="180" fontId="11" fillId="72" borderId="54" xfId="11552" applyNumberFormat="1" applyFont="1" applyFill="1" applyBorder="1" applyAlignment="1" applyProtection="1">
      <alignment horizontal="right" vertical="center"/>
      <protection locked="0"/>
    </xf>
    <xf numFmtId="180" fontId="11" fillId="72" borderId="11" xfId="11552" applyNumberFormat="1" applyFont="1" applyFill="1" applyBorder="1" applyAlignment="1" applyProtection="1">
      <alignment horizontal="right" vertical="center"/>
      <protection locked="0"/>
    </xf>
    <xf numFmtId="0" fontId="11" fillId="0" borderId="50" xfId="15339" applyFont="1" applyBorder="1"/>
    <xf numFmtId="180" fontId="11" fillId="72" borderId="49" xfId="11552" applyNumberFormat="1" applyFont="1" applyFill="1" applyBorder="1" applyAlignment="1" applyProtection="1">
      <alignment horizontal="right" vertical="center"/>
      <protection locked="0"/>
    </xf>
    <xf numFmtId="180" fontId="11" fillId="72" borderId="51" xfId="11552" applyNumberFormat="1" applyFont="1" applyFill="1" applyBorder="1" applyAlignment="1" applyProtection="1">
      <alignment horizontal="right" vertical="center"/>
      <protection locked="0"/>
    </xf>
    <xf numFmtId="164" fontId="11" fillId="71" borderId="46" xfId="11552" applyNumberFormat="1" applyFont="1" applyFill="1" applyBorder="1" applyAlignment="1" applyProtection="1">
      <alignment horizontal="right" vertical="center"/>
    </xf>
    <xf numFmtId="164" fontId="11" fillId="71" borderId="57" xfId="11552" applyNumberFormat="1" applyFont="1" applyFill="1" applyBorder="1" applyAlignment="1" applyProtection="1">
      <alignment horizontal="right" vertical="center"/>
    </xf>
    <xf numFmtId="164" fontId="11" fillId="71" borderId="56" xfId="11552" applyNumberFormat="1" applyFont="1" applyFill="1" applyBorder="1" applyAlignment="1" applyProtection="1">
      <alignment horizontal="right" vertical="center"/>
    </xf>
    <xf numFmtId="164" fontId="11" fillId="71" borderId="55" xfId="11552" applyNumberFormat="1" applyFont="1" applyFill="1" applyBorder="1" applyAlignment="1" applyProtection="1">
      <alignment horizontal="right" vertical="center"/>
    </xf>
    <xf numFmtId="164" fontId="11" fillId="71" borderId="54" xfId="11552" applyNumberFormat="1" applyFont="1" applyFill="1" applyBorder="1" applyAlignment="1" applyProtection="1">
      <alignment horizontal="right" vertical="center"/>
    </xf>
    <xf numFmtId="164" fontId="11" fillId="71" borderId="53" xfId="11552" applyNumberFormat="1" applyFont="1" applyFill="1" applyBorder="1" applyAlignment="1" applyProtection="1">
      <alignment horizontal="right" vertical="center"/>
    </xf>
    <xf numFmtId="0" fontId="11" fillId="0" borderId="50" xfId="15339" quotePrefix="1" applyFont="1" applyBorder="1" applyAlignment="1">
      <alignment horizontal="left"/>
    </xf>
    <xf numFmtId="164" fontId="11" fillId="71" borderId="51" xfId="11552" applyNumberFormat="1" applyFont="1" applyFill="1" applyBorder="1" applyAlignment="1" applyProtection="1">
      <alignment horizontal="right" vertical="center"/>
    </xf>
    <xf numFmtId="0" fontId="16" fillId="2" borderId="77" xfId="0" applyFont="1" applyFill="1" applyBorder="1" applyAlignment="1">
      <alignment horizontal="left"/>
    </xf>
    <xf numFmtId="0" fontId="134" fillId="70" borderId="71" xfId="0" applyFont="1" applyFill="1" applyBorder="1" applyAlignment="1">
      <alignment horizontal="left"/>
    </xf>
    <xf numFmtId="0" fontId="0" fillId="70" borderId="26" xfId="0" applyFill="1" applyBorder="1"/>
    <xf numFmtId="0" fontId="16" fillId="2" borderId="16" xfId="0" applyFont="1" applyFill="1" applyBorder="1" applyAlignment="1">
      <alignment horizontal="left"/>
    </xf>
    <xf numFmtId="0" fontId="10" fillId="0" borderId="0" xfId="0" applyFont="1" applyAlignment="1">
      <alignment horizontal="center" wrapText="1"/>
    </xf>
    <xf numFmtId="1" fontId="11" fillId="0" borderId="1" xfId="0" applyNumberFormat="1" applyFont="1" applyBorder="1" applyAlignment="1">
      <alignment horizontal="left"/>
    </xf>
    <xf numFmtId="0" fontId="11" fillId="0" borderId="0" xfId="0" applyFont="1" applyAlignment="1">
      <alignment horizontal="left" vertical="center"/>
    </xf>
    <xf numFmtId="1" fontId="11" fillId="0" borderId="0" xfId="0" applyNumberFormat="1" applyFont="1" applyAlignment="1">
      <alignment horizontal="left"/>
    </xf>
    <xf numFmtId="1" fontId="11" fillId="0" borderId="4" xfId="0" applyNumberFormat="1" applyFont="1" applyBorder="1" applyAlignment="1">
      <alignment horizontal="left"/>
    </xf>
    <xf numFmtId="9" fontId="11" fillId="0" borderId="0" xfId="1" applyFont="1" applyFill="1" applyAlignment="1"/>
    <xf numFmtId="9" fontId="10" fillId="0" borderId="0" xfId="1" applyFont="1" applyFill="1"/>
    <xf numFmtId="0" fontId="3" fillId="0" borderId="46" xfId="15339" applyBorder="1" applyAlignment="1">
      <alignment horizontal="left"/>
    </xf>
    <xf numFmtId="0" fontId="3" fillId="0" borderId="46" xfId="15339" applyBorder="1"/>
    <xf numFmtId="0" fontId="3" fillId="0" borderId="54" xfId="15339" applyBorder="1"/>
    <xf numFmtId="0" fontId="3" fillId="0" borderId="49" xfId="15339" applyBorder="1"/>
    <xf numFmtId="0" fontId="3" fillId="0" borderId="44" xfId="15339" applyBorder="1"/>
    <xf numFmtId="0" fontId="143" fillId="0" borderId="0" xfId="0" applyFont="1"/>
    <xf numFmtId="10" fontId="143" fillId="0" borderId="0" xfId="1" applyNumberFormat="1" applyFont="1"/>
    <xf numFmtId="43" fontId="143" fillId="0" borderId="0" xfId="0" applyNumberFormat="1" applyFont="1"/>
    <xf numFmtId="0" fontId="143" fillId="0" borderId="0" xfId="0" applyFont="1" applyAlignment="1">
      <alignment horizontal="center" wrapText="1"/>
    </xf>
    <xf numFmtId="1" fontId="144" fillId="0" borderId="0" xfId="0" applyNumberFormat="1" applyFont="1" applyAlignment="1">
      <alignment horizontal="right"/>
    </xf>
    <xf numFmtId="10" fontId="144" fillId="0" borderId="0" xfId="1" applyNumberFormat="1" applyFont="1" applyBorder="1"/>
    <xf numFmtId="9" fontId="144" fillId="0" borderId="0" xfId="1" applyFont="1" applyBorder="1"/>
    <xf numFmtId="0" fontId="144" fillId="0" borderId="0" xfId="0" applyFont="1"/>
    <xf numFmtId="176" fontId="144" fillId="0" borderId="0" xfId="0" applyNumberFormat="1" applyFont="1"/>
    <xf numFmtId="0" fontId="143" fillId="0" borderId="0" xfId="0" applyFont="1" applyAlignment="1">
      <alignment vertical="center"/>
    </xf>
    <xf numFmtId="164" fontId="143" fillId="0" borderId="0" xfId="0" applyNumberFormat="1" applyFont="1" applyAlignment="1">
      <alignment horizontal="center" wrapText="1"/>
    </xf>
    <xf numFmtId="164" fontId="144" fillId="0" borderId="0" xfId="1" applyNumberFormat="1" applyFont="1" applyBorder="1"/>
    <xf numFmtId="164" fontId="143" fillId="0" borderId="0" xfId="0" applyNumberFormat="1" applyFont="1"/>
    <xf numFmtId="0" fontId="146" fillId="0" borderId="0" xfId="15339" applyFont="1"/>
    <xf numFmtId="10" fontId="143" fillId="0" borderId="0" xfId="1" applyNumberFormat="1" applyFont="1" applyAlignment="1">
      <alignment horizontal="center" wrapText="1"/>
    </xf>
    <xf numFmtId="0" fontId="147" fillId="0" borderId="0" xfId="0" applyFont="1"/>
    <xf numFmtId="0" fontId="148" fillId="0" borderId="0" xfId="0" applyFont="1"/>
    <xf numFmtId="0" fontId="148" fillId="0" borderId="0" xfId="0" applyFont="1" applyAlignment="1">
      <alignment horizontal="center" wrapText="1"/>
    </xf>
    <xf numFmtId="164" fontId="148" fillId="0" borderId="0" xfId="0" applyNumberFormat="1" applyFont="1"/>
    <xf numFmtId="0" fontId="147" fillId="70" borderId="26" xfId="0" applyFont="1" applyFill="1" applyBorder="1"/>
    <xf numFmtId="0" fontId="147" fillId="70" borderId="70" xfId="0" applyFont="1" applyFill="1" applyBorder="1"/>
    <xf numFmtId="0" fontId="149" fillId="2" borderId="16" xfId="0" applyFont="1" applyFill="1" applyBorder="1" applyAlignment="1">
      <alignment horizontal="left"/>
    </xf>
    <xf numFmtId="0" fontId="149" fillId="2" borderId="78" xfId="0" applyFont="1" applyFill="1" applyBorder="1" applyAlignment="1">
      <alignment horizontal="left"/>
    </xf>
    <xf numFmtId="49" fontId="11" fillId="0" borderId="0" xfId="19994" applyNumberFormat="1" applyFont="1" applyFill="1" applyBorder="1"/>
    <xf numFmtId="2" fontId="11" fillId="72" borderId="4" xfId="0" applyNumberFormat="1" applyFont="1" applyFill="1" applyBorder="1"/>
    <xf numFmtId="9" fontId="8" fillId="0" borderId="0" xfId="0" applyNumberFormat="1" applyFont="1"/>
    <xf numFmtId="0" fontId="9" fillId="2" borderId="4" xfId="2" applyFont="1" applyFill="1" applyBorder="1" applyAlignment="1">
      <alignment horizontal="left" vertical="top"/>
    </xf>
    <xf numFmtId="0" fontId="122" fillId="0" borderId="6" xfId="0" applyFont="1" applyBorder="1" applyAlignment="1">
      <alignment horizontal="right"/>
    </xf>
    <xf numFmtId="43" fontId="10" fillId="0" borderId="0" xfId="0" applyNumberFormat="1" applyFont="1"/>
    <xf numFmtId="164" fontId="11" fillId="4" borderId="3" xfId="4" applyNumberFormat="1" applyFont="1" applyFill="1" applyBorder="1" applyAlignment="1" applyProtection="1">
      <alignment horizontal="right" vertical="center"/>
      <protection locked="0"/>
    </xf>
    <xf numFmtId="43" fontId="11" fillId="4" borderId="3" xfId="4" applyFont="1" applyFill="1" applyBorder="1" applyAlignment="1" applyProtection="1">
      <alignment horizontal="right" vertical="center"/>
      <protection locked="0"/>
    </xf>
    <xf numFmtId="164" fontId="11" fillId="0" borderId="0" xfId="4" applyNumberFormat="1" applyFont="1" applyAlignment="1">
      <alignment horizontal="right" vertical="center"/>
    </xf>
    <xf numFmtId="10" fontId="11" fillId="0" borderId="0" xfId="1" applyNumberFormat="1" applyFont="1" applyBorder="1"/>
    <xf numFmtId="0" fontId="2" fillId="0" borderId="0" xfId="0" applyFont="1"/>
    <xf numFmtId="2" fontId="10" fillId="0" borderId="0" xfId="0" applyNumberFormat="1" applyFont="1"/>
    <xf numFmtId="2" fontId="11" fillId="0" borderId="0" xfId="2" applyNumberFormat="1" applyFont="1" applyAlignment="1">
      <alignment horizontal="center"/>
    </xf>
    <xf numFmtId="0" fontId="3" fillId="0" borderId="0" xfId="2" applyAlignment="1">
      <alignment horizontal="center"/>
    </xf>
    <xf numFmtId="164" fontId="11" fillId="0" borderId="0" xfId="4" applyNumberFormat="1" applyFont="1" applyFill="1" applyBorder="1" applyAlignment="1" applyProtection="1">
      <alignment horizontal="right" vertical="center"/>
      <protection locked="0"/>
    </xf>
    <xf numFmtId="9" fontId="11" fillId="72" borderId="1" xfId="19994" applyNumberFormat="1" applyFont="1" applyFill="1" applyBorder="1"/>
    <xf numFmtId="176" fontId="11" fillId="4" borderId="3" xfId="4" applyNumberFormat="1" applyFont="1" applyFill="1" applyBorder="1" applyAlignment="1" applyProtection="1">
      <alignment horizontal="right" vertical="center"/>
      <protection locked="0"/>
    </xf>
    <xf numFmtId="164" fontId="11" fillId="0" borderId="0" xfId="19994" applyNumberFormat="1" applyFont="1"/>
    <xf numFmtId="164" fontId="11" fillId="0" borderId="0" xfId="2" applyNumberFormat="1" applyFont="1"/>
    <xf numFmtId="176" fontId="11" fillId="72" borderId="1" xfId="19994" applyNumberFormat="1" applyFont="1" applyFill="1" applyBorder="1"/>
    <xf numFmtId="176" fontId="11" fillId="72" borderId="2" xfId="19994" applyNumberFormat="1" applyFont="1" applyFill="1" applyBorder="1"/>
    <xf numFmtId="10" fontId="11" fillId="72" borderId="1" xfId="1" applyNumberFormat="1" applyFont="1" applyFill="1" applyBorder="1"/>
    <xf numFmtId="0" fontId="150" fillId="0" borderId="0" xfId="0" applyFont="1"/>
    <xf numFmtId="0" fontId="145" fillId="0" borderId="82" xfId="2" applyFont="1" applyBorder="1" applyProtection="1">
      <protection locked="0"/>
    </xf>
    <xf numFmtId="0" fontId="145" fillId="0" borderId="82" xfId="0" applyFont="1" applyBorder="1" applyProtection="1">
      <protection locked="0"/>
    </xf>
    <xf numFmtId="0" fontId="145" fillId="0" borderId="83" xfId="0" applyFont="1" applyBorder="1" applyProtection="1">
      <protection locked="0"/>
    </xf>
    <xf numFmtId="0" fontId="145" fillId="0" borderId="0" xfId="2" applyFont="1" applyProtection="1">
      <protection locked="0"/>
    </xf>
    <xf numFmtId="0" fontId="145" fillId="0" borderId="85" xfId="0" applyFont="1" applyBorder="1" applyProtection="1">
      <protection locked="0"/>
    </xf>
    <xf numFmtId="0" fontId="3" fillId="0" borderId="0" xfId="0" applyFont="1" applyProtection="1">
      <protection locked="0"/>
    </xf>
    <xf numFmtId="0" fontId="145" fillId="0" borderId="85" xfId="2" applyFont="1" applyBorder="1" applyProtection="1">
      <protection locked="0"/>
    </xf>
    <xf numFmtId="0" fontId="145" fillId="0" borderId="87" xfId="2" applyFont="1" applyBorder="1" applyProtection="1">
      <protection locked="0"/>
    </xf>
    <xf numFmtId="0" fontId="145" fillId="0" borderId="87" xfId="0" applyFont="1" applyBorder="1" applyProtection="1">
      <protection locked="0"/>
    </xf>
    <xf numFmtId="0" fontId="145" fillId="0" borderId="88" xfId="0" applyFont="1" applyBorder="1" applyProtection="1">
      <protection locked="0"/>
    </xf>
    <xf numFmtId="0" fontId="9" fillId="2" borderId="6" xfId="2" applyFont="1" applyFill="1" applyBorder="1" applyAlignment="1">
      <alignment horizontal="center" vertical="top"/>
    </xf>
    <xf numFmtId="0" fontId="9" fillId="2" borderId="78" xfId="2" applyFont="1" applyFill="1" applyBorder="1" applyAlignment="1">
      <alignment horizontal="left"/>
    </xf>
    <xf numFmtId="0" fontId="9" fillId="2" borderId="79" xfId="2" applyFont="1" applyFill="1" applyBorder="1" applyAlignment="1">
      <alignment horizontal="left" vertical="top"/>
    </xf>
    <xf numFmtId="0" fontId="9" fillId="2" borderId="70" xfId="2" applyFont="1" applyFill="1" applyBorder="1" applyAlignment="1">
      <alignment horizontal="left"/>
    </xf>
    <xf numFmtId="0" fontId="11" fillId="70" borderId="79" xfId="0" applyFont="1" applyFill="1" applyBorder="1" applyAlignment="1">
      <alignment horizontal="left"/>
    </xf>
    <xf numFmtId="1" fontId="11" fillId="70" borderId="79" xfId="0" applyNumberFormat="1" applyFont="1" applyFill="1" applyBorder="1" applyAlignment="1">
      <alignment horizontal="left"/>
    </xf>
    <xf numFmtId="0" fontId="11" fillId="0" borderId="4" xfId="2" applyFont="1" applyBorder="1" applyAlignment="1">
      <alignment horizontal="center"/>
    </xf>
    <xf numFmtId="164" fontId="11" fillId="4" borderId="4" xfId="4" applyNumberFormat="1" applyFont="1" applyFill="1" applyBorder="1" applyAlignment="1" applyProtection="1">
      <alignment horizontal="right" vertical="center"/>
      <protection locked="0"/>
    </xf>
    <xf numFmtId="0" fontId="11" fillId="0" borderId="16" xfId="2" applyFont="1" applyBorder="1" applyAlignment="1">
      <alignment horizontal="center"/>
    </xf>
    <xf numFmtId="164" fontId="11" fillId="0" borderId="16" xfId="4" applyNumberFormat="1" applyFont="1" applyFill="1" applyBorder="1" applyAlignment="1" applyProtection="1">
      <alignment horizontal="right" vertical="center"/>
      <protection locked="0"/>
    </xf>
    <xf numFmtId="0" fontId="11" fillId="70" borderId="79" xfId="0" applyFont="1" applyFill="1" applyBorder="1"/>
    <xf numFmtId="0" fontId="9" fillId="70" borderId="40" xfId="0" applyFont="1" applyFill="1" applyBorder="1" applyAlignment="1">
      <alignment horizontal="center" vertical="center"/>
    </xf>
    <xf numFmtId="0" fontId="3" fillId="0" borderId="81" xfId="2" applyBorder="1" applyProtection="1">
      <protection locked="0"/>
    </xf>
    <xf numFmtId="0" fontId="3" fillId="0" borderId="84" xfId="2" quotePrefix="1" applyBorder="1" applyAlignment="1" applyProtection="1">
      <alignment horizontal="left"/>
      <protection locked="0"/>
    </xf>
    <xf numFmtId="0" fontId="3" fillId="0" borderId="0" xfId="2" quotePrefix="1" applyAlignment="1" applyProtection="1">
      <alignment horizontal="left"/>
      <protection locked="0"/>
    </xf>
    <xf numFmtId="0" fontId="151" fillId="0" borderId="84" xfId="0" applyFont="1" applyBorder="1"/>
    <xf numFmtId="0" fontId="3" fillId="0" borderId="84" xfId="2" applyBorder="1" applyProtection="1">
      <protection locked="0"/>
    </xf>
    <xf numFmtId="0" fontId="3" fillId="0" borderId="86" xfId="2" applyBorder="1" applyProtection="1">
      <protection locked="0"/>
    </xf>
    <xf numFmtId="164" fontId="11" fillId="72" borderId="1" xfId="19994" applyNumberFormat="1" applyFont="1" applyFill="1" applyBorder="1" applyAlignment="1">
      <alignment horizontal="center"/>
    </xf>
    <xf numFmtId="0" fontId="8" fillId="0" borderId="81" xfId="2" applyFont="1" applyBorder="1" applyProtection="1">
      <protection locked="0"/>
    </xf>
    <xf numFmtId="0" fontId="143" fillId="0" borderId="82" xfId="2" applyFont="1" applyBorder="1" applyProtection="1">
      <protection locked="0"/>
    </xf>
    <xf numFmtId="0" fontId="143" fillId="0" borderId="82" xfId="0" applyFont="1" applyBorder="1" applyProtection="1">
      <protection locked="0"/>
    </xf>
    <xf numFmtId="0" fontId="143" fillId="0" borderId="83" xfId="0" applyFont="1" applyBorder="1" applyProtection="1">
      <protection locked="0"/>
    </xf>
    <xf numFmtId="0" fontId="8" fillId="0" borderId="84" xfId="2" quotePrefix="1" applyFont="1" applyBorder="1" applyAlignment="1" applyProtection="1">
      <alignment horizontal="left"/>
      <protection locked="0"/>
    </xf>
    <xf numFmtId="0" fontId="143" fillId="0" borderId="0" xfId="2" applyFont="1" applyProtection="1">
      <protection locked="0"/>
    </xf>
    <xf numFmtId="0" fontId="8" fillId="0" borderId="0" xfId="2" quotePrefix="1" applyFont="1" applyAlignment="1" applyProtection="1">
      <alignment horizontal="left"/>
      <protection locked="0"/>
    </xf>
    <xf numFmtId="0" fontId="143" fillId="0" borderId="85" xfId="0" applyFont="1" applyBorder="1" applyProtection="1">
      <protection locked="0"/>
    </xf>
    <xf numFmtId="0" fontId="8" fillId="0" borderId="0" xfId="0" applyFont="1" applyProtection="1">
      <protection locked="0"/>
    </xf>
    <xf numFmtId="0" fontId="8" fillId="0" borderId="84" xfId="2" applyFont="1" applyBorder="1" applyProtection="1">
      <protection locked="0"/>
    </xf>
    <xf numFmtId="0" fontId="143" fillId="0" borderId="85" xfId="2" applyFont="1" applyBorder="1" applyProtection="1">
      <protection locked="0"/>
    </xf>
    <xf numFmtId="0" fontId="8" fillId="0" borderId="86" xfId="2" applyFont="1" applyBorder="1" applyProtection="1">
      <protection locked="0"/>
    </xf>
    <xf numFmtId="0" fontId="143" fillId="0" borderId="87" xfId="2" applyFont="1" applyBorder="1" applyProtection="1">
      <protection locked="0"/>
    </xf>
    <xf numFmtId="0" fontId="143" fillId="0" borderId="87" xfId="0" applyFont="1" applyBorder="1" applyProtection="1">
      <protection locked="0"/>
    </xf>
    <xf numFmtId="0" fontId="143" fillId="0" borderId="88" xfId="0" applyFont="1" applyBorder="1" applyProtection="1">
      <protection locked="0"/>
    </xf>
    <xf numFmtId="0" fontId="2" fillId="0" borderId="84" xfId="0" applyFont="1" applyBorder="1"/>
    <xf numFmtId="0" fontId="145" fillId="0" borderId="0" xfId="0" applyFont="1"/>
    <xf numFmtId="0" fontId="152" fillId="0" borderId="84" xfId="0" applyFont="1" applyBorder="1"/>
    <xf numFmtId="176" fontId="11" fillId="3" borderId="1" xfId="19994" applyNumberFormat="1" applyFont="1" applyFill="1" applyBorder="1" applyAlignment="1">
      <alignment horizontal="right" vertical="center"/>
    </xf>
    <xf numFmtId="176" fontId="11" fillId="4" borderId="1" xfId="19994" applyNumberFormat="1" applyFont="1" applyFill="1" applyBorder="1" applyAlignment="1" applyProtection="1">
      <alignment horizontal="right" vertical="center"/>
      <protection locked="0"/>
    </xf>
    <xf numFmtId="176" fontId="11" fillId="72" borderId="1" xfId="19994" applyNumberFormat="1" applyFont="1" applyFill="1" applyBorder="1" applyAlignment="1" applyProtection="1">
      <alignment horizontal="right" vertical="center"/>
      <protection locked="0"/>
    </xf>
    <xf numFmtId="176" fontId="11" fillId="71" borderId="1" xfId="19994" applyNumberFormat="1" applyFont="1" applyFill="1" applyBorder="1" applyAlignment="1">
      <alignment horizontal="right" vertical="center"/>
    </xf>
    <xf numFmtId="176" fontId="122" fillId="0" borderId="6" xfId="19994" applyNumberFormat="1" applyFont="1" applyBorder="1"/>
    <xf numFmtId="164" fontId="11" fillId="3" borderId="1" xfId="19994" applyNumberFormat="1" applyFont="1" applyFill="1" applyBorder="1" applyAlignment="1">
      <alignment horizontal="right" vertical="center"/>
    </xf>
    <xf numFmtId="164" fontId="11" fillId="4" borderId="1" xfId="19994" applyNumberFormat="1" applyFont="1" applyFill="1" applyBorder="1" applyAlignment="1" applyProtection="1">
      <alignment horizontal="right" vertical="center"/>
      <protection locked="0"/>
    </xf>
    <xf numFmtId="164" fontId="122" fillId="0" borderId="6" xfId="19994" applyNumberFormat="1" applyFont="1" applyBorder="1"/>
    <xf numFmtId="176" fontId="122" fillId="0" borderId="79" xfId="19994" applyNumberFormat="1" applyFont="1" applyBorder="1"/>
    <xf numFmtId="176" fontId="122" fillId="0" borderId="6" xfId="19994" applyNumberFormat="1" applyFont="1" applyBorder="1" applyAlignment="1">
      <alignment horizontal="right"/>
    </xf>
    <xf numFmtId="164" fontId="122" fillId="0" borderId="6" xfId="19994" applyNumberFormat="1" applyFont="1" applyBorder="1" applyAlignment="1">
      <alignment horizontal="right"/>
    </xf>
    <xf numFmtId="164" fontId="11" fillId="4" borderId="5" xfId="19994" applyNumberFormat="1" applyFont="1" applyFill="1" applyBorder="1" applyAlignment="1" applyProtection="1">
      <alignment horizontal="right" vertical="center"/>
      <protection locked="0"/>
    </xf>
    <xf numFmtId="176" fontId="122" fillId="0" borderId="26" xfId="19994" applyNumberFormat="1" applyFont="1" applyBorder="1"/>
    <xf numFmtId="176" fontId="122" fillId="0" borderId="1" xfId="19994" applyNumberFormat="1" applyFont="1" applyBorder="1"/>
    <xf numFmtId="0" fontId="9" fillId="70" borderId="13" xfId="15339" applyFont="1" applyFill="1" applyBorder="1" applyAlignment="1">
      <alignment horizontal="center"/>
    </xf>
    <xf numFmtId="0" fontId="9" fillId="70" borderId="14" xfId="15339" applyFont="1" applyFill="1" applyBorder="1" applyAlignment="1">
      <alignment horizontal="center"/>
    </xf>
    <xf numFmtId="0" fontId="9" fillId="70" borderId="15" xfId="15339" applyFont="1" applyFill="1" applyBorder="1" applyAlignment="1">
      <alignment horizontal="center"/>
    </xf>
    <xf numFmtId="0" fontId="9" fillId="70" borderId="41" xfId="0" applyFont="1" applyFill="1" applyBorder="1" applyAlignment="1">
      <alignment horizontal="center"/>
    </xf>
    <xf numFmtId="0" fontId="9" fillId="70" borderId="42" xfId="0" applyFont="1" applyFill="1" applyBorder="1" applyAlignment="1">
      <alignment horizontal="center"/>
    </xf>
    <xf numFmtId="0" fontId="9" fillId="70" borderId="43" xfId="0" applyFont="1" applyFill="1" applyBorder="1" applyAlignment="1">
      <alignment horizontal="center"/>
    </xf>
    <xf numFmtId="0" fontId="9" fillId="2" borderId="47"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74"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48" xfId="0" applyFont="1" applyFill="1" applyBorder="1" applyAlignment="1">
      <alignment horizontal="center" vertical="center"/>
    </xf>
    <xf numFmtId="0" fontId="9" fillId="2" borderId="63" xfId="0" applyFont="1" applyFill="1" applyBorder="1" applyAlignment="1">
      <alignment horizontal="center" vertical="center"/>
    </xf>
    <xf numFmtId="0" fontId="9" fillId="2" borderId="39" xfId="0" applyFont="1" applyFill="1" applyBorder="1" applyAlignment="1">
      <alignment horizontal="center" vertical="center"/>
    </xf>
    <xf numFmtId="0" fontId="9" fillId="70" borderId="47" xfId="0" applyFont="1" applyFill="1" applyBorder="1" applyAlignment="1">
      <alignment horizontal="center" vertical="center"/>
    </xf>
    <xf numFmtId="0" fontId="9" fillId="70" borderId="5" xfId="0" applyFont="1" applyFill="1" applyBorder="1" applyAlignment="1">
      <alignment horizontal="center" vertical="center"/>
    </xf>
    <xf numFmtId="0" fontId="9" fillId="70" borderId="50" xfId="0" applyFont="1" applyFill="1" applyBorder="1" applyAlignment="1">
      <alignment horizontal="center" vertical="center"/>
    </xf>
  </cellXfs>
  <cellStyles count="19995">
    <cellStyle name="%" xfId="6" xr:uid="{00000000-0005-0000-0000-000000000000}"/>
    <cellStyle name="% 10" xfId="7" xr:uid="{00000000-0005-0000-0000-000001000000}"/>
    <cellStyle name="% 11" xfId="8" xr:uid="{00000000-0005-0000-0000-000002000000}"/>
    <cellStyle name="% 12" xfId="9" xr:uid="{00000000-0005-0000-0000-000003000000}"/>
    <cellStyle name="% 13" xfId="10" xr:uid="{00000000-0005-0000-0000-000004000000}"/>
    <cellStyle name="% 2" xfId="11" xr:uid="{00000000-0005-0000-0000-000005000000}"/>
    <cellStyle name="% 2 2" xfId="12" xr:uid="{00000000-0005-0000-0000-000006000000}"/>
    <cellStyle name="% 2 3" xfId="13" xr:uid="{00000000-0005-0000-0000-000007000000}"/>
    <cellStyle name="% 3" xfId="14" xr:uid="{00000000-0005-0000-0000-000008000000}"/>
    <cellStyle name="% 3 2" xfId="15" xr:uid="{00000000-0005-0000-0000-000009000000}"/>
    <cellStyle name="% 3 2 2" xfId="16" xr:uid="{00000000-0005-0000-0000-00000A000000}"/>
    <cellStyle name="% 3 3" xfId="17" xr:uid="{00000000-0005-0000-0000-00000B000000}"/>
    <cellStyle name="% 3 4" xfId="18" xr:uid="{00000000-0005-0000-0000-00000C000000}"/>
    <cellStyle name="% 3 5" xfId="19" xr:uid="{00000000-0005-0000-0000-00000D000000}"/>
    <cellStyle name="% 3 6" xfId="20" xr:uid="{00000000-0005-0000-0000-00000E000000}"/>
    <cellStyle name="% 4" xfId="21" xr:uid="{00000000-0005-0000-0000-00000F000000}"/>
    <cellStyle name="% 5" xfId="22" xr:uid="{00000000-0005-0000-0000-000010000000}"/>
    <cellStyle name="% 6" xfId="23" xr:uid="{00000000-0005-0000-0000-000011000000}"/>
    <cellStyle name="% 7" xfId="24" xr:uid="{00000000-0005-0000-0000-000012000000}"/>
    <cellStyle name="% 8" xfId="25" xr:uid="{00000000-0005-0000-0000-000013000000}"/>
    <cellStyle name="% 9" xfId="26" xr:uid="{00000000-0005-0000-0000-000014000000}"/>
    <cellStyle name="%_201314" xfId="27" xr:uid="{00000000-0005-0000-0000-000015000000}"/>
    <cellStyle name="%_A3 Sheet 1" xfId="28" xr:uid="{00000000-0005-0000-0000-000016000000}"/>
    <cellStyle name="%_All Projects" xfId="29" xr:uid="{00000000-0005-0000-0000-000017000000}"/>
    <cellStyle name="%_Book1" xfId="30" xr:uid="{00000000-0005-0000-0000-000018000000}"/>
    <cellStyle name="%_capex schedule May 2011" xfId="31" xr:uid="{00000000-0005-0000-0000-000019000000}"/>
    <cellStyle name="%_CapM - Year 4  Plan Working Copy V1- M&amp;G" xfId="32" xr:uid="{00000000-0005-0000-0000-00001A000000}"/>
    <cellStyle name="%_CSD Regulated 1 2014" xfId="33" xr:uid="{00000000-0005-0000-0000-00001B000000}"/>
    <cellStyle name="%_CSD Regulated 11 2013" xfId="34" xr:uid="{00000000-0005-0000-0000-00001C000000}"/>
    <cellStyle name="%_CSD Regulated 12 2013" xfId="35" xr:uid="{00000000-0005-0000-0000-00001D000000}"/>
    <cellStyle name="%_Dispute Profile" xfId="36" xr:uid="{00000000-0005-0000-0000-00001E000000}"/>
    <cellStyle name="%_Dispute Profile 2" xfId="37" xr:uid="{00000000-0005-0000-0000-00001F000000}"/>
    <cellStyle name="%_Graphs" xfId="38" xr:uid="{00000000-0005-0000-0000-000020000000}"/>
    <cellStyle name="%_Investment Current" xfId="39" xr:uid="{00000000-0005-0000-0000-000021000000}"/>
    <cellStyle name="%_Invoice_Out" xfId="40" xr:uid="{00000000-0005-0000-0000-000022000000}"/>
    <cellStyle name="%_Mar 12" xfId="41" xr:uid="{00000000-0005-0000-0000-000023000000}"/>
    <cellStyle name="%_Market Share By SE" xfId="42" xr:uid="{00000000-0005-0000-0000-000024000000}"/>
    <cellStyle name="%_Market Share By SE 2" xfId="43" xr:uid="{00000000-0005-0000-0000-000025000000}"/>
    <cellStyle name="%_Milestone Dates" xfId="44" xr:uid="{00000000-0005-0000-0000-000026000000}"/>
    <cellStyle name="%_P8 Hire Recharges" xfId="45" xr:uid="{00000000-0005-0000-0000-000027000000}"/>
    <cellStyle name="%_Sheet1" xfId="46" xr:uid="{00000000-0005-0000-0000-000028000000}"/>
    <cellStyle name="%_Sheet3" xfId="47" xr:uid="{00000000-0005-0000-0000-000029000000}"/>
    <cellStyle name="%_SPID Specifics" xfId="48" xr:uid="{00000000-0005-0000-0000-00002A000000}"/>
    <cellStyle name="%_Summary (2)" xfId="49" xr:uid="{00000000-0005-0000-0000-00002B000000}"/>
    <cellStyle name="%_SW backup" xfId="50" xr:uid="{00000000-0005-0000-0000-00002C000000}"/>
    <cellStyle name="%_T&amp;I" xfId="51" xr:uid="{00000000-0005-0000-0000-00002D000000}"/>
    <cellStyle name="%_T&amp;I_1" xfId="52" xr:uid="{00000000-0005-0000-0000-00002E000000}"/>
    <cellStyle name="%_Tbl_ProgGroup_Lookup" xfId="53" xr:uid="{00000000-0005-0000-0000-00002F000000}"/>
    <cellStyle name="%_Telemetry" xfId="54" xr:uid="{00000000-0005-0000-0000-000030000000}"/>
    <cellStyle name="%_Telemetry Annual" xfId="55" xr:uid="{00000000-0005-0000-0000-000031000000}"/>
    <cellStyle name="%_Telemetry In Year" xfId="56" xr:uid="{00000000-0005-0000-0000-000032000000}"/>
    <cellStyle name="%_Temp" xfId="57" xr:uid="{00000000-0005-0000-0000-000033000000}"/>
    <cellStyle name="]_x000d__x000a_Zoomed=1_x000d__x000a_Row=0_x000d__x000a_Column=0_x000d__x000a_Height=0_x000d__x000a_Width=0_x000d__x000a_FontName=FoxFont_x000d__x000a_FontStyle=0_x000d__x000a_FontSize=9_x000d__x000a_PrtFontName=FoxPrin" xfId="58" xr:uid="{00000000-0005-0000-0000-000034000000}"/>
    <cellStyle name="_Invoice_Out" xfId="59" xr:uid="{00000000-0005-0000-0000-000035000000}"/>
    <cellStyle name="_Invoice_Out 2" xfId="60" xr:uid="{00000000-0005-0000-0000-000036000000}"/>
    <cellStyle name="_Settlement Analysis Report Feb P1" xfId="61" xr:uid="{00000000-0005-0000-0000-000037000000}"/>
    <cellStyle name="_Settlement Analysis Report Feb P1 2" xfId="62" xr:uid="{00000000-0005-0000-0000-000038000000}"/>
    <cellStyle name="20% - Accent1 10" xfId="63" xr:uid="{00000000-0005-0000-0000-000039000000}"/>
    <cellStyle name="20% - Accent1 10 2" xfId="64" xr:uid="{00000000-0005-0000-0000-00003A000000}"/>
    <cellStyle name="20% - Accent1 10 2 2" xfId="65" xr:uid="{00000000-0005-0000-0000-00003B000000}"/>
    <cellStyle name="20% - Accent1 10 2 2 2" xfId="66" xr:uid="{00000000-0005-0000-0000-00003C000000}"/>
    <cellStyle name="20% - Accent1 10 2 2 2 2" xfId="67" xr:uid="{00000000-0005-0000-0000-00003D000000}"/>
    <cellStyle name="20% - Accent1 10 2 2 3" xfId="68" xr:uid="{00000000-0005-0000-0000-00003E000000}"/>
    <cellStyle name="20% - Accent1 10 2 3" xfId="69" xr:uid="{00000000-0005-0000-0000-00003F000000}"/>
    <cellStyle name="20% - Accent1 10 2 3 2" xfId="70" xr:uid="{00000000-0005-0000-0000-000040000000}"/>
    <cellStyle name="20% - Accent1 10 2 4" xfId="71" xr:uid="{00000000-0005-0000-0000-000041000000}"/>
    <cellStyle name="20% - Accent1 10 3" xfId="72" xr:uid="{00000000-0005-0000-0000-000042000000}"/>
    <cellStyle name="20% - Accent1 10 3 2" xfId="73" xr:uid="{00000000-0005-0000-0000-000043000000}"/>
    <cellStyle name="20% - Accent1 10 3 2 2" xfId="74" xr:uid="{00000000-0005-0000-0000-000044000000}"/>
    <cellStyle name="20% - Accent1 10 3 3" xfId="75" xr:uid="{00000000-0005-0000-0000-000045000000}"/>
    <cellStyle name="20% - Accent1 10 4" xfId="76" xr:uid="{00000000-0005-0000-0000-000046000000}"/>
    <cellStyle name="20% - Accent1 10 4 2" xfId="77" xr:uid="{00000000-0005-0000-0000-000047000000}"/>
    <cellStyle name="20% - Accent1 10 5" xfId="78" xr:uid="{00000000-0005-0000-0000-000048000000}"/>
    <cellStyle name="20% - Accent1 11" xfId="79" xr:uid="{00000000-0005-0000-0000-000049000000}"/>
    <cellStyle name="20% - Accent1 11 2" xfId="80" xr:uid="{00000000-0005-0000-0000-00004A000000}"/>
    <cellStyle name="20% - Accent1 11 2 2" xfId="81" xr:uid="{00000000-0005-0000-0000-00004B000000}"/>
    <cellStyle name="20% - Accent1 11 2 2 2" xfId="82" xr:uid="{00000000-0005-0000-0000-00004C000000}"/>
    <cellStyle name="20% - Accent1 11 2 2 2 2" xfId="83" xr:uid="{00000000-0005-0000-0000-00004D000000}"/>
    <cellStyle name="20% - Accent1 11 2 2 3" xfId="84" xr:uid="{00000000-0005-0000-0000-00004E000000}"/>
    <cellStyle name="20% - Accent1 11 2 3" xfId="85" xr:uid="{00000000-0005-0000-0000-00004F000000}"/>
    <cellStyle name="20% - Accent1 11 2 3 2" xfId="86" xr:uid="{00000000-0005-0000-0000-000050000000}"/>
    <cellStyle name="20% - Accent1 11 2 4" xfId="87" xr:uid="{00000000-0005-0000-0000-000051000000}"/>
    <cellStyle name="20% - Accent1 11 3" xfId="88" xr:uid="{00000000-0005-0000-0000-000052000000}"/>
    <cellStyle name="20% - Accent1 11 3 2" xfId="89" xr:uid="{00000000-0005-0000-0000-000053000000}"/>
    <cellStyle name="20% - Accent1 11 3 2 2" xfId="90" xr:uid="{00000000-0005-0000-0000-000054000000}"/>
    <cellStyle name="20% - Accent1 11 3 3" xfId="91" xr:uid="{00000000-0005-0000-0000-000055000000}"/>
    <cellStyle name="20% - Accent1 11 4" xfId="92" xr:uid="{00000000-0005-0000-0000-000056000000}"/>
    <cellStyle name="20% - Accent1 11 4 2" xfId="93" xr:uid="{00000000-0005-0000-0000-000057000000}"/>
    <cellStyle name="20% - Accent1 11 5" xfId="94" xr:uid="{00000000-0005-0000-0000-000058000000}"/>
    <cellStyle name="20% - Accent1 12" xfId="95" xr:uid="{00000000-0005-0000-0000-000059000000}"/>
    <cellStyle name="20% - Accent1 12 2" xfId="96" xr:uid="{00000000-0005-0000-0000-00005A000000}"/>
    <cellStyle name="20% - Accent1 13" xfId="97" xr:uid="{00000000-0005-0000-0000-00005B000000}"/>
    <cellStyle name="20% - Accent1 13 2" xfId="98" xr:uid="{00000000-0005-0000-0000-00005C000000}"/>
    <cellStyle name="20% - Accent1 13 2 2" xfId="99" xr:uid="{00000000-0005-0000-0000-00005D000000}"/>
    <cellStyle name="20% - Accent1 13 2 2 2" xfId="100" xr:uid="{00000000-0005-0000-0000-00005E000000}"/>
    <cellStyle name="20% - Accent1 13 2 3" xfId="101" xr:uid="{00000000-0005-0000-0000-00005F000000}"/>
    <cellStyle name="20% - Accent1 13 3" xfId="102" xr:uid="{00000000-0005-0000-0000-000060000000}"/>
    <cellStyle name="20% - Accent1 13 3 2" xfId="103" xr:uid="{00000000-0005-0000-0000-000061000000}"/>
    <cellStyle name="20% - Accent1 13 4" xfId="104" xr:uid="{00000000-0005-0000-0000-000062000000}"/>
    <cellStyle name="20% - Accent1 14" xfId="105" xr:uid="{00000000-0005-0000-0000-000063000000}"/>
    <cellStyle name="20% - Accent1 14 2" xfId="106" xr:uid="{00000000-0005-0000-0000-000064000000}"/>
    <cellStyle name="20% - Accent1 2" xfId="107" xr:uid="{00000000-0005-0000-0000-000065000000}"/>
    <cellStyle name="20% - Accent1 2 2" xfId="108" xr:uid="{00000000-0005-0000-0000-000066000000}"/>
    <cellStyle name="20% - Accent1 2 2 2" xfId="109" xr:uid="{00000000-0005-0000-0000-000067000000}"/>
    <cellStyle name="20% - Accent1 2 2 3" xfId="110" xr:uid="{00000000-0005-0000-0000-000068000000}"/>
    <cellStyle name="20% - Accent1 2 2 3 2" xfId="111" xr:uid="{00000000-0005-0000-0000-000069000000}"/>
    <cellStyle name="20% - Accent1 2 3" xfId="112" xr:uid="{00000000-0005-0000-0000-00006A000000}"/>
    <cellStyle name="20% - Accent1 2 3 2" xfId="113" xr:uid="{00000000-0005-0000-0000-00006B000000}"/>
    <cellStyle name="20% - Accent1 2 4" xfId="114" xr:uid="{00000000-0005-0000-0000-00006C000000}"/>
    <cellStyle name="20% - Accent1 2 4 2" xfId="115" xr:uid="{00000000-0005-0000-0000-00006D000000}"/>
    <cellStyle name="20% - Accent1 2 4 3" xfId="116" xr:uid="{00000000-0005-0000-0000-00006E000000}"/>
    <cellStyle name="20% - Accent1 2 5" xfId="117" xr:uid="{00000000-0005-0000-0000-00006F000000}"/>
    <cellStyle name="20% - Accent1 3" xfId="118" xr:uid="{00000000-0005-0000-0000-000070000000}"/>
    <cellStyle name="20% - Accent1 3 2" xfId="119" xr:uid="{00000000-0005-0000-0000-000071000000}"/>
    <cellStyle name="20% - Accent1 3 2 2" xfId="120" xr:uid="{00000000-0005-0000-0000-000072000000}"/>
    <cellStyle name="20% - Accent1 3 2 2 2" xfId="121" xr:uid="{00000000-0005-0000-0000-000073000000}"/>
    <cellStyle name="20% - Accent1 3 2 2 2 2" xfId="122" xr:uid="{00000000-0005-0000-0000-000074000000}"/>
    <cellStyle name="20% - Accent1 3 2 2 3" xfId="123" xr:uid="{00000000-0005-0000-0000-000075000000}"/>
    <cellStyle name="20% - Accent1 3 2 2 3 2" xfId="124" xr:uid="{00000000-0005-0000-0000-000076000000}"/>
    <cellStyle name="20% - Accent1 3 2 2 4" xfId="125" xr:uid="{00000000-0005-0000-0000-000077000000}"/>
    <cellStyle name="20% - Accent1 3 2 3" xfId="126" xr:uid="{00000000-0005-0000-0000-000078000000}"/>
    <cellStyle name="20% - Accent1 3 2 3 2" xfId="127" xr:uid="{00000000-0005-0000-0000-000079000000}"/>
    <cellStyle name="20% - Accent1 3 2 4" xfId="128" xr:uid="{00000000-0005-0000-0000-00007A000000}"/>
    <cellStyle name="20% - Accent1 3 2 4 2" xfId="129" xr:uid="{00000000-0005-0000-0000-00007B000000}"/>
    <cellStyle name="20% - Accent1 3 2 5" xfId="130" xr:uid="{00000000-0005-0000-0000-00007C000000}"/>
    <cellStyle name="20% - Accent1 3 3" xfId="131" xr:uid="{00000000-0005-0000-0000-00007D000000}"/>
    <cellStyle name="20% - Accent1 3 3 2" xfId="132" xr:uid="{00000000-0005-0000-0000-00007E000000}"/>
    <cellStyle name="20% - Accent1 3 3 3" xfId="133" xr:uid="{00000000-0005-0000-0000-00007F000000}"/>
    <cellStyle name="20% - Accent1 3 3 3 2" xfId="134" xr:uid="{00000000-0005-0000-0000-000080000000}"/>
    <cellStyle name="20% - Accent1 3 3 4" xfId="135" xr:uid="{00000000-0005-0000-0000-000081000000}"/>
    <cellStyle name="20% - Accent1 3 4" xfId="136" xr:uid="{00000000-0005-0000-0000-000082000000}"/>
    <cellStyle name="20% - Accent1 3 4 2" xfId="137" xr:uid="{00000000-0005-0000-0000-000083000000}"/>
    <cellStyle name="20% - Accent1 3 5" xfId="138" xr:uid="{00000000-0005-0000-0000-000084000000}"/>
    <cellStyle name="20% - Accent1 3 5 2" xfId="139" xr:uid="{00000000-0005-0000-0000-000085000000}"/>
    <cellStyle name="20% - Accent1 3 6" xfId="140" xr:uid="{00000000-0005-0000-0000-000086000000}"/>
    <cellStyle name="20% - Accent1 3 6 2" xfId="141" xr:uid="{00000000-0005-0000-0000-000087000000}"/>
    <cellStyle name="20% - Accent1 3 7" xfId="142" xr:uid="{00000000-0005-0000-0000-000088000000}"/>
    <cellStyle name="20% - Accent1 3 7 2" xfId="143" xr:uid="{00000000-0005-0000-0000-000089000000}"/>
    <cellStyle name="20% - Accent1 3 8" xfId="144" xr:uid="{00000000-0005-0000-0000-00008A000000}"/>
    <cellStyle name="20% - Accent1 3 8 2" xfId="145" xr:uid="{00000000-0005-0000-0000-00008B000000}"/>
    <cellStyle name="20% - Accent1 4" xfId="146" xr:uid="{00000000-0005-0000-0000-00008C000000}"/>
    <cellStyle name="20% - Accent1 4 10" xfId="147" xr:uid="{00000000-0005-0000-0000-00008D000000}"/>
    <cellStyle name="20% - Accent1 4 10 2" xfId="148" xr:uid="{00000000-0005-0000-0000-00008E000000}"/>
    <cellStyle name="20% - Accent1 4 11" xfId="149" xr:uid="{00000000-0005-0000-0000-00008F000000}"/>
    <cellStyle name="20% - Accent1 4 11 2" xfId="150" xr:uid="{00000000-0005-0000-0000-000090000000}"/>
    <cellStyle name="20% - Accent1 4 12" xfId="151" xr:uid="{00000000-0005-0000-0000-000091000000}"/>
    <cellStyle name="20% - Accent1 4 12 2" xfId="152" xr:uid="{00000000-0005-0000-0000-000092000000}"/>
    <cellStyle name="20% - Accent1 4 13" xfId="153" xr:uid="{00000000-0005-0000-0000-000093000000}"/>
    <cellStyle name="20% - Accent1 4 2" xfId="154" xr:uid="{00000000-0005-0000-0000-000094000000}"/>
    <cellStyle name="20% - Accent1 4 2 10" xfId="155" xr:uid="{00000000-0005-0000-0000-000095000000}"/>
    <cellStyle name="20% - Accent1 4 2 10 2" xfId="156" xr:uid="{00000000-0005-0000-0000-000096000000}"/>
    <cellStyle name="20% - Accent1 4 2 11" xfId="157" xr:uid="{00000000-0005-0000-0000-000097000000}"/>
    <cellStyle name="20% - Accent1 4 2 2" xfId="158" xr:uid="{00000000-0005-0000-0000-000098000000}"/>
    <cellStyle name="20% - Accent1 4 2 2 10" xfId="159" xr:uid="{00000000-0005-0000-0000-000099000000}"/>
    <cellStyle name="20% - Accent1 4 2 2 2" xfId="160" xr:uid="{00000000-0005-0000-0000-00009A000000}"/>
    <cellStyle name="20% - Accent1 4 2 2 2 2" xfId="161" xr:uid="{00000000-0005-0000-0000-00009B000000}"/>
    <cellStyle name="20% - Accent1 4 2 2 2 2 2" xfId="162" xr:uid="{00000000-0005-0000-0000-00009C000000}"/>
    <cellStyle name="20% - Accent1 4 2 2 2 2 2 2" xfId="163" xr:uid="{00000000-0005-0000-0000-00009D000000}"/>
    <cellStyle name="20% - Accent1 4 2 2 2 2 2 2 2" xfId="164" xr:uid="{00000000-0005-0000-0000-00009E000000}"/>
    <cellStyle name="20% - Accent1 4 2 2 2 2 2 3" xfId="165" xr:uid="{00000000-0005-0000-0000-00009F000000}"/>
    <cellStyle name="20% - Accent1 4 2 2 2 2 2 3 2" xfId="166" xr:uid="{00000000-0005-0000-0000-0000A0000000}"/>
    <cellStyle name="20% - Accent1 4 2 2 2 2 2 4" xfId="167" xr:uid="{00000000-0005-0000-0000-0000A1000000}"/>
    <cellStyle name="20% - Accent1 4 2 2 2 2 3" xfId="168" xr:uid="{00000000-0005-0000-0000-0000A2000000}"/>
    <cellStyle name="20% - Accent1 4 2 2 2 2 3 2" xfId="169" xr:uid="{00000000-0005-0000-0000-0000A3000000}"/>
    <cellStyle name="20% - Accent1 4 2 2 2 2 4" xfId="170" xr:uid="{00000000-0005-0000-0000-0000A4000000}"/>
    <cellStyle name="20% - Accent1 4 2 2 2 2 4 2" xfId="171" xr:uid="{00000000-0005-0000-0000-0000A5000000}"/>
    <cellStyle name="20% - Accent1 4 2 2 2 2 5" xfId="172" xr:uid="{00000000-0005-0000-0000-0000A6000000}"/>
    <cellStyle name="20% - Accent1 4 2 2 2 2 5 2" xfId="173" xr:uid="{00000000-0005-0000-0000-0000A7000000}"/>
    <cellStyle name="20% - Accent1 4 2 2 2 2 6" xfId="174" xr:uid="{00000000-0005-0000-0000-0000A8000000}"/>
    <cellStyle name="20% - Accent1 4 2 2 2 2 6 2" xfId="175" xr:uid="{00000000-0005-0000-0000-0000A9000000}"/>
    <cellStyle name="20% - Accent1 4 2 2 2 2 7" xfId="176" xr:uid="{00000000-0005-0000-0000-0000AA000000}"/>
    <cellStyle name="20% - Accent1 4 2 2 2 3" xfId="177" xr:uid="{00000000-0005-0000-0000-0000AB000000}"/>
    <cellStyle name="20% - Accent1 4 2 2 2 3 2" xfId="178" xr:uid="{00000000-0005-0000-0000-0000AC000000}"/>
    <cellStyle name="20% - Accent1 4 2 2 2 3 2 2" xfId="179" xr:uid="{00000000-0005-0000-0000-0000AD000000}"/>
    <cellStyle name="20% - Accent1 4 2 2 2 3 3" xfId="180" xr:uid="{00000000-0005-0000-0000-0000AE000000}"/>
    <cellStyle name="20% - Accent1 4 2 2 2 3 3 2" xfId="181" xr:uid="{00000000-0005-0000-0000-0000AF000000}"/>
    <cellStyle name="20% - Accent1 4 2 2 2 3 4" xfId="182" xr:uid="{00000000-0005-0000-0000-0000B0000000}"/>
    <cellStyle name="20% - Accent1 4 2 2 2 3 4 2" xfId="183" xr:uid="{00000000-0005-0000-0000-0000B1000000}"/>
    <cellStyle name="20% - Accent1 4 2 2 2 3 5" xfId="184" xr:uid="{00000000-0005-0000-0000-0000B2000000}"/>
    <cellStyle name="20% - Accent1 4 2 2 2 3 5 2" xfId="185" xr:uid="{00000000-0005-0000-0000-0000B3000000}"/>
    <cellStyle name="20% - Accent1 4 2 2 2 3 6" xfId="186" xr:uid="{00000000-0005-0000-0000-0000B4000000}"/>
    <cellStyle name="20% - Accent1 4 2 2 2 4" xfId="187" xr:uid="{00000000-0005-0000-0000-0000B5000000}"/>
    <cellStyle name="20% - Accent1 4 2 2 2 4 2" xfId="188" xr:uid="{00000000-0005-0000-0000-0000B6000000}"/>
    <cellStyle name="20% - Accent1 4 2 2 2 4 2 2" xfId="189" xr:uid="{00000000-0005-0000-0000-0000B7000000}"/>
    <cellStyle name="20% - Accent1 4 2 2 2 4 3" xfId="190" xr:uid="{00000000-0005-0000-0000-0000B8000000}"/>
    <cellStyle name="20% - Accent1 4 2 2 2 5" xfId="191" xr:uid="{00000000-0005-0000-0000-0000B9000000}"/>
    <cellStyle name="20% - Accent1 4 2 2 2 5 2" xfId="192" xr:uid="{00000000-0005-0000-0000-0000BA000000}"/>
    <cellStyle name="20% - Accent1 4 2 2 2 6" xfId="193" xr:uid="{00000000-0005-0000-0000-0000BB000000}"/>
    <cellStyle name="20% - Accent1 4 2 2 2 6 2" xfId="194" xr:uid="{00000000-0005-0000-0000-0000BC000000}"/>
    <cellStyle name="20% - Accent1 4 2 2 2 7" xfId="195" xr:uid="{00000000-0005-0000-0000-0000BD000000}"/>
    <cellStyle name="20% - Accent1 4 2 2 2 7 2" xfId="196" xr:uid="{00000000-0005-0000-0000-0000BE000000}"/>
    <cellStyle name="20% - Accent1 4 2 2 2 8" xfId="197" xr:uid="{00000000-0005-0000-0000-0000BF000000}"/>
    <cellStyle name="20% - Accent1 4 2 2 3" xfId="198" xr:uid="{00000000-0005-0000-0000-0000C0000000}"/>
    <cellStyle name="20% - Accent1 4 2 2 3 2" xfId="199" xr:uid="{00000000-0005-0000-0000-0000C1000000}"/>
    <cellStyle name="20% - Accent1 4 2 2 3 2 2" xfId="200" xr:uid="{00000000-0005-0000-0000-0000C2000000}"/>
    <cellStyle name="20% - Accent1 4 2 2 3 2 2 2" xfId="201" xr:uid="{00000000-0005-0000-0000-0000C3000000}"/>
    <cellStyle name="20% - Accent1 4 2 2 3 2 2 2 2" xfId="202" xr:uid="{00000000-0005-0000-0000-0000C4000000}"/>
    <cellStyle name="20% - Accent1 4 2 2 3 2 2 3" xfId="203" xr:uid="{00000000-0005-0000-0000-0000C5000000}"/>
    <cellStyle name="20% - Accent1 4 2 2 3 2 2 3 2" xfId="204" xr:uid="{00000000-0005-0000-0000-0000C6000000}"/>
    <cellStyle name="20% - Accent1 4 2 2 3 2 2 4" xfId="205" xr:uid="{00000000-0005-0000-0000-0000C7000000}"/>
    <cellStyle name="20% - Accent1 4 2 2 3 2 3" xfId="206" xr:uid="{00000000-0005-0000-0000-0000C8000000}"/>
    <cellStyle name="20% - Accent1 4 2 2 3 2 3 2" xfId="207" xr:uid="{00000000-0005-0000-0000-0000C9000000}"/>
    <cellStyle name="20% - Accent1 4 2 2 3 2 4" xfId="208" xr:uid="{00000000-0005-0000-0000-0000CA000000}"/>
    <cellStyle name="20% - Accent1 4 2 2 3 2 4 2" xfId="209" xr:uid="{00000000-0005-0000-0000-0000CB000000}"/>
    <cellStyle name="20% - Accent1 4 2 2 3 2 5" xfId="210" xr:uid="{00000000-0005-0000-0000-0000CC000000}"/>
    <cellStyle name="20% - Accent1 4 2 2 3 2 5 2" xfId="211" xr:uid="{00000000-0005-0000-0000-0000CD000000}"/>
    <cellStyle name="20% - Accent1 4 2 2 3 2 6" xfId="212" xr:uid="{00000000-0005-0000-0000-0000CE000000}"/>
    <cellStyle name="20% - Accent1 4 2 2 3 2 6 2" xfId="213" xr:uid="{00000000-0005-0000-0000-0000CF000000}"/>
    <cellStyle name="20% - Accent1 4 2 2 3 2 7" xfId="214" xr:uid="{00000000-0005-0000-0000-0000D0000000}"/>
    <cellStyle name="20% - Accent1 4 2 2 3 3" xfId="215" xr:uid="{00000000-0005-0000-0000-0000D1000000}"/>
    <cellStyle name="20% - Accent1 4 2 2 3 3 2" xfId="216" xr:uid="{00000000-0005-0000-0000-0000D2000000}"/>
    <cellStyle name="20% - Accent1 4 2 2 3 3 2 2" xfId="217" xr:uid="{00000000-0005-0000-0000-0000D3000000}"/>
    <cellStyle name="20% - Accent1 4 2 2 3 3 3" xfId="218" xr:uid="{00000000-0005-0000-0000-0000D4000000}"/>
    <cellStyle name="20% - Accent1 4 2 2 3 3 3 2" xfId="219" xr:uid="{00000000-0005-0000-0000-0000D5000000}"/>
    <cellStyle name="20% - Accent1 4 2 2 3 3 4" xfId="220" xr:uid="{00000000-0005-0000-0000-0000D6000000}"/>
    <cellStyle name="20% - Accent1 4 2 2 3 3 4 2" xfId="221" xr:uid="{00000000-0005-0000-0000-0000D7000000}"/>
    <cellStyle name="20% - Accent1 4 2 2 3 3 5" xfId="222" xr:uid="{00000000-0005-0000-0000-0000D8000000}"/>
    <cellStyle name="20% - Accent1 4 2 2 3 3 5 2" xfId="223" xr:uid="{00000000-0005-0000-0000-0000D9000000}"/>
    <cellStyle name="20% - Accent1 4 2 2 3 3 6" xfId="224" xr:uid="{00000000-0005-0000-0000-0000DA000000}"/>
    <cellStyle name="20% - Accent1 4 2 2 3 4" xfId="225" xr:uid="{00000000-0005-0000-0000-0000DB000000}"/>
    <cellStyle name="20% - Accent1 4 2 2 3 4 2" xfId="226" xr:uid="{00000000-0005-0000-0000-0000DC000000}"/>
    <cellStyle name="20% - Accent1 4 2 2 3 4 2 2" xfId="227" xr:uid="{00000000-0005-0000-0000-0000DD000000}"/>
    <cellStyle name="20% - Accent1 4 2 2 3 4 3" xfId="228" xr:uid="{00000000-0005-0000-0000-0000DE000000}"/>
    <cellStyle name="20% - Accent1 4 2 2 3 5" xfId="229" xr:uid="{00000000-0005-0000-0000-0000DF000000}"/>
    <cellStyle name="20% - Accent1 4 2 2 3 5 2" xfId="230" xr:uid="{00000000-0005-0000-0000-0000E0000000}"/>
    <cellStyle name="20% - Accent1 4 2 2 3 6" xfId="231" xr:uid="{00000000-0005-0000-0000-0000E1000000}"/>
    <cellStyle name="20% - Accent1 4 2 2 3 6 2" xfId="232" xr:uid="{00000000-0005-0000-0000-0000E2000000}"/>
    <cellStyle name="20% - Accent1 4 2 2 3 7" xfId="233" xr:uid="{00000000-0005-0000-0000-0000E3000000}"/>
    <cellStyle name="20% - Accent1 4 2 2 3 7 2" xfId="234" xr:uid="{00000000-0005-0000-0000-0000E4000000}"/>
    <cellStyle name="20% - Accent1 4 2 2 3 8" xfId="235" xr:uid="{00000000-0005-0000-0000-0000E5000000}"/>
    <cellStyle name="20% - Accent1 4 2 2 4" xfId="236" xr:uid="{00000000-0005-0000-0000-0000E6000000}"/>
    <cellStyle name="20% - Accent1 4 2 2 4 2" xfId="237" xr:uid="{00000000-0005-0000-0000-0000E7000000}"/>
    <cellStyle name="20% - Accent1 4 2 2 4 2 2" xfId="238" xr:uid="{00000000-0005-0000-0000-0000E8000000}"/>
    <cellStyle name="20% - Accent1 4 2 2 4 2 2 2" xfId="239" xr:uid="{00000000-0005-0000-0000-0000E9000000}"/>
    <cellStyle name="20% - Accent1 4 2 2 4 2 3" xfId="240" xr:uid="{00000000-0005-0000-0000-0000EA000000}"/>
    <cellStyle name="20% - Accent1 4 2 2 4 2 3 2" xfId="241" xr:uid="{00000000-0005-0000-0000-0000EB000000}"/>
    <cellStyle name="20% - Accent1 4 2 2 4 2 4" xfId="242" xr:uid="{00000000-0005-0000-0000-0000EC000000}"/>
    <cellStyle name="20% - Accent1 4 2 2 4 3" xfId="243" xr:uid="{00000000-0005-0000-0000-0000ED000000}"/>
    <cellStyle name="20% - Accent1 4 2 2 4 3 2" xfId="244" xr:uid="{00000000-0005-0000-0000-0000EE000000}"/>
    <cellStyle name="20% - Accent1 4 2 2 4 4" xfId="245" xr:uid="{00000000-0005-0000-0000-0000EF000000}"/>
    <cellStyle name="20% - Accent1 4 2 2 4 4 2" xfId="246" xr:uid="{00000000-0005-0000-0000-0000F0000000}"/>
    <cellStyle name="20% - Accent1 4 2 2 4 5" xfId="247" xr:uid="{00000000-0005-0000-0000-0000F1000000}"/>
    <cellStyle name="20% - Accent1 4 2 2 4 5 2" xfId="248" xr:uid="{00000000-0005-0000-0000-0000F2000000}"/>
    <cellStyle name="20% - Accent1 4 2 2 4 6" xfId="249" xr:uid="{00000000-0005-0000-0000-0000F3000000}"/>
    <cellStyle name="20% - Accent1 4 2 2 4 6 2" xfId="250" xr:uid="{00000000-0005-0000-0000-0000F4000000}"/>
    <cellStyle name="20% - Accent1 4 2 2 4 7" xfId="251" xr:uid="{00000000-0005-0000-0000-0000F5000000}"/>
    <cellStyle name="20% - Accent1 4 2 2 5" xfId="252" xr:uid="{00000000-0005-0000-0000-0000F6000000}"/>
    <cellStyle name="20% - Accent1 4 2 2 5 2" xfId="253" xr:uid="{00000000-0005-0000-0000-0000F7000000}"/>
    <cellStyle name="20% - Accent1 4 2 2 5 2 2" xfId="254" xr:uid="{00000000-0005-0000-0000-0000F8000000}"/>
    <cellStyle name="20% - Accent1 4 2 2 5 3" xfId="255" xr:uid="{00000000-0005-0000-0000-0000F9000000}"/>
    <cellStyle name="20% - Accent1 4 2 2 5 3 2" xfId="256" xr:uid="{00000000-0005-0000-0000-0000FA000000}"/>
    <cellStyle name="20% - Accent1 4 2 2 5 4" xfId="257" xr:uid="{00000000-0005-0000-0000-0000FB000000}"/>
    <cellStyle name="20% - Accent1 4 2 2 5 4 2" xfId="258" xr:uid="{00000000-0005-0000-0000-0000FC000000}"/>
    <cellStyle name="20% - Accent1 4 2 2 5 5" xfId="259" xr:uid="{00000000-0005-0000-0000-0000FD000000}"/>
    <cellStyle name="20% - Accent1 4 2 2 5 5 2" xfId="260" xr:uid="{00000000-0005-0000-0000-0000FE000000}"/>
    <cellStyle name="20% - Accent1 4 2 2 5 6" xfId="261" xr:uid="{00000000-0005-0000-0000-0000FF000000}"/>
    <cellStyle name="20% - Accent1 4 2 2 6" xfId="262" xr:uid="{00000000-0005-0000-0000-000000010000}"/>
    <cellStyle name="20% - Accent1 4 2 2 6 2" xfId="263" xr:uid="{00000000-0005-0000-0000-000001010000}"/>
    <cellStyle name="20% - Accent1 4 2 2 6 2 2" xfId="264" xr:uid="{00000000-0005-0000-0000-000002010000}"/>
    <cellStyle name="20% - Accent1 4 2 2 6 3" xfId="265" xr:uid="{00000000-0005-0000-0000-000003010000}"/>
    <cellStyle name="20% - Accent1 4 2 2 7" xfId="266" xr:uid="{00000000-0005-0000-0000-000004010000}"/>
    <cellStyle name="20% - Accent1 4 2 2 7 2" xfId="267" xr:uid="{00000000-0005-0000-0000-000005010000}"/>
    <cellStyle name="20% - Accent1 4 2 2 8" xfId="268" xr:uid="{00000000-0005-0000-0000-000006010000}"/>
    <cellStyle name="20% - Accent1 4 2 2 8 2" xfId="269" xr:uid="{00000000-0005-0000-0000-000007010000}"/>
    <cellStyle name="20% - Accent1 4 2 2 9" xfId="270" xr:uid="{00000000-0005-0000-0000-000008010000}"/>
    <cellStyle name="20% - Accent1 4 2 2 9 2" xfId="271" xr:uid="{00000000-0005-0000-0000-000009010000}"/>
    <cellStyle name="20% - Accent1 4 2 3" xfId="272" xr:uid="{00000000-0005-0000-0000-00000A010000}"/>
    <cellStyle name="20% - Accent1 4 2 3 2" xfId="273" xr:uid="{00000000-0005-0000-0000-00000B010000}"/>
    <cellStyle name="20% - Accent1 4 2 3 2 2" xfId="274" xr:uid="{00000000-0005-0000-0000-00000C010000}"/>
    <cellStyle name="20% - Accent1 4 2 3 2 2 2" xfId="275" xr:uid="{00000000-0005-0000-0000-00000D010000}"/>
    <cellStyle name="20% - Accent1 4 2 3 2 2 2 2" xfId="276" xr:uid="{00000000-0005-0000-0000-00000E010000}"/>
    <cellStyle name="20% - Accent1 4 2 3 2 2 3" xfId="277" xr:uid="{00000000-0005-0000-0000-00000F010000}"/>
    <cellStyle name="20% - Accent1 4 2 3 2 2 3 2" xfId="278" xr:uid="{00000000-0005-0000-0000-000010010000}"/>
    <cellStyle name="20% - Accent1 4 2 3 2 2 4" xfId="279" xr:uid="{00000000-0005-0000-0000-000011010000}"/>
    <cellStyle name="20% - Accent1 4 2 3 2 3" xfId="280" xr:uid="{00000000-0005-0000-0000-000012010000}"/>
    <cellStyle name="20% - Accent1 4 2 3 2 3 2" xfId="281" xr:uid="{00000000-0005-0000-0000-000013010000}"/>
    <cellStyle name="20% - Accent1 4 2 3 2 4" xfId="282" xr:uid="{00000000-0005-0000-0000-000014010000}"/>
    <cellStyle name="20% - Accent1 4 2 3 2 4 2" xfId="283" xr:uid="{00000000-0005-0000-0000-000015010000}"/>
    <cellStyle name="20% - Accent1 4 2 3 2 5" xfId="284" xr:uid="{00000000-0005-0000-0000-000016010000}"/>
    <cellStyle name="20% - Accent1 4 2 3 2 5 2" xfId="285" xr:uid="{00000000-0005-0000-0000-000017010000}"/>
    <cellStyle name="20% - Accent1 4 2 3 2 6" xfId="286" xr:uid="{00000000-0005-0000-0000-000018010000}"/>
    <cellStyle name="20% - Accent1 4 2 3 2 6 2" xfId="287" xr:uid="{00000000-0005-0000-0000-000019010000}"/>
    <cellStyle name="20% - Accent1 4 2 3 2 7" xfId="288" xr:uid="{00000000-0005-0000-0000-00001A010000}"/>
    <cellStyle name="20% - Accent1 4 2 3 3" xfId="289" xr:uid="{00000000-0005-0000-0000-00001B010000}"/>
    <cellStyle name="20% - Accent1 4 2 3 3 2" xfId="290" xr:uid="{00000000-0005-0000-0000-00001C010000}"/>
    <cellStyle name="20% - Accent1 4 2 3 3 2 2" xfId="291" xr:uid="{00000000-0005-0000-0000-00001D010000}"/>
    <cellStyle name="20% - Accent1 4 2 3 3 3" xfId="292" xr:uid="{00000000-0005-0000-0000-00001E010000}"/>
    <cellStyle name="20% - Accent1 4 2 3 3 3 2" xfId="293" xr:uid="{00000000-0005-0000-0000-00001F010000}"/>
    <cellStyle name="20% - Accent1 4 2 3 3 4" xfId="294" xr:uid="{00000000-0005-0000-0000-000020010000}"/>
    <cellStyle name="20% - Accent1 4 2 3 3 4 2" xfId="295" xr:uid="{00000000-0005-0000-0000-000021010000}"/>
    <cellStyle name="20% - Accent1 4 2 3 3 5" xfId="296" xr:uid="{00000000-0005-0000-0000-000022010000}"/>
    <cellStyle name="20% - Accent1 4 2 3 3 5 2" xfId="297" xr:uid="{00000000-0005-0000-0000-000023010000}"/>
    <cellStyle name="20% - Accent1 4 2 3 3 6" xfId="298" xr:uid="{00000000-0005-0000-0000-000024010000}"/>
    <cellStyle name="20% - Accent1 4 2 3 4" xfId="299" xr:uid="{00000000-0005-0000-0000-000025010000}"/>
    <cellStyle name="20% - Accent1 4 2 3 4 2" xfId="300" xr:uid="{00000000-0005-0000-0000-000026010000}"/>
    <cellStyle name="20% - Accent1 4 2 3 4 2 2" xfId="301" xr:uid="{00000000-0005-0000-0000-000027010000}"/>
    <cellStyle name="20% - Accent1 4 2 3 4 3" xfId="302" xr:uid="{00000000-0005-0000-0000-000028010000}"/>
    <cellStyle name="20% - Accent1 4 2 3 5" xfId="303" xr:uid="{00000000-0005-0000-0000-000029010000}"/>
    <cellStyle name="20% - Accent1 4 2 3 5 2" xfId="304" xr:uid="{00000000-0005-0000-0000-00002A010000}"/>
    <cellStyle name="20% - Accent1 4 2 3 6" xfId="305" xr:uid="{00000000-0005-0000-0000-00002B010000}"/>
    <cellStyle name="20% - Accent1 4 2 3 6 2" xfId="306" xr:uid="{00000000-0005-0000-0000-00002C010000}"/>
    <cellStyle name="20% - Accent1 4 2 3 7" xfId="307" xr:uid="{00000000-0005-0000-0000-00002D010000}"/>
    <cellStyle name="20% - Accent1 4 2 3 7 2" xfId="308" xr:uid="{00000000-0005-0000-0000-00002E010000}"/>
    <cellStyle name="20% - Accent1 4 2 3 8" xfId="309" xr:uid="{00000000-0005-0000-0000-00002F010000}"/>
    <cellStyle name="20% - Accent1 4 2 4" xfId="310" xr:uid="{00000000-0005-0000-0000-000030010000}"/>
    <cellStyle name="20% - Accent1 4 2 4 2" xfId="311" xr:uid="{00000000-0005-0000-0000-000031010000}"/>
    <cellStyle name="20% - Accent1 4 2 4 2 2" xfId="312" xr:uid="{00000000-0005-0000-0000-000032010000}"/>
    <cellStyle name="20% - Accent1 4 2 4 2 2 2" xfId="313" xr:uid="{00000000-0005-0000-0000-000033010000}"/>
    <cellStyle name="20% - Accent1 4 2 4 2 2 2 2" xfId="314" xr:uid="{00000000-0005-0000-0000-000034010000}"/>
    <cellStyle name="20% - Accent1 4 2 4 2 2 3" xfId="315" xr:uid="{00000000-0005-0000-0000-000035010000}"/>
    <cellStyle name="20% - Accent1 4 2 4 2 2 3 2" xfId="316" xr:uid="{00000000-0005-0000-0000-000036010000}"/>
    <cellStyle name="20% - Accent1 4 2 4 2 2 4" xfId="317" xr:uid="{00000000-0005-0000-0000-000037010000}"/>
    <cellStyle name="20% - Accent1 4 2 4 2 3" xfId="318" xr:uid="{00000000-0005-0000-0000-000038010000}"/>
    <cellStyle name="20% - Accent1 4 2 4 2 3 2" xfId="319" xr:uid="{00000000-0005-0000-0000-000039010000}"/>
    <cellStyle name="20% - Accent1 4 2 4 2 4" xfId="320" xr:uid="{00000000-0005-0000-0000-00003A010000}"/>
    <cellStyle name="20% - Accent1 4 2 4 2 4 2" xfId="321" xr:uid="{00000000-0005-0000-0000-00003B010000}"/>
    <cellStyle name="20% - Accent1 4 2 4 2 5" xfId="322" xr:uid="{00000000-0005-0000-0000-00003C010000}"/>
    <cellStyle name="20% - Accent1 4 2 4 2 5 2" xfId="323" xr:uid="{00000000-0005-0000-0000-00003D010000}"/>
    <cellStyle name="20% - Accent1 4 2 4 2 6" xfId="324" xr:uid="{00000000-0005-0000-0000-00003E010000}"/>
    <cellStyle name="20% - Accent1 4 2 4 2 6 2" xfId="325" xr:uid="{00000000-0005-0000-0000-00003F010000}"/>
    <cellStyle name="20% - Accent1 4 2 4 2 7" xfId="326" xr:uid="{00000000-0005-0000-0000-000040010000}"/>
    <cellStyle name="20% - Accent1 4 2 4 3" xfId="327" xr:uid="{00000000-0005-0000-0000-000041010000}"/>
    <cellStyle name="20% - Accent1 4 2 4 3 2" xfId="328" xr:uid="{00000000-0005-0000-0000-000042010000}"/>
    <cellStyle name="20% - Accent1 4 2 4 3 2 2" xfId="329" xr:uid="{00000000-0005-0000-0000-000043010000}"/>
    <cellStyle name="20% - Accent1 4 2 4 3 3" xfId="330" xr:uid="{00000000-0005-0000-0000-000044010000}"/>
    <cellStyle name="20% - Accent1 4 2 4 3 3 2" xfId="331" xr:uid="{00000000-0005-0000-0000-000045010000}"/>
    <cellStyle name="20% - Accent1 4 2 4 3 4" xfId="332" xr:uid="{00000000-0005-0000-0000-000046010000}"/>
    <cellStyle name="20% - Accent1 4 2 4 3 4 2" xfId="333" xr:uid="{00000000-0005-0000-0000-000047010000}"/>
    <cellStyle name="20% - Accent1 4 2 4 3 5" xfId="334" xr:uid="{00000000-0005-0000-0000-000048010000}"/>
    <cellStyle name="20% - Accent1 4 2 4 3 5 2" xfId="335" xr:uid="{00000000-0005-0000-0000-000049010000}"/>
    <cellStyle name="20% - Accent1 4 2 4 3 6" xfId="336" xr:uid="{00000000-0005-0000-0000-00004A010000}"/>
    <cellStyle name="20% - Accent1 4 2 4 4" xfId="337" xr:uid="{00000000-0005-0000-0000-00004B010000}"/>
    <cellStyle name="20% - Accent1 4 2 4 4 2" xfId="338" xr:uid="{00000000-0005-0000-0000-00004C010000}"/>
    <cellStyle name="20% - Accent1 4 2 4 4 2 2" xfId="339" xr:uid="{00000000-0005-0000-0000-00004D010000}"/>
    <cellStyle name="20% - Accent1 4 2 4 4 3" xfId="340" xr:uid="{00000000-0005-0000-0000-00004E010000}"/>
    <cellStyle name="20% - Accent1 4 2 4 5" xfId="341" xr:uid="{00000000-0005-0000-0000-00004F010000}"/>
    <cellStyle name="20% - Accent1 4 2 4 5 2" xfId="342" xr:uid="{00000000-0005-0000-0000-000050010000}"/>
    <cellStyle name="20% - Accent1 4 2 4 6" xfId="343" xr:uid="{00000000-0005-0000-0000-000051010000}"/>
    <cellStyle name="20% - Accent1 4 2 4 6 2" xfId="344" xr:uid="{00000000-0005-0000-0000-000052010000}"/>
    <cellStyle name="20% - Accent1 4 2 4 7" xfId="345" xr:uid="{00000000-0005-0000-0000-000053010000}"/>
    <cellStyle name="20% - Accent1 4 2 4 7 2" xfId="346" xr:uid="{00000000-0005-0000-0000-000054010000}"/>
    <cellStyle name="20% - Accent1 4 2 4 8" xfId="347" xr:uid="{00000000-0005-0000-0000-000055010000}"/>
    <cellStyle name="20% - Accent1 4 2 5" xfId="348" xr:uid="{00000000-0005-0000-0000-000056010000}"/>
    <cellStyle name="20% - Accent1 4 2 5 2" xfId="349" xr:uid="{00000000-0005-0000-0000-000057010000}"/>
    <cellStyle name="20% - Accent1 4 2 5 2 2" xfId="350" xr:uid="{00000000-0005-0000-0000-000058010000}"/>
    <cellStyle name="20% - Accent1 4 2 5 2 2 2" xfId="351" xr:uid="{00000000-0005-0000-0000-000059010000}"/>
    <cellStyle name="20% - Accent1 4 2 5 2 3" xfId="352" xr:uid="{00000000-0005-0000-0000-00005A010000}"/>
    <cellStyle name="20% - Accent1 4 2 5 2 3 2" xfId="353" xr:uid="{00000000-0005-0000-0000-00005B010000}"/>
    <cellStyle name="20% - Accent1 4 2 5 2 4" xfId="354" xr:uid="{00000000-0005-0000-0000-00005C010000}"/>
    <cellStyle name="20% - Accent1 4 2 5 3" xfId="355" xr:uid="{00000000-0005-0000-0000-00005D010000}"/>
    <cellStyle name="20% - Accent1 4 2 5 3 2" xfId="356" xr:uid="{00000000-0005-0000-0000-00005E010000}"/>
    <cellStyle name="20% - Accent1 4 2 5 4" xfId="357" xr:uid="{00000000-0005-0000-0000-00005F010000}"/>
    <cellStyle name="20% - Accent1 4 2 5 4 2" xfId="358" xr:uid="{00000000-0005-0000-0000-000060010000}"/>
    <cellStyle name="20% - Accent1 4 2 5 5" xfId="359" xr:uid="{00000000-0005-0000-0000-000061010000}"/>
    <cellStyle name="20% - Accent1 4 2 5 5 2" xfId="360" xr:uid="{00000000-0005-0000-0000-000062010000}"/>
    <cellStyle name="20% - Accent1 4 2 5 6" xfId="361" xr:uid="{00000000-0005-0000-0000-000063010000}"/>
    <cellStyle name="20% - Accent1 4 2 5 6 2" xfId="362" xr:uid="{00000000-0005-0000-0000-000064010000}"/>
    <cellStyle name="20% - Accent1 4 2 5 7" xfId="363" xr:uid="{00000000-0005-0000-0000-000065010000}"/>
    <cellStyle name="20% - Accent1 4 2 6" xfId="364" xr:uid="{00000000-0005-0000-0000-000066010000}"/>
    <cellStyle name="20% - Accent1 4 2 6 2" xfId="365" xr:uid="{00000000-0005-0000-0000-000067010000}"/>
    <cellStyle name="20% - Accent1 4 2 6 2 2" xfId="366" xr:uid="{00000000-0005-0000-0000-000068010000}"/>
    <cellStyle name="20% - Accent1 4 2 6 3" xfId="367" xr:uid="{00000000-0005-0000-0000-000069010000}"/>
    <cellStyle name="20% - Accent1 4 2 6 3 2" xfId="368" xr:uid="{00000000-0005-0000-0000-00006A010000}"/>
    <cellStyle name="20% - Accent1 4 2 6 4" xfId="369" xr:uid="{00000000-0005-0000-0000-00006B010000}"/>
    <cellStyle name="20% - Accent1 4 2 6 4 2" xfId="370" xr:uid="{00000000-0005-0000-0000-00006C010000}"/>
    <cellStyle name="20% - Accent1 4 2 6 5" xfId="371" xr:uid="{00000000-0005-0000-0000-00006D010000}"/>
    <cellStyle name="20% - Accent1 4 2 6 5 2" xfId="372" xr:uid="{00000000-0005-0000-0000-00006E010000}"/>
    <cellStyle name="20% - Accent1 4 2 6 6" xfId="373" xr:uid="{00000000-0005-0000-0000-00006F010000}"/>
    <cellStyle name="20% - Accent1 4 2 7" xfId="374" xr:uid="{00000000-0005-0000-0000-000070010000}"/>
    <cellStyle name="20% - Accent1 4 2 7 2" xfId="375" xr:uid="{00000000-0005-0000-0000-000071010000}"/>
    <cellStyle name="20% - Accent1 4 2 7 2 2" xfId="376" xr:uid="{00000000-0005-0000-0000-000072010000}"/>
    <cellStyle name="20% - Accent1 4 2 7 3" xfId="377" xr:uid="{00000000-0005-0000-0000-000073010000}"/>
    <cellStyle name="20% - Accent1 4 2 8" xfId="378" xr:uid="{00000000-0005-0000-0000-000074010000}"/>
    <cellStyle name="20% - Accent1 4 2 8 2" xfId="379" xr:uid="{00000000-0005-0000-0000-000075010000}"/>
    <cellStyle name="20% - Accent1 4 2 9" xfId="380" xr:uid="{00000000-0005-0000-0000-000076010000}"/>
    <cellStyle name="20% - Accent1 4 2 9 2" xfId="381" xr:uid="{00000000-0005-0000-0000-000077010000}"/>
    <cellStyle name="20% - Accent1 4 3" xfId="382" xr:uid="{00000000-0005-0000-0000-000078010000}"/>
    <cellStyle name="20% - Accent1 4 3 10" xfId="383" xr:uid="{00000000-0005-0000-0000-000079010000}"/>
    <cellStyle name="20% - Accent1 4 3 2" xfId="384" xr:uid="{00000000-0005-0000-0000-00007A010000}"/>
    <cellStyle name="20% - Accent1 4 3 2 2" xfId="385" xr:uid="{00000000-0005-0000-0000-00007B010000}"/>
    <cellStyle name="20% - Accent1 4 3 2 2 2" xfId="386" xr:uid="{00000000-0005-0000-0000-00007C010000}"/>
    <cellStyle name="20% - Accent1 4 3 2 2 2 2" xfId="387" xr:uid="{00000000-0005-0000-0000-00007D010000}"/>
    <cellStyle name="20% - Accent1 4 3 2 2 2 2 2" xfId="388" xr:uid="{00000000-0005-0000-0000-00007E010000}"/>
    <cellStyle name="20% - Accent1 4 3 2 2 2 3" xfId="389" xr:uid="{00000000-0005-0000-0000-00007F010000}"/>
    <cellStyle name="20% - Accent1 4 3 2 2 2 3 2" xfId="390" xr:uid="{00000000-0005-0000-0000-000080010000}"/>
    <cellStyle name="20% - Accent1 4 3 2 2 2 4" xfId="391" xr:uid="{00000000-0005-0000-0000-000081010000}"/>
    <cellStyle name="20% - Accent1 4 3 2 2 3" xfId="392" xr:uid="{00000000-0005-0000-0000-000082010000}"/>
    <cellStyle name="20% - Accent1 4 3 2 2 3 2" xfId="393" xr:uid="{00000000-0005-0000-0000-000083010000}"/>
    <cellStyle name="20% - Accent1 4 3 2 2 4" xfId="394" xr:uid="{00000000-0005-0000-0000-000084010000}"/>
    <cellStyle name="20% - Accent1 4 3 2 2 4 2" xfId="395" xr:uid="{00000000-0005-0000-0000-000085010000}"/>
    <cellStyle name="20% - Accent1 4 3 2 2 5" xfId="396" xr:uid="{00000000-0005-0000-0000-000086010000}"/>
    <cellStyle name="20% - Accent1 4 3 2 2 5 2" xfId="397" xr:uid="{00000000-0005-0000-0000-000087010000}"/>
    <cellStyle name="20% - Accent1 4 3 2 2 6" xfId="398" xr:uid="{00000000-0005-0000-0000-000088010000}"/>
    <cellStyle name="20% - Accent1 4 3 2 2 6 2" xfId="399" xr:uid="{00000000-0005-0000-0000-000089010000}"/>
    <cellStyle name="20% - Accent1 4 3 2 2 7" xfId="400" xr:uid="{00000000-0005-0000-0000-00008A010000}"/>
    <cellStyle name="20% - Accent1 4 3 2 3" xfId="401" xr:uid="{00000000-0005-0000-0000-00008B010000}"/>
    <cellStyle name="20% - Accent1 4 3 2 3 2" xfId="402" xr:uid="{00000000-0005-0000-0000-00008C010000}"/>
    <cellStyle name="20% - Accent1 4 3 2 3 2 2" xfId="403" xr:uid="{00000000-0005-0000-0000-00008D010000}"/>
    <cellStyle name="20% - Accent1 4 3 2 3 3" xfId="404" xr:uid="{00000000-0005-0000-0000-00008E010000}"/>
    <cellStyle name="20% - Accent1 4 3 2 3 3 2" xfId="405" xr:uid="{00000000-0005-0000-0000-00008F010000}"/>
    <cellStyle name="20% - Accent1 4 3 2 3 4" xfId="406" xr:uid="{00000000-0005-0000-0000-000090010000}"/>
    <cellStyle name="20% - Accent1 4 3 2 3 4 2" xfId="407" xr:uid="{00000000-0005-0000-0000-000091010000}"/>
    <cellStyle name="20% - Accent1 4 3 2 3 5" xfId="408" xr:uid="{00000000-0005-0000-0000-000092010000}"/>
    <cellStyle name="20% - Accent1 4 3 2 3 5 2" xfId="409" xr:uid="{00000000-0005-0000-0000-000093010000}"/>
    <cellStyle name="20% - Accent1 4 3 2 3 6" xfId="410" xr:uid="{00000000-0005-0000-0000-000094010000}"/>
    <cellStyle name="20% - Accent1 4 3 2 4" xfId="411" xr:uid="{00000000-0005-0000-0000-000095010000}"/>
    <cellStyle name="20% - Accent1 4 3 2 4 2" xfId="412" xr:uid="{00000000-0005-0000-0000-000096010000}"/>
    <cellStyle name="20% - Accent1 4 3 2 4 2 2" xfId="413" xr:uid="{00000000-0005-0000-0000-000097010000}"/>
    <cellStyle name="20% - Accent1 4 3 2 4 3" xfId="414" xr:uid="{00000000-0005-0000-0000-000098010000}"/>
    <cellStyle name="20% - Accent1 4 3 2 5" xfId="415" xr:uid="{00000000-0005-0000-0000-000099010000}"/>
    <cellStyle name="20% - Accent1 4 3 2 5 2" xfId="416" xr:uid="{00000000-0005-0000-0000-00009A010000}"/>
    <cellStyle name="20% - Accent1 4 3 2 6" xfId="417" xr:uid="{00000000-0005-0000-0000-00009B010000}"/>
    <cellStyle name="20% - Accent1 4 3 2 6 2" xfId="418" xr:uid="{00000000-0005-0000-0000-00009C010000}"/>
    <cellStyle name="20% - Accent1 4 3 2 7" xfId="419" xr:uid="{00000000-0005-0000-0000-00009D010000}"/>
    <cellStyle name="20% - Accent1 4 3 2 7 2" xfId="420" xr:uid="{00000000-0005-0000-0000-00009E010000}"/>
    <cellStyle name="20% - Accent1 4 3 2 8" xfId="421" xr:uid="{00000000-0005-0000-0000-00009F010000}"/>
    <cellStyle name="20% - Accent1 4 3 3" xfId="422" xr:uid="{00000000-0005-0000-0000-0000A0010000}"/>
    <cellStyle name="20% - Accent1 4 3 3 2" xfId="423" xr:uid="{00000000-0005-0000-0000-0000A1010000}"/>
    <cellStyle name="20% - Accent1 4 3 3 2 2" xfId="424" xr:uid="{00000000-0005-0000-0000-0000A2010000}"/>
    <cellStyle name="20% - Accent1 4 3 3 2 2 2" xfId="425" xr:uid="{00000000-0005-0000-0000-0000A3010000}"/>
    <cellStyle name="20% - Accent1 4 3 3 2 2 2 2" xfId="426" xr:uid="{00000000-0005-0000-0000-0000A4010000}"/>
    <cellStyle name="20% - Accent1 4 3 3 2 2 3" xfId="427" xr:uid="{00000000-0005-0000-0000-0000A5010000}"/>
    <cellStyle name="20% - Accent1 4 3 3 2 2 3 2" xfId="428" xr:uid="{00000000-0005-0000-0000-0000A6010000}"/>
    <cellStyle name="20% - Accent1 4 3 3 2 2 4" xfId="429" xr:uid="{00000000-0005-0000-0000-0000A7010000}"/>
    <cellStyle name="20% - Accent1 4 3 3 2 3" xfId="430" xr:uid="{00000000-0005-0000-0000-0000A8010000}"/>
    <cellStyle name="20% - Accent1 4 3 3 2 3 2" xfId="431" xr:uid="{00000000-0005-0000-0000-0000A9010000}"/>
    <cellStyle name="20% - Accent1 4 3 3 2 4" xfId="432" xr:uid="{00000000-0005-0000-0000-0000AA010000}"/>
    <cellStyle name="20% - Accent1 4 3 3 2 4 2" xfId="433" xr:uid="{00000000-0005-0000-0000-0000AB010000}"/>
    <cellStyle name="20% - Accent1 4 3 3 2 5" xfId="434" xr:uid="{00000000-0005-0000-0000-0000AC010000}"/>
    <cellStyle name="20% - Accent1 4 3 3 2 5 2" xfId="435" xr:uid="{00000000-0005-0000-0000-0000AD010000}"/>
    <cellStyle name="20% - Accent1 4 3 3 2 6" xfId="436" xr:uid="{00000000-0005-0000-0000-0000AE010000}"/>
    <cellStyle name="20% - Accent1 4 3 3 2 6 2" xfId="437" xr:uid="{00000000-0005-0000-0000-0000AF010000}"/>
    <cellStyle name="20% - Accent1 4 3 3 2 7" xfId="438" xr:uid="{00000000-0005-0000-0000-0000B0010000}"/>
    <cellStyle name="20% - Accent1 4 3 3 3" xfId="439" xr:uid="{00000000-0005-0000-0000-0000B1010000}"/>
    <cellStyle name="20% - Accent1 4 3 3 3 2" xfId="440" xr:uid="{00000000-0005-0000-0000-0000B2010000}"/>
    <cellStyle name="20% - Accent1 4 3 3 3 2 2" xfId="441" xr:uid="{00000000-0005-0000-0000-0000B3010000}"/>
    <cellStyle name="20% - Accent1 4 3 3 3 3" xfId="442" xr:uid="{00000000-0005-0000-0000-0000B4010000}"/>
    <cellStyle name="20% - Accent1 4 3 3 3 3 2" xfId="443" xr:uid="{00000000-0005-0000-0000-0000B5010000}"/>
    <cellStyle name="20% - Accent1 4 3 3 3 4" xfId="444" xr:uid="{00000000-0005-0000-0000-0000B6010000}"/>
    <cellStyle name="20% - Accent1 4 3 3 3 4 2" xfId="445" xr:uid="{00000000-0005-0000-0000-0000B7010000}"/>
    <cellStyle name="20% - Accent1 4 3 3 3 5" xfId="446" xr:uid="{00000000-0005-0000-0000-0000B8010000}"/>
    <cellStyle name="20% - Accent1 4 3 3 3 5 2" xfId="447" xr:uid="{00000000-0005-0000-0000-0000B9010000}"/>
    <cellStyle name="20% - Accent1 4 3 3 3 6" xfId="448" xr:uid="{00000000-0005-0000-0000-0000BA010000}"/>
    <cellStyle name="20% - Accent1 4 3 3 4" xfId="449" xr:uid="{00000000-0005-0000-0000-0000BB010000}"/>
    <cellStyle name="20% - Accent1 4 3 3 4 2" xfId="450" xr:uid="{00000000-0005-0000-0000-0000BC010000}"/>
    <cellStyle name="20% - Accent1 4 3 3 4 2 2" xfId="451" xr:uid="{00000000-0005-0000-0000-0000BD010000}"/>
    <cellStyle name="20% - Accent1 4 3 3 4 3" xfId="452" xr:uid="{00000000-0005-0000-0000-0000BE010000}"/>
    <cellStyle name="20% - Accent1 4 3 3 5" xfId="453" xr:uid="{00000000-0005-0000-0000-0000BF010000}"/>
    <cellStyle name="20% - Accent1 4 3 3 5 2" xfId="454" xr:uid="{00000000-0005-0000-0000-0000C0010000}"/>
    <cellStyle name="20% - Accent1 4 3 3 6" xfId="455" xr:uid="{00000000-0005-0000-0000-0000C1010000}"/>
    <cellStyle name="20% - Accent1 4 3 3 6 2" xfId="456" xr:uid="{00000000-0005-0000-0000-0000C2010000}"/>
    <cellStyle name="20% - Accent1 4 3 3 7" xfId="457" xr:uid="{00000000-0005-0000-0000-0000C3010000}"/>
    <cellStyle name="20% - Accent1 4 3 3 7 2" xfId="458" xr:uid="{00000000-0005-0000-0000-0000C4010000}"/>
    <cellStyle name="20% - Accent1 4 3 3 8" xfId="459" xr:uid="{00000000-0005-0000-0000-0000C5010000}"/>
    <cellStyle name="20% - Accent1 4 3 4" xfId="460" xr:uid="{00000000-0005-0000-0000-0000C6010000}"/>
    <cellStyle name="20% - Accent1 4 3 4 2" xfId="461" xr:uid="{00000000-0005-0000-0000-0000C7010000}"/>
    <cellStyle name="20% - Accent1 4 3 4 2 2" xfId="462" xr:uid="{00000000-0005-0000-0000-0000C8010000}"/>
    <cellStyle name="20% - Accent1 4 3 4 2 2 2" xfId="463" xr:uid="{00000000-0005-0000-0000-0000C9010000}"/>
    <cellStyle name="20% - Accent1 4 3 4 2 3" xfId="464" xr:uid="{00000000-0005-0000-0000-0000CA010000}"/>
    <cellStyle name="20% - Accent1 4 3 4 2 3 2" xfId="465" xr:uid="{00000000-0005-0000-0000-0000CB010000}"/>
    <cellStyle name="20% - Accent1 4 3 4 2 4" xfId="466" xr:uid="{00000000-0005-0000-0000-0000CC010000}"/>
    <cellStyle name="20% - Accent1 4 3 4 3" xfId="467" xr:uid="{00000000-0005-0000-0000-0000CD010000}"/>
    <cellStyle name="20% - Accent1 4 3 4 3 2" xfId="468" xr:uid="{00000000-0005-0000-0000-0000CE010000}"/>
    <cellStyle name="20% - Accent1 4 3 4 4" xfId="469" xr:uid="{00000000-0005-0000-0000-0000CF010000}"/>
    <cellStyle name="20% - Accent1 4 3 4 4 2" xfId="470" xr:uid="{00000000-0005-0000-0000-0000D0010000}"/>
    <cellStyle name="20% - Accent1 4 3 4 5" xfId="471" xr:uid="{00000000-0005-0000-0000-0000D1010000}"/>
    <cellStyle name="20% - Accent1 4 3 4 5 2" xfId="472" xr:uid="{00000000-0005-0000-0000-0000D2010000}"/>
    <cellStyle name="20% - Accent1 4 3 4 6" xfId="473" xr:uid="{00000000-0005-0000-0000-0000D3010000}"/>
    <cellStyle name="20% - Accent1 4 3 4 6 2" xfId="474" xr:uid="{00000000-0005-0000-0000-0000D4010000}"/>
    <cellStyle name="20% - Accent1 4 3 4 7" xfId="475" xr:uid="{00000000-0005-0000-0000-0000D5010000}"/>
    <cellStyle name="20% - Accent1 4 3 5" xfId="476" xr:uid="{00000000-0005-0000-0000-0000D6010000}"/>
    <cellStyle name="20% - Accent1 4 3 5 2" xfId="477" xr:uid="{00000000-0005-0000-0000-0000D7010000}"/>
    <cellStyle name="20% - Accent1 4 3 5 2 2" xfId="478" xr:uid="{00000000-0005-0000-0000-0000D8010000}"/>
    <cellStyle name="20% - Accent1 4 3 5 3" xfId="479" xr:uid="{00000000-0005-0000-0000-0000D9010000}"/>
    <cellStyle name="20% - Accent1 4 3 5 3 2" xfId="480" xr:uid="{00000000-0005-0000-0000-0000DA010000}"/>
    <cellStyle name="20% - Accent1 4 3 5 4" xfId="481" xr:uid="{00000000-0005-0000-0000-0000DB010000}"/>
    <cellStyle name="20% - Accent1 4 3 5 4 2" xfId="482" xr:uid="{00000000-0005-0000-0000-0000DC010000}"/>
    <cellStyle name="20% - Accent1 4 3 5 5" xfId="483" xr:uid="{00000000-0005-0000-0000-0000DD010000}"/>
    <cellStyle name="20% - Accent1 4 3 5 5 2" xfId="484" xr:uid="{00000000-0005-0000-0000-0000DE010000}"/>
    <cellStyle name="20% - Accent1 4 3 5 6" xfId="485" xr:uid="{00000000-0005-0000-0000-0000DF010000}"/>
    <cellStyle name="20% - Accent1 4 3 6" xfId="486" xr:uid="{00000000-0005-0000-0000-0000E0010000}"/>
    <cellStyle name="20% - Accent1 4 3 6 2" xfId="487" xr:uid="{00000000-0005-0000-0000-0000E1010000}"/>
    <cellStyle name="20% - Accent1 4 3 6 2 2" xfId="488" xr:uid="{00000000-0005-0000-0000-0000E2010000}"/>
    <cellStyle name="20% - Accent1 4 3 6 3" xfId="489" xr:uid="{00000000-0005-0000-0000-0000E3010000}"/>
    <cellStyle name="20% - Accent1 4 3 7" xfId="490" xr:uid="{00000000-0005-0000-0000-0000E4010000}"/>
    <cellStyle name="20% - Accent1 4 3 7 2" xfId="491" xr:uid="{00000000-0005-0000-0000-0000E5010000}"/>
    <cellStyle name="20% - Accent1 4 3 8" xfId="492" xr:uid="{00000000-0005-0000-0000-0000E6010000}"/>
    <cellStyle name="20% - Accent1 4 3 8 2" xfId="493" xr:uid="{00000000-0005-0000-0000-0000E7010000}"/>
    <cellStyle name="20% - Accent1 4 3 9" xfId="494" xr:uid="{00000000-0005-0000-0000-0000E8010000}"/>
    <cellStyle name="20% - Accent1 4 3 9 2" xfId="495" xr:uid="{00000000-0005-0000-0000-0000E9010000}"/>
    <cellStyle name="20% - Accent1 4 4" xfId="496" xr:uid="{00000000-0005-0000-0000-0000EA010000}"/>
    <cellStyle name="20% - Accent1 4 4 2" xfId="497" xr:uid="{00000000-0005-0000-0000-0000EB010000}"/>
    <cellStyle name="20% - Accent1 4 4 2 2" xfId="498" xr:uid="{00000000-0005-0000-0000-0000EC010000}"/>
    <cellStyle name="20% - Accent1 4 4 2 2 2" xfId="499" xr:uid="{00000000-0005-0000-0000-0000ED010000}"/>
    <cellStyle name="20% - Accent1 4 4 2 2 2 2" xfId="500" xr:uid="{00000000-0005-0000-0000-0000EE010000}"/>
    <cellStyle name="20% - Accent1 4 4 2 2 3" xfId="501" xr:uid="{00000000-0005-0000-0000-0000EF010000}"/>
    <cellStyle name="20% - Accent1 4 4 2 2 3 2" xfId="502" xr:uid="{00000000-0005-0000-0000-0000F0010000}"/>
    <cellStyle name="20% - Accent1 4 4 2 2 4" xfId="503" xr:uid="{00000000-0005-0000-0000-0000F1010000}"/>
    <cellStyle name="20% - Accent1 4 4 2 3" xfId="504" xr:uid="{00000000-0005-0000-0000-0000F2010000}"/>
    <cellStyle name="20% - Accent1 4 4 2 3 2" xfId="505" xr:uid="{00000000-0005-0000-0000-0000F3010000}"/>
    <cellStyle name="20% - Accent1 4 4 2 4" xfId="506" xr:uid="{00000000-0005-0000-0000-0000F4010000}"/>
    <cellStyle name="20% - Accent1 4 4 2 4 2" xfId="507" xr:uid="{00000000-0005-0000-0000-0000F5010000}"/>
    <cellStyle name="20% - Accent1 4 4 2 5" xfId="508" xr:uid="{00000000-0005-0000-0000-0000F6010000}"/>
    <cellStyle name="20% - Accent1 4 4 2 5 2" xfId="509" xr:uid="{00000000-0005-0000-0000-0000F7010000}"/>
    <cellStyle name="20% - Accent1 4 4 2 6" xfId="510" xr:uid="{00000000-0005-0000-0000-0000F8010000}"/>
    <cellStyle name="20% - Accent1 4 4 2 6 2" xfId="511" xr:uid="{00000000-0005-0000-0000-0000F9010000}"/>
    <cellStyle name="20% - Accent1 4 4 2 7" xfId="512" xr:uid="{00000000-0005-0000-0000-0000FA010000}"/>
    <cellStyle name="20% - Accent1 4 4 3" xfId="513" xr:uid="{00000000-0005-0000-0000-0000FB010000}"/>
    <cellStyle name="20% - Accent1 4 4 3 2" xfId="514" xr:uid="{00000000-0005-0000-0000-0000FC010000}"/>
    <cellStyle name="20% - Accent1 4 4 3 2 2" xfId="515" xr:uid="{00000000-0005-0000-0000-0000FD010000}"/>
    <cellStyle name="20% - Accent1 4 4 3 3" xfId="516" xr:uid="{00000000-0005-0000-0000-0000FE010000}"/>
    <cellStyle name="20% - Accent1 4 4 3 3 2" xfId="517" xr:uid="{00000000-0005-0000-0000-0000FF010000}"/>
    <cellStyle name="20% - Accent1 4 4 3 4" xfId="518" xr:uid="{00000000-0005-0000-0000-000000020000}"/>
    <cellStyle name="20% - Accent1 4 4 3 4 2" xfId="519" xr:uid="{00000000-0005-0000-0000-000001020000}"/>
    <cellStyle name="20% - Accent1 4 4 3 5" xfId="520" xr:uid="{00000000-0005-0000-0000-000002020000}"/>
    <cellStyle name="20% - Accent1 4 4 3 5 2" xfId="521" xr:uid="{00000000-0005-0000-0000-000003020000}"/>
    <cellStyle name="20% - Accent1 4 4 3 6" xfId="522" xr:uid="{00000000-0005-0000-0000-000004020000}"/>
    <cellStyle name="20% - Accent1 4 4 4" xfId="523" xr:uid="{00000000-0005-0000-0000-000005020000}"/>
    <cellStyle name="20% - Accent1 4 4 4 2" xfId="524" xr:uid="{00000000-0005-0000-0000-000006020000}"/>
    <cellStyle name="20% - Accent1 4 4 4 2 2" xfId="525" xr:uid="{00000000-0005-0000-0000-000007020000}"/>
    <cellStyle name="20% - Accent1 4 4 4 3" xfId="526" xr:uid="{00000000-0005-0000-0000-000008020000}"/>
    <cellStyle name="20% - Accent1 4 4 5" xfId="527" xr:uid="{00000000-0005-0000-0000-000009020000}"/>
    <cellStyle name="20% - Accent1 4 4 5 2" xfId="528" xr:uid="{00000000-0005-0000-0000-00000A020000}"/>
    <cellStyle name="20% - Accent1 4 4 6" xfId="529" xr:uid="{00000000-0005-0000-0000-00000B020000}"/>
    <cellStyle name="20% - Accent1 4 4 6 2" xfId="530" xr:uid="{00000000-0005-0000-0000-00000C020000}"/>
    <cellStyle name="20% - Accent1 4 4 7" xfId="531" xr:uid="{00000000-0005-0000-0000-00000D020000}"/>
    <cellStyle name="20% - Accent1 4 4 7 2" xfId="532" xr:uid="{00000000-0005-0000-0000-00000E020000}"/>
    <cellStyle name="20% - Accent1 4 4 8" xfId="533" xr:uid="{00000000-0005-0000-0000-00000F020000}"/>
    <cellStyle name="20% - Accent1 4 5" xfId="534" xr:uid="{00000000-0005-0000-0000-000010020000}"/>
    <cellStyle name="20% - Accent1 4 5 2" xfId="535" xr:uid="{00000000-0005-0000-0000-000011020000}"/>
    <cellStyle name="20% - Accent1 4 5 2 2" xfId="536" xr:uid="{00000000-0005-0000-0000-000012020000}"/>
    <cellStyle name="20% - Accent1 4 5 2 2 2" xfId="537" xr:uid="{00000000-0005-0000-0000-000013020000}"/>
    <cellStyle name="20% - Accent1 4 5 2 2 2 2" xfId="538" xr:uid="{00000000-0005-0000-0000-000014020000}"/>
    <cellStyle name="20% - Accent1 4 5 2 2 3" xfId="539" xr:uid="{00000000-0005-0000-0000-000015020000}"/>
    <cellStyle name="20% - Accent1 4 5 2 2 3 2" xfId="540" xr:uid="{00000000-0005-0000-0000-000016020000}"/>
    <cellStyle name="20% - Accent1 4 5 2 2 4" xfId="541" xr:uid="{00000000-0005-0000-0000-000017020000}"/>
    <cellStyle name="20% - Accent1 4 5 2 3" xfId="542" xr:uid="{00000000-0005-0000-0000-000018020000}"/>
    <cellStyle name="20% - Accent1 4 5 2 3 2" xfId="543" xr:uid="{00000000-0005-0000-0000-000019020000}"/>
    <cellStyle name="20% - Accent1 4 5 2 4" xfId="544" xr:uid="{00000000-0005-0000-0000-00001A020000}"/>
    <cellStyle name="20% - Accent1 4 5 2 4 2" xfId="545" xr:uid="{00000000-0005-0000-0000-00001B020000}"/>
    <cellStyle name="20% - Accent1 4 5 2 5" xfId="546" xr:uid="{00000000-0005-0000-0000-00001C020000}"/>
    <cellStyle name="20% - Accent1 4 5 2 5 2" xfId="547" xr:uid="{00000000-0005-0000-0000-00001D020000}"/>
    <cellStyle name="20% - Accent1 4 5 2 6" xfId="548" xr:uid="{00000000-0005-0000-0000-00001E020000}"/>
    <cellStyle name="20% - Accent1 4 5 2 6 2" xfId="549" xr:uid="{00000000-0005-0000-0000-00001F020000}"/>
    <cellStyle name="20% - Accent1 4 5 2 7" xfId="550" xr:uid="{00000000-0005-0000-0000-000020020000}"/>
    <cellStyle name="20% - Accent1 4 5 3" xfId="551" xr:uid="{00000000-0005-0000-0000-000021020000}"/>
    <cellStyle name="20% - Accent1 4 5 3 2" xfId="552" xr:uid="{00000000-0005-0000-0000-000022020000}"/>
    <cellStyle name="20% - Accent1 4 5 3 2 2" xfId="553" xr:uid="{00000000-0005-0000-0000-000023020000}"/>
    <cellStyle name="20% - Accent1 4 5 3 3" xfId="554" xr:uid="{00000000-0005-0000-0000-000024020000}"/>
    <cellStyle name="20% - Accent1 4 5 3 3 2" xfId="555" xr:uid="{00000000-0005-0000-0000-000025020000}"/>
    <cellStyle name="20% - Accent1 4 5 3 4" xfId="556" xr:uid="{00000000-0005-0000-0000-000026020000}"/>
    <cellStyle name="20% - Accent1 4 5 3 4 2" xfId="557" xr:uid="{00000000-0005-0000-0000-000027020000}"/>
    <cellStyle name="20% - Accent1 4 5 3 5" xfId="558" xr:uid="{00000000-0005-0000-0000-000028020000}"/>
    <cellStyle name="20% - Accent1 4 5 3 5 2" xfId="559" xr:uid="{00000000-0005-0000-0000-000029020000}"/>
    <cellStyle name="20% - Accent1 4 5 3 6" xfId="560" xr:uid="{00000000-0005-0000-0000-00002A020000}"/>
    <cellStyle name="20% - Accent1 4 5 4" xfId="561" xr:uid="{00000000-0005-0000-0000-00002B020000}"/>
    <cellStyle name="20% - Accent1 4 5 4 2" xfId="562" xr:uid="{00000000-0005-0000-0000-00002C020000}"/>
    <cellStyle name="20% - Accent1 4 5 4 2 2" xfId="563" xr:uid="{00000000-0005-0000-0000-00002D020000}"/>
    <cellStyle name="20% - Accent1 4 5 4 3" xfId="564" xr:uid="{00000000-0005-0000-0000-00002E020000}"/>
    <cellStyle name="20% - Accent1 4 5 5" xfId="565" xr:uid="{00000000-0005-0000-0000-00002F020000}"/>
    <cellStyle name="20% - Accent1 4 5 5 2" xfId="566" xr:uid="{00000000-0005-0000-0000-000030020000}"/>
    <cellStyle name="20% - Accent1 4 5 6" xfId="567" xr:uid="{00000000-0005-0000-0000-000031020000}"/>
    <cellStyle name="20% - Accent1 4 5 6 2" xfId="568" xr:uid="{00000000-0005-0000-0000-000032020000}"/>
    <cellStyle name="20% - Accent1 4 5 7" xfId="569" xr:uid="{00000000-0005-0000-0000-000033020000}"/>
    <cellStyle name="20% - Accent1 4 5 7 2" xfId="570" xr:uid="{00000000-0005-0000-0000-000034020000}"/>
    <cellStyle name="20% - Accent1 4 5 8" xfId="571" xr:uid="{00000000-0005-0000-0000-000035020000}"/>
    <cellStyle name="20% - Accent1 4 6" xfId="572" xr:uid="{00000000-0005-0000-0000-000036020000}"/>
    <cellStyle name="20% - Accent1 4 6 2" xfId="573" xr:uid="{00000000-0005-0000-0000-000037020000}"/>
    <cellStyle name="20% - Accent1 4 6 2 2" xfId="574" xr:uid="{00000000-0005-0000-0000-000038020000}"/>
    <cellStyle name="20% - Accent1 4 6 2 2 2" xfId="575" xr:uid="{00000000-0005-0000-0000-000039020000}"/>
    <cellStyle name="20% - Accent1 4 6 2 3" xfId="576" xr:uid="{00000000-0005-0000-0000-00003A020000}"/>
    <cellStyle name="20% - Accent1 4 6 2 3 2" xfId="577" xr:uid="{00000000-0005-0000-0000-00003B020000}"/>
    <cellStyle name="20% - Accent1 4 6 2 4" xfId="578" xr:uid="{00000000-0005-0000-0000-00003C020000}"/>
    <cellStyle name="20% - Accent1 4 6 3" xfId="579" xr:uid="{00000000-0005-0000-0000-00003D020000}"/>
    <cellStyle name="20% - Accent1 4 6 3 2" xfId="580" xr:uid="{00000000-0005-0000-0000-00003E020000}"/>
    <cellStyle name="20% - Accent1 4 6 4" xfId="581" xr:uid="{00000000-0005-0000-0000-00003F020000}"/>
    <cellStyle name="20% - Accent1 4 6 4 2" xfId="582" xr:uid="{00000000-0005-0000-0000-000040020000}"/>
    <cellStyle name="20% - Accent1 4 6 5" xfId="583" xr:uid="{00000000-0005-0000-0000-000041020000}"/>
    <cellStyle name="20% - Accent1 4 6 5 2" xfId="584" xr:uid="{00000000-0005-0000-0000-000042020000}"/>
    <cellStyle name="20% - Accent1 4 6 6" xfId="585" xr:uid="{00000000-0005-0000-0000-000043020000}"/>
    <cellStyle name="20% - Accent1 4 6 6 2" xfId="586" xr:uid="{00000000-0005-0000-0000-000044020000}"/>
    <cellStyle name="20% - Accent1 4 6 7" xfId="587" xr:uid="{00000000-0005-0000-0000-000045020000}"/>
    <cellStyle name="20% - Accent1 4 7" xfId="588" xr:uid="{00000000-0005-0000-0000-000046020000}"/>
    <cellStyle name="20% - Accent1 4 7 2" xfId="589" xr:uid="{00000000-0005-0000-0000-000047020000}"/>
    <cellStyle name="20% - Accent1 4 7 2 2" xfId="590" xr:uid="{00000000-0005-0000-0000-000048020000}"/>
    <cellStyle name="20% - Accent1 4 7 3" xfId="591" xr:uid="{00000000-0005-0000-0000-000049020000}"/>
    <cellStyle name="20% - Accent1 4 7 3 2" xfId="592" xr:uid="{00000000-0005-0000-0000-00004A020000}"/>
    <cellStyle name="20% - Accent1 4 7 4" xfId="593" xr:uid="{00000000-0005-0000-0000-00004B020000}"/>
    <cellStyle name="20% - Accent1 4 7 4 2" xfId="594" xr:uid="{00000000-0005-0000-0000-00004C020000}"/>
    <cellStyle name="20% - Accent1 4 7 5" xfId="595" xr:uid="{00000000-0005-0000-0000-00004D020000}"/>
    <cellStyle name="20% - Accent1 4 7 5 2" xfId="596" xr:uid="{00000000-0005-0000-0000-00004E020000}"/>
    <cellStyle name="20% - Accent1 4 7 6" xfId="597" xr:uid="{00000000-0005-0000-0000-00004F020000}"/>
    <cellStyle name="20% - Accent1 4 8" xfId="598" xr:uid="{00000000-0005-0000-0000-000050020000}"/>
    <cellStyle name="20% - Accent1 4 8 2" xfId="599" xr:uid="{00000000-0005-0000-0000-000051020000}"/>
    <cellStyle name="20% - Accent1 4 8 2 2" xfId="600" xr:uid="{00000000-0005-0000-0000-000052020000}"/>
    <cellStyle name="20% - Accent1 4 8 3" xfId="601" xr:uid="{00000000-0005-0000-0000-000053020000}"/>
    <cellStyle name="20% - Accent1 4 8 3 2" xfId="602" xr:uid="{00000000-0005-0000-0000-000054020000}"/>
    <cellStyle name="20% - Accent1 4 8 4" xfId="603" xr:uid="{00000000-0005-0000-0000-000055020000}"/>
    <cellStyle name="20% - Accent1 4 9" xfId="604" xr:uid="{00000000-0005-0000-0000-000056020000}"/>
    <cellStyle name="20% - Accent1 4 9 2" xfId="605" xr:uid="{00000000-0005-0000-0000-000057020000}"/>
    <cellStyle name="20% - Accent1 4 9 2 2" xfId="606" xr:uid="{00000000-0005-0000-0000-000058020000}"/>
    <cellStyle name="20% - Accent1 4 9 3" xfId="607" xr:uid="{00000000-0005-0000-0000-000059020000}"/>
    <cellStyle name="20% - Accent1 5" xfId="608" xr:uid="{00000000-0005-0000-0000-00005A020000}"/>
    <cellStyle name="20% - Accent1 5 2" xfId="609" xr:uid="{00000000-0005-0000-0000-00005B020000}"/>
    <cellStyle name="20% - Accent1 5 2 2" xfId="610" xr:uid="{00000000-0005-0000-0000-00005C020000}"/>
    <cellStyle name="20% - Accent1 5 2 2 2" xfId="611" xr:uid="{00000000-0005-0000-0000-00005D020000}"/>
    <cellStyle name="20% - Accent1 5 2 3" xfId="612" xr:uid="{00000000-0005-0000-0000-00005E020000}"/>
    <cellStyle name="20% - Accent1 5 3" xfId="613" xr:uid="{00000000-0005-0000-0000-00005F020000}"/>
    <cellStyle name="20% - Accent1 5 3 2" xfId="614" xr:uid="{00000000-0005-0000-0000-000060020000}"/>
    <cellStyle name="20% - Accent1 5 3 2 2" xfId="615" xr:uid="{00000000-0005-0000-0000-000061020000}"/>
    <cellStyle name="20% - Accent1 5 3 3" xfId="616" xr:uid="{00000000-0005-0000-0000-000062020000}"/>
    <cellStyle name="20% - Accent1 5 4" xfId="617" xr:uid="{00000000-0005-0000-0000-000063020000}"/>
    <cellStyle name="20% - Accent1 6" xfId="618" xr:uid="{00000000-0005-0000-0000-000064020000}"/>
    <cellStyle name="20% - Accent1 6 10" xfId="619" xr:uid="{00000000-0005-0000-0000-000065020000}"/>
    <cellStyle name="20% - Accent1 6 10 2" xfId="620" xr:uid="{00000000-0005-0000-0000-000066020000}"/>
    <cellStyle name="20% - Accent1 6 11" xfId="621" xr:uid="{00000000-0005-0000-0000-000067020000}"/>
    <cellStyle name="20% - Accent1 6 2" xfId="622" xr:uid="{00000000-0005-0000-0000-000068020000}"/>
    <cellStyle name="20% - Accent1 6 2 10" xfId="623" xr:uid="{00000000-0005-0000-0000-000069020000}"/>
    <cellStyle name="20% - Accent1 6 2 2" xfId="624" xr:uid="{00000000-0005-0000-0000-00006A020000}"/>
    <cellStyle name="20% - Accent1 6 2 2 2" xfId="625" xr:uid="{00000000-0005-0000-0000-00006B020000}"/>
    <cellStyle name="20% - Accent1 6 2 2 2 2" xfId="626" xr:uid="{00000000-0005-0000-0000-00006C020000}"/>
    <cellStyle name="20% - Accent1 6 2 2 2 2 2" xfId="627" xr:uid="{00000000-0005-0000-0000-00006D020000}"/>
    <cellStyle name="20% - Accent1 6 2 2 2 2 2 2" xfId="628" xr:uid="{00000000-0005-0000-0000-00006E020000}"/>
    <cellStyle name="20% - Accent1 6 2 2 2 2 3" xfId="629" xr:uid="{00000000-0005-0000-0000-00006F020000}"/>
    <cellStyle name="20% - Accent1 6 2 2 2 2 3 2" xfId="630" xr:uid="{00000000-0005-0000-0000-000070020000}"/>
    <cellStyle name="20% - Accent1 6 2 2 2 2 4" xfId="631" xr:uid="{00000000-0005-0000-0000-000071020000}"/>
    <cellStyle name="20% - Accent1 6 2 2 2 3" xfId="632" xr:uid="{00000000-0005-0000-0000-000072020000}"/>
    <cellStyle name="20% - Accent1 6 2 2 2 3 2" xfId="633" xr:uid="{00000000-0005-0000-0000-000073020000}"/>
    <cellStyle name="20% - Accent1 6 2 2 2 4" xfId="634" xr:uid="{00000000-0005-0000-0000-000074020000}"/>
    <cellStyle name="20% - Accent1 6 2 2 2 4 2" xfId="635" xr:uid="{00000000-0005-0000-0000-000075020000}"/>
    <cellStyle name="20% - Accent1 6 2 2 2 5" xfId="636" xr:uid="{00000000-0005-0000-0000-000076020000}"/>
    <cellStyle name="20% - Accent1 6 2 2 2 5 2" xfId="637" xr:uid="{00000000-0005-0000-0000-000077020000}"/>
    <cellStyle name="20% - Accent1 6 2 2 2 6" xfId="638" xr:uid="{00000000-0005-0000-0000-000078020000}"/>
    <cellStyle name="20% - Accent1 6 2 2 2 6 2" xfId="639" xr:uid="{00000000-0005-0000-0000-000079020000}"/>
    <cellStyle name="20% - Accent1 6 2 2 2 7" xfId="640" xr:uid="{00000000-0005-0000-0000-00007A020000}"/>
    <cellStyle name="20% - Accent1 6 2 2 3" xfId="641" xr:uid="{00000000-0005-0000-0000-00007B020000}"/>
    <cellStyle name="20% - Accent1 6 2 2 3 2" xfId="642" xr:uid="{00000000-0005-0000-0000-00007C020000}"/>
    <cellStyle name="20% - Accent1 6 2 2 3 2 2" xfId="643" xr:uid="{00000000-0005-0000-0000-00007D020000}"/>
    <cellStyle name="20% - Accent1 6 2 2 3 3" xfId="644" xr:uid="{00000000-0005-0000-0000-00007E020000}"/>
    <cellStyle name="20% - Accent1 6 2 2 3 3 2" xfId="645" xr:uid="{00000000-0005-0000-0000-00007F020000}"/>
    <cellStyle name="20% - Accent1 6 2 2 3 4" xfId="646" xr:uid="{00000000-0005-0000-0000-000080020000}"/>
    <cellStyle name="20% - Accent1 6 2 2 3 4 2" xfId="647" xr:uid="{00000000-0005-0000-0000-000081020000}"/>
    <cellStyle name="20% - Accent1 6 2 2 3 5" xfId="648" xr:uid="{00000000-0005-0000-0000-000082020000}"/>
    <cellStyle name="20% - Accent1 6 2 2 3 5 2" xfId="649" xr:uid="{00000000-0005-0000-0000-000083020000}"/>
    <cellStyle name="20% - Accent1 6 2 2 3 6" xfId="650" xr:uid="{00000000-0005-0000-0000-000084020000}"/>
    <cellStyle name="20% - Accent1 6 2 2 4" xfId="651" xr:uid="{00000000-0005-0000-0000-000085020000}"/>
    <cellStyle name="20% - Accent1 6 2 2 4 2" xfId="652" xr:uid="{00000000-0005-0000-0000-000086020000}"/>
    <cellStyle name="20% - Accent1 6 2 2 4 2 2" xfId="653" xr:uid="{00000000-0005-0000-0000-000087020000}"/>
    <cellStyle name="20% - Accent1 6 2 2 4 3" xfId="654" xr:uid="{00000000-0005-0000-0000-000088020000}"/>
    <cellStyle name="20% - Accent1 6 2 2 5" xfId="655" xr:uid="{00000000-0005-0000-0000-000089020000}"/>
    <cellStyle name="20% - Accent1 6 2 2 5 2" xfId="656" xr:uid="{00000000-0005-0000-0000-00008A020000}"/>
    <cellStyle name="20% - Accent1 6 2 2 6" xfId="657" xr:uid="{00000000-0005-0000-0000-00008B020000}"/>
    <cellStyle name="20% - Accent1 6 2 2 6 2" xfId="658" xr:uid="{00000000-0005-0000-0000-00008C020000}"/>
    <cellStyle name="20% - Accent1 6 2 2 7" xfId="659" xr:uid="{00000000-0005-0000-0000-00008D020000}"/>
    <cellStyle name="20% - Accent1 6 2 2 7 2" xfId="660" xr:uid="{00000000-0005-0000-0000-00008E020000}"/>
    <cellStyle name="20% - Accent1 6 2 2 8" xfId="661" xr:uid="{00000000-0005-0000-0000-00008F020000}"/>
    <cellStyle name="20% - Accent1 6 2 3" xfId="662" xr:uid="{00000000-0005-0000-0000-000090020000}"/>
    <cellStyle name="20% - Accent1 6 2 3 2" xfId="663" xr:uid="{00000000-0005-0000-0000-000091020000}"/>
    <cellStyle name="20% - Accent1 6 2 3 2 2" xfId="664" xr:uid="{00000000-0005-0000-0000-000092020000}"/>
    <cellStyle name="20% - Accent1 6 2 3 2 2 2" xfId="665" xr:uid="{00000000-0005-0000-0000-000093020000}"/>
    <cellStyle name="20% - Accent1 6 2 3 2 2 2 2" xfId="666" xr:uid="{00000000-0005-0000-0000-000094020000}"/>
    <cellStyle name="20% - Accent1 6 2 3 2 2 3" xfId="667" xr:uid="{00000000-0005-0000-0000-000095020000}"/>
    <cellStyle name="20% - Accent1 6 2 3 2 2 3 2" xfId="668" xr:uid="{00000000-0005-0000-0000-000096020000}"/>
    <cellStyle name="20% - Accent1 6 2 3 2 2 4" xfId="669" xr:uid="{00000000-0005-0000-0000-000097020000}"/>
    <cellStyle name="20% - Accent1 6 2 3 2 3" xfId="670" xr:uid="{00000000-0005-0000-0000-000098020000}"/>
    <cellStyle name="20% - Accent1 6 2 3 2 3 2" xfId="671" xr:uid="{00000000-0005-0000-0000-000099020000}"/>
    <cellStyle name="20% - Accent1 6 2 3 2 4" xfId="672" xr:uid="{00000000-0005-0000-0000-00009A020000}"/>
    <cellStyle name="20% - Accent1 6 2 3 2 4 2" xfId="673" xr:uid="{00000000-0005-0000-0000-00009B020000}"/>
    <cellStyle name="20% - Accent1 6 2 3 2 5" xfId="674" xr:uid="{00000000-0005-0000-0000-00009C020000}"/>
    <cellStyle name="20% - Accent1 6 2 3 2 5 2" xfId="675" xr:uid="{00000000-0005-0000-0000-00009D020000}"/>
    <cellStyle name="20% - Accent1 6 2 3 2 6" xfId="676" xr:uid="{00000000-0005-0000-0000-00009E020000}"/>
    <cellStyle name="20% - Accent1 6 2 3 2 6 2" xfId="677" xr:uid="{00000000-0005-0000-0000-00009F020000}"/>
    <cellStyle name="20% - Accent1 6 2 3 2 7" xfId="678" xr:uid="{00000000-0005-0000-0000-0000A0020000}"/>
    <cellStyle name="20% - Accent1 6 2 3 3" xfId="679" xr:uid="{00000000-0005-0000-0000-0000A1020000}"/>
    <cellStyle name="20% - Accent1 6 2 3 3 2" xfId="680" xr:uid="{00000000-0005-0000-0000-0000A2020000}"/>
    <cellStyle name="20% - Accent1 6 2 3 3 2 2" xfId="681" xr:uid="{00000000-0005-0000-0000-0000A3020000}"/>
    <cellStyle name="20% - Accent1 6 2 3 3 3" xfId="682" xr:uid="{00000000-0005-0000-0000-0000A4020000}"/>
    <cellStyle name="20% - Accent1 6 2 3 3 3 2" xfId="683" xr:uid="{00000000-0005-0000-0000-0000A5020000}"/>
    <cellStyle name="20% - Accent1 6 2 3 3 4" xfId="684" xr:uid="{00000000-0005-0000-0000-0000A6020000}"/>
    <cellStyle name="20% - Accent1 6 2 3 3 4 2" xfId="685" xr:uid="{00000000-0005-0000-0000-0000A7020000}"/>
    <cellStyle name="20% - Accent1 6 2 3 3 5" xfId="686" xr:uid="{00000000-0005-0000-0000-0000A8020000}"/>
    <cellStyle name="20% - Accent1 6 2 3 3 5 2" xfId="687" xr:uid="{00000000-0005-0000-0000-0000A9020000}"/>
    <cellStyle name="20% - Accent1 6 2 3 3 6" xfId="688" xr:uid="{00000000-0005-0000-0000-0000AA020000}"/>
    <cellStyle name="20% - Accent1 6 2 3 4" xfId="689" xr:uid="{00000000-0005-0000-0000-0000AB020000}"/>
    <cellStyle name="20% - Accent1 6 2 3 4 2" xfId="690" xr:uid="{00000000-0005-0000-0000-0000AC020000}"/>
    <cellStyle name="20% - Accent1 6 2 3 4 2 2" xfId="691" xr:uid="{00000000-0005-0000-0000-0000AD020000}"/>
    <cellStyle name="20% - Accent1 6 2 3 4 3" xfId="692" xr:uid="{00000000-0005-0000-0000-0000AE020000}"/>
    <cellStyle name="20% - Accent1 6 2 3 5" xfId="693" xr:uid="{00000000-0005-0000-0000-0000AF020000}"/>
    <cellStyle name="20% - Accent1 6 2 3 5 2" xfId="694" xr:uid="{00000000-0005-0000-0000-0000B0020000}"/>
    <cellStyle name="20% - Accent1 6 2 3 6" xfId="695" xr:uid="{00000000-0005-0000-0000-0000B1020000}"/>
    <cellStyle name="20% - Accent1 6 2 3 6 2" xfId="696" xr:uid="{00000000-0005-0000-0000-0000B2020000}"/>
    <cellStyle name="20% - Accent1 6 2 3 7" xfId="697" xr:uid="{00000000-0005-0000-0000-0000B3020000}"/>
    <cellStyle name="20% - Accent1 6 2 3 7 2" xfId="698" xr:uid="{00000000-0005-0000-0000-0000B4020000}"/>
    <cellStyle name="20% - Accent1 6 2 3 8" xfId="699" xr:uid="{00000000-0005-0000-0000-0000B5020000}"/>
    <cellStyle name="20% - Accent1 6 2 4" xfId="700" xr:uid="{00000000-0005-0000-0000-0000B6020000}"/>
    <cellStyle name="20% - Accent1 6 2 4 2" xfId="701" xr:uid="{00000000-0005-0000-0000-0000B7020000}"/>
    <cellStyle name="20% - Accent1 6 2 4 2 2" xfId="702" xr:uid="{00000000-0005-0000-0000-0000B8020000}"/>
    <cellStyle name="20% - Accent1 6 2 4 2 2 2" xfId="703" xr:uid="{00000000-0005-0000-0000-0000B9020000}"/>
    <cellStyle name="20% - Accent1 6 2 4 2 3" xfId="704" xr:uid="{00000000-0005-0000-0000-0000BA020000}"/>
    <cellStyle name="20% - Accent1 6 2 4 2 3 2" xfId="705" xr:uid="{00000000-0005-0000-0000-0000BB020000}"/>
    <cellStyle name="20% - Accent1 6 2 4 2 4" xfId="706" xr:uid="{00000000-0005-0000-0000-0000BC020000}"/>
    <cellStyle name="20% - Accent1 6 2 4 3" xfId="707" xr:uid="{00000000-0005-0000-0000-0000BD020000}"/>
    <cellStyle name="20% - Accent1 6 2 4 3 2" xfId="708" xr:uid="{00000000-0005-0000-0000-0000BE020000}"/>
    <cellStyle name="20% - Accent1 6 2 4 4" xfId="709" xr:uid="{00000000-0005-0000-0000-0000BF020000}"/>
    <cellStyle name="20% - Accent1 6 2 4 4 2" xfId="710" xr:uid="{00000000-0005-0000-0000-0000C0020000}"/>
    <cellStyle name="20% - Accent1 6 2 4 5" xfId="711" xr:uid="{00000000-0005-0000-0000-0000C1020000}"/>
    <cellStyle name="20% - Accent1 6 2 4 5 2" xfId="712" xr:uid="{00000000-0005-0000-0000-0000C2020000}"/>
    <cellStyle name="20% - Accent1 6 2 4 6" xfId="713" xr:uid="{00000000-0005-0000-0000-0000C3020000}"/>
    <cellStyle name="20% - Accent1 6 2 4 6 2" xfId="714" xr:uid="{00000000-0005-0000-0000-0000C4020000}"/>
    <cellStyle name="20% - Accent1 6 2 4 7" xfId="715" xr:uid="{00000000-0005-0000-0000-0000C5020000}"/>
    <cellStyle name="20% - Accent1 6 2 5" xfId="716" xr:uid="{00000000-0005-0000-0000-0000C6020000}"/>
    <cellStyle name="20% - Accent1 6 2 5 2" xfId="717" xr:uid="{00000000-0005-0000-0000-0000C7020000}"/>
    <cellStyle name="20% - Accent1 6 2 5 2 2" xfId="718" xr:uid="{00000000-0005-0000-0000-0000C8020000}"/>
    <cellStyle name="20% - Accent1 6 2 5 3" xfId="719" xr:uid="{00000000-0005-0000-0000-0000C9020000}"/>
    <cellStyle name="20% - Accent1 6 2 5 3 2" xfId="720" xr:uid="{00000000-0005-0000-0000-0000CA020000}"/>
    <cellStyle name="20% - Accent1 6 2 5 4" xfId="721" xr:uid="{00000000-0005-0000-0000-0000CB020000}"/>
    <cellStyle name="20% - Accent1 6 2 5 4 2" xfId="722" xr:uid="{00000000-0005-0000-0000-0000CC020000}"/>
    <cellStyle name="20% - Accent1 6 2 5 5" xfId="723" xr:uid="{00000000-0005-0000-0000-0000CD020000}"/>
    <cellStyle name="20% - Accent1 6 2 5 5 2" xfId="724" xr:uid="{00000000-0005-0000-0000-0000CE020000}"/>
    <cellStyle name="20% - Accent1 6 2 5 6" xfId="725" xr:uid="{00000000-0005-0000-0000-0000CF020000}"/>
    <cellStyle name="20% - Accent1 6 2 6" xfId="726" xr:uid="{00000000-0005-0000-0000-0000D0020000}"/>
    <cellStyle name="20% - Accent1 6 2 6 2" xfId="727" xr:uid="{00000000-0005-0000-0000-0000D1020000}"/>
    <cellStyle name="20% - Accent1 6 2 6 2 2" xfId="728" xr:uid="{00000000-0005-0000-0000-0000D2020000}"/>
    <cellStyle name="20% - Accent1 6 2 6 3" xfId="729" xr:uid="{00000000-0005-0000-0000-0000D3020000}"/>
    <cellStyle name="20% - Accent1 6 2 7" xfId="730" xr:uid="{00000000-0005-0000-0000-0000D4020000}"/>
    <cellStyle name="20% - Accent1 6 2 7 2" xfId="731" xr:uid="{00000000-0005-0000-0000-0000D5020000}"/>
    <cellStyle name="20% - Accent1 6 2 8" xfId="732" xr:uid="{00000000-0005-0000-0000-0000D6020000}"/>
    <cellStyle name="20% - Accent1 6 2 8 2" xfId="733" xr:uid="{00000000-0005-0000-0000-0000D7020000}"/>
    <cellStyle name="20% - Accent1 6 2 9" xfId="734" xr:uid="{00000000-0005-0000-0000-0000D8020000}"/>
    <cellStyle name="20% - Accent1 6 2 9 2" xfId="735" xr:uid="{00000000-0005-0000-0000-0000D9020000}"/>
    <cellStyle name="20% - Accent1 6 3" xfId="736" xr:uid="{00000000-0005-0000-0000-0000DA020000}"/>
    <cellStyle name="20% - Accent1 6 3 2" xfId="737" xr:uid="{00000000-0005-0000-0000-0000DB020000}"/>
    <cellStyle name="20% - Accent1 6 3 2 2" xfId="738" xr:uid="{00000000-0005-0000-0000-0000DC020000}"/>
    <cellStyle name="20% - Accent1 6 3 2 2 2" xfId="739" xr:uid="{00000000-0005-0000-0000-0000DD020000}"/>
    <cellStyle name="20% - Accent1 6 3 2 2 2 2" xfId="740" xr:uid="{00000000-0005-0000-0000-0000DE020000}"/>
    <cellStyle name="20% - Accent1 6 3 2 2 3" xfId="741" xr:uid="{00000000-0005-0000-0000-0000DF020000}"/>
    <cellStyle name="20% - Accent1 6 3 2 2 3 2" xfId="742" xr:uid="{00000000-0005-0000-0000-0000E0020000}"/>
    <cellStyle name="20% - Accent1 6 3 2 2 4" xfId="743" xr:uid="{00000000-0005-0000-0000-0000E1020000}"/>
    <cellStyle name="20% - Accent1 6 3 2 3" xfId="744" xr:uid="{00000000-0005-0000-0000-0000E2020000}"/>
    <cellStyle name="20% - Accent1 6 3 2 3 2" xfId="745" xr:uid="{00000000-0005-0000-0000-0000E3020000}"/>
    <cellStyle name="20% - Accent1 6 3 2 4" xfId="746" xr:uid="{00000000-0005-0000-0000-0000E4020000}"/>
    <cellStyle name="20% - Accent1 6 3 2 4 2" xfId="747" xr:uid="{00000000-0005-0000-0000-0000E5020000}"/>
    <cellStyle name="20% - Accent1 6 3 2 5" xfId="748" xr:uid="{00000000-0005-0000-0000-0000E6020000}"/>
    <cellStyle name="20% - Accent1 6 3 2 5 2" xfId="749" xr:uid="{00000000-0005-0000-0000-0000E7020000}"/>
    <cellStyle name="20% - Accent1 6 3 2 6" xfId="750" xr:uid="{00000000-0005-0000-0000-0000E8020000}"/>
    <cellStyle name="20% - Accent1 6 3 2 6 2" xfId="751" xr:uid="{00000000-0005-0000-0000-0000E9020000}"/>
    <cellStyle name="20% - Accent1 6 3 2 7" xfId="752" xr:uid="{00000000-0005-0000-0000-0000EA020000}"/>
    <cellStyle name="20% - Accent1 6 3 3" xfId="753" xr:uid="{00000000-0005-0000-0000-0000EB020000}"/>
    <cellStyle name="20% - Accent1 6 3 3 2" xfId="754" xr:uid="{00000000-0005-0000-0000-0000EC020000}"/>
    <cellStyle name="20% - Accent1 6 3 3 2 2" xfId="755" xr:uid="{00000000-0005-0000-0000-0000ED020000}"/>
    <cellStyle name="20% - Accent1 6 3 3 3" xfId="756" xr:uid="{00000000-0005-0000-0000-0000EE020000}"/>
    <cellStyle name="20% - Accent1 6 3 3 3 2" xfId="757" xr:uid="{00000000-0005-0000-0000-0000EF020000}"/>
    <cellStyle name="20% - Accent1 6 3 3 4" xfId="758" xr:uid="{00000000-0005-0000-0000-0000F0020000}"/>
    <cellStyle name="20% - Accent1 6 3 3 4 2" xfId="759" xr:uid="{00000000-0005-0000-0000-0000F1020000}"/>
    <cellStyle name="20% - Accent1 6 3 3 5" xfId="760" xr:uid="{00000000-0005-0000-0000-0000F2020000}"/>
    <cellStyle name="20% - Accent1 6 3 3 5 2" xfId="761" xr:uid="{00000000-0005-0000-0000-0000F3020000}"/>
    <cellStyle name="20% - Accent1 6 3 3 6" xfId="762" xr:uid="{00000000-0005-0000-0000-0000F4020000}"/>
    <cellStyle name="20% - Accent1 6 3 4" xfId="763" xr:uid="{00000000-0005-0000-0000-0000F5020000}"/>
    <cellStyle name="20% - Accent1 6 3 4 2" xfId="764" xr:uid="{00000000-0005-0000-0000-0000F6020000}"/>
    <cellStyle name="20% - Accent1 6 3 4 2 2" xfId="765" xr:uid="{00000000-0005-0000-0000-0000F7020000}"/>
    <cellStyle name="20% - Accent1 6 3 4 3" xfId="766" xr:uid="{00000000-0005-0000-0000-0000F8020000}"/>
    <cellStyle name="20% - Accent1 6 3 5" xfId="767" xr:uid="{00000000-0005-0000-0000-0000F9020000}"/>
    <cellStyle name="20% - Accent1 6 3 5 2" xfId="768" xr:uid="{00000000-0005-0000-0000-0000FA020000}"/>
    <cellStyle name="20% - Accent1 6 3 6" xfId="769" xr:uid="{00000000-0005-0000-0000-0000FB020000}"/>
    <cellStyle name="20% - Accent1 6 3 6 2" xfId="770" xr:uid="{00000000-0005-0000-0000-0000FC020000}"/>
    <cellStyle name="20% - Accent1 6 3 7" xfId="771" xr:uid="{00000000-0005-0000-0000-0000FD020000}"/>
    <cellStyle name="20% - Accent1 6 3 7 2" xfId="772" xr:uid="{00000000-0005-0000-0000-0000FE020000}"/>
    <cellStyle name="20% - Accent1 6 3 8" xfId="773" xr:uid="{00000000-0005-0000-0000-0000FF020000}"/>
    <cellStyle name="20% - Accent1 6 4" xfId="774" xr:uid="{00000000-0005-0000-0000-000000030000}"/>
    <cellStyle name="20% - Accent1 6 4 2" xfId="775" xr:uid="{00000000-0005-0000-0000-000001030000}"/>
    <cellStyle name="20% - Accent1 6 4 2 2" xfId="776" xr:uid="{00000000-0005-0000-0000-000002030000}"/>
    <cellStyle name="20% - Accent1 6 4 2 2 2" xfId="777" xr:uid="{00000000-0005-0000-0000-000003030000}"/>
    <cellStyle name="20% - Accent1 6 4 2 2 2 2" xfId="778" xr:uid="{00000000-0005-0000-0000-000004030000}"/>
    <cellStyle name="20% - Accent1 6 4 2 2 3" xfId="779" xr:uid="{00000000-0005-0000-0000-000005030000}"/>
    <cellStyle name="20% - Accent1 6 4 2 2 3 2" xfId="780" xr:uid="{00000000-0005-0000-0000-000006030000}"/>
    <cellStyle name="20% - Accent1 6 4 2 2 4" xfId="781" xr:uid="{00000000-0005-0000-0000-000007030000}"/>
    <cellStyle name="20% - Accent1 6 4 2 3" xfId="782" xr:uid="{00000000-0005-0000-0000-000008030000}"/>
    <cellStyle name="20% - Accent1 6 4 2 3 2" xfId="783" xr:uid="{00000000-0005-0000-0000-000009030000}"/>
    <cellStyle name="20% - Accent1 6 4 2 4" xfId="784" xr:uid="{00000000-0005-0000-0000-00000A030000}"/>
    <cellStyle name="20% - Accent1 6 4 2 4 2" xfId="785" xr:uid="{00000000-0005-0000-0000-00000B030000}"/>
    <cellStyle name="20% - Accent1 6 4 2 5" xfId="786" xr:uid="{00000000-0005-0000-0000-00000C030000}"/>
    <cellStyle name="20% - Accent1 6 4 2 5 2" xfId="787" xr:uid="{00000000-0005-0000-0000-00000D030000}"/>
    <cellStyle name="20% - Accent1 6 4 2 6" xfId="788" xr:uid="{00000000-0005-0000-0000-00000E030000}"/>
    <cellStyle name="20% - Accent1 6 4 2 6 2" xfId="789" xr:uid="{00000000-0005-0000-0000-00000F030000}"/>
    <cellStyle name="20% - Accent1 6 4 2 7" xfId="790" xr:uid="{00000000-0005-0000-0000-000010030000}"/>
    <cellStyle name="20% - Accent1 6 4 3" xfId="791" xr:uid="{00000000-0005-0000-0000-000011030000}"/>
    <cellStyle name="20% - Accent1 6 4 3 2" xfId="792" xr:uid="{00000000-0005-0000-0000-000012030000}"/>
    <cellStyle name="20% - Accent1 6 4 3 2 2" xfId="793" xr:uid="{00000000-0005-0000-0000-000013030000}"/>
    <cellStyle name="20% - Accent1 6 4 3 3" xfId="794" xr:uid="{00000000-0005-0000-0000-000014030000}"/>
    <cellStyle name="20% - Accent1 6 4 3 3 2" xfId="795" xr:uid="{00000000-0005-0000-0000-000015030000}"/>
    <cellStyle name="20% - Accent1 6 4 3 4" xfId="796" xr:uid="{00000000-0005-0000-0000-000016030000}"/>
    <cellStyle name="20% - Accent1 6 4 3 4 2" xfId="797" xr:uid="{00000000-0005-0000-0000-000017030000}"/>
    <cellStyle name="20% - Accent1 6 4 3 5" xfId="798" xr:uid="{00000000-0005-0000-0000-000018030000}"/>
    <cellStyle name="20% - Accent1 6 4 3 5 2" xfId="799" xr:uid="{00000000-0005-0000-0000-000019030000}"/>
    <cellStyle name="20% - Accent1 6 4 3 6" xfId="800" xr:uid="{00000000-0005-0000-0000-00001A030000}"/>
    <cellStyle name="20% - Accent1 6 4 4" xfId="801" xr:uid="{00000000-0005-0000-0000-00001B030000}"/>
    <cellStyle name="20% - Accent1 6 4 4 2" xfId="802" xr:uid="{00000000-0005-0000-0000-00001C030000}"/>
    <cellStyle name="20% - Accent1 6 4 4 2 2" xfId="803" xr:uid="{00000000-0005-0000-0000-00001D030000}"/>
    <cellStyle name="20% - Accent1 6 4 4 3" xfId="804" xr:uid="{00000000-0005-0000-0000-00001E030000}"/>
    <cellStyle name="20% - Accent1 6 4 5" xfId="805" xr:uid="{00000000-0005-0000-0000-00001F030000}"/>
    <cellStyle name="20% - Accent1 6 4 5 2" xfId="806" xr:uid="{00000000-0005-0000-0000-000020030000}"/>
    <cellStyle name="20% - Accent1 6 4 6" xfId="807" xr:uid="{00000000-0005-0000-0000-000021030000}"/>
    <cellStyle name="20% - Accent1 6 4 6 2" xfId="808" xr:uid="{00000000-0005-0000-0000-000022030000}"/>
    <cellStyle name="20% - Accent1 6 4 7" xfId="809" xr:uid="{00000000-0005-0000-0000-000023030000}"/>
    <cellStyle name="20% - Accent1 6 4 7 2" xfId="810" xr:uid="{00000000-0005-0000-0000-000024030000}"/>
    <cellStyle name="20% - Accent1 6 4 8" xfId="811" xr:uid="{00000000-0005-0000-0000-000025030000}"/>
    <cellStyle name="20% - Accent1 6 5" xfId="812" xr:uid="{00000000-0005-0000-0000-000026030000}"/>
    <cellStyle name="20% - Accent1 6 5 2" xfId="813" xr:uid="{00000000-0005-0000-0000-000027030000}"/>
    <cellStyle name="20% - Accent1 6 5 2 2" xfId="814" xr:uid="{00000000-0005-0000-0000-000028030000}"/>
    <cellStyle name="20% - Accent1 6 5 2 2 2" xfId="815" xr:uid="{00000000-0005-0000-0000-000029030000}"/>
    <cellStyle name="20% - Accent1 6 5 2 3" xfId="816" xr:uid="{00000000-0005-0000-0000-00002A030000}"/>
    <cellStyle name="20% - Accent1 6 5 2 3 2" xfId="817" xr:uid="{00000000-0005-0000-0000-00002B030000}"/>
    <cellStyle name="20% - Accent1 6 5 2 4" xfId="818" xr:uid="{00000000-0005-0000-0000-00002C030000}"/>
    <cellStyle name="20% - Accent1 6 5 3" xfId="819" xr:uid="{00000000-0005-0000-0000-00002D030000}"/>
    <cellStyle name="20% - Accent1 6 5 3 2" xfId="820" xr:uid="{00000000-0005-0000-0000-00002E030000}"/>
    <cellStyle name="20% - Accent1 6 5 4" xfId="821" xr:uid="{00000000-0005-0000-0000-00002F030000}"/>
    <cellStyle name="20% - Accent1 6 5 4 2" xfId="822" xr:uid="{00000000-0005-0000-0000-000030030000}"/>
    <cellStyle name="20% - Accent1 6 5 5" xfId="823" xr:uid="{00000000-0005-0000-0000-000031030000}"/>
    <cellStyle name="20% - Accent1 6 5 5 2" xfId="824" xr:uid="{00000000-0005-0000-0000-000032030000}"/>
    <cellStyle name="20% - Accent1 6 5 6" xfId="825" xr:uid="{00000000-0005-0000-0000-000033030000}"/>
    <cellStyle name="20% - Accent1 6 5 6 2" xfId="826" xr:uid="{00000000-0005-0000-0000-000034030000}"/>
    <cellStyle name="20% - Accent1 6 5 7" xfId="827" xr:uid="{00000000-0005-0000-0000-000035030000}"/>
    <cellStyle name="20% - Accent1 6 6" xfId="828" xr:uid="{00000000-0005-0000-0000-000036030000}"/>
    <cellStyle name="20% - Accent1 6 6 2" xfId="829" xr:uid="{00000000-0005-0000-0000-000037030000}"/>
    <cellStyle name="20% - Accent1 6 6 2 2" xfId="830" xr:uid="{00000000-0005-0000-0000-000038030000}"/>
    <cellStyle name="20% - Accent1 6 6 3" xfId="831" xr:uid="{00000000-0005-0000-0000-000039030000}"/>
    <cellStyle name="20% - Accent1 6 6 3 2" xfId="832" xr:uid="{00000000-0005-0000-0000-00003A030000}"/>
    <cellStyle name="20% - Accent1 6 6 4" xfId="833" xr:uid="{00000000-0005-0000-0000-00003B030000}"/>
    <cellStyle name="20% - Accent1 6 6 4 2" xfId="834" xr:uid="{00000000-0005-0000-0000-00003C030000}"/>
    <cellStyle name="20% - Accent1 6 6 5" xfId="835" xr:uid="{00000000-0005-0000-0000-00003D030000}"/>
    <cellStyle name="20% - Accent1 6 6 5 2" xfId="836" xr:uid="{00000000-0005-0000-0000-00003E030000}"/>
    <cellStyle name="20% - Accent1 6 6 6" xfId="837" xr:uid="{00000000-0005-0000-0000-00003F030000}"/>
    <cellStyle name="20% - Accent1 6 7" xfId="838" xr:uid="{00000000-0005-0000-0000-000040030000}"/>
    <cellStyle name="20% - Accent1 6 7 2" xfId="839" xr:uid="{00000000-0005-0000-0000-000041030000}"/>
    <cellStyle name="20% - Accent1 6 7 2 2" xfId="840" xr:uid="{00000000-0005-0000-0000-000042030000}"/>
    <cellStyle name="20% - Accent1 6 7 3" xfId="841" xr:uid="{00000000-0005-0000-0000-000043030000}"/>
    <cellStyle name="20% - Accent1 6 8" xfId="842" xr:uid="{00000000-0005-0000-0000-000044030000}"/>
    <cellStyle name="20% - Accent1 6 8 2" xfId="843" xr:uid="{00000000-0005-0000-0000-000045030000}"/>
    <cellStyle name="20% - Accent1 6 9" xfId="844" xr:uid="{00000000-0005-0000-0000-000046030000}"/>
    <cellStyle name="20% - Accent1 6 9 2" xfId="845" xr:uid="{00000000-0005-0000-0000-000047030000}"/>
    <cellStyle name="20% - Accent1 7" xfId="846" xr:uid="{00000000-0005-0000-0000-000048030000}"/>
    <cellStyle name="20% - Accent1 7 2" xfId="847" xr:uid="{00000000-0005-0000-0000-000049030000}"/>
    <cellStyle name="20% - Accent1 8" xfId="848" xr:uid="{00000000-0005-0000-0000-00004A030000}"/>
    <cellStyle name="20% - Accent1 8 2" xfId="849" xr:uid="{00000000-0005-0000-0000-00004B030000}"/>
    <cellStyle name="20% - Accent1 8 2 2" xfId="850" xr:uid="{00000000-0005-0000-0000-00004C030000}"/>
    <cellStyle name="20% - Accent1 8 2 2 2" xfId="851" xr:uid="{00000000-0005-0000-0000-00004D030000}"/>
    <cellStyle name="20% - Accent1 8 2 2 2 2" xfId="852" xr:uid="{00000000-0005-0000-0000-00004E030000}"/>
    <cellStyle name="20% - Accent1 8 2 2 2 2 2" xfId="853" xr:uid="{00000000-0005-0000-0000-00004F030000}"/>
    <cellStyle name="20% - Accent1 8 2 2 2 3" xfId="854" xr:uid="{00000000-0005-0000-0000-000050030000}"/>
    <cellStyle name="20% - Accent1 8 2 2 2 3 2" xfId="855" xr:uid="{00000000-0005-0000-0000-000051030000}"/>
    <cellStyle name="20% - Accent1 8 2 2 2 4" xfId="856" xr:uid="{00000000-0005-0000-0000-000052030000}"/>
    <cellStyle name="20% - Accent1 8 2 2 3" xfId="857" xr:uid="{00000000-0005-0000-0000-000053030000}"/>
    <cellStyle name="20% - Accent1 8 2 2 3 2" xfId="858" xr:uid="{00000000-0005-0000-0000-000054030000}"/>
    <cellStyle name="20% - Accent1 8 2 2 4" xfId="859" xr:uid="{00000000-0005-0000-0000-000055030000}"/>
    <cellStyle name="20% - Accent1 8 2 2 4 2" xfId="860" xr:uid="{00000000-0005-0000-0000-000056030000}"/>
    <cellStyle name="20% - Accent1 8 2 2 5" xfId="861" xr:uid="{00000000-0005-0000-0000-000057030000}"/>
    <cellStyle name="20% - Accent1 8 2 2 5 2" xfId="862" xr:uid="{00000000-0005-0000-0000-000058030000}"/>
    <cellStyle name="20% - Accent1 8 2 2 6" xfId="863" xr:uid="{00000000-0005-0000-0000-000059030000}"/>
    <cellStyle name="20% - Accent1 8 2 2 6 2" xfId="864" xr:uid="{00000000-0005-0000-0000-00005A030000}"/>
    <cellStyle name="20% - Accent1 8 2 2 7" xfId="865" xr:uid="{00000000-0005-0000-0000-00005B030000}"/>
    <cellStyle name="20% - Accent1 8 2 3" xfId="866" xr:uid="{00000000-0005-0000-0000-00005C030000}"/>
    <cellStyle name="20% - Accent1 8 2 3 2" xfId="867" xr:uid="{00000000-0005-0000-0000-00005D030000}"/>
    <cellStyle name="20% - Accent1 8 2 3 2 2" xfId="868" xr:uid="{00000000-0005-0000-0000-00005E030000}"/>
    <cellStyle name="20% - Accent1 8 2 3 3" xfId="869" xr:uid="{00000000-0005-0000-0000-00005F030000}"/>
    <cellStyle name="20% - Accent1 8 2 3 3 2" xfId="870" xr:uid="{00000000-0005-0000-0000-000060030000}"/>
    <cellStyle name="20% - Accent1 8 2 3 4" xfId="871" xr:uid="{00000000-0005-0000-0000-000061030000}"/>
    <cellStyle name="20% - Accent1 8 2 3 4 2" xfId="872" xr:uid="{00000000-0005-0000-0000-000062030000}"/>
    <cellStyle name="20% - Accent1 8 2 3 5" xfId="873" xr:uid="{00000000-0005-0000-0000-000063030000}"/>
    <cellStyle name="20% - Accent1 8 2 3 5 2" xfId="874" xr:uid="{00000000-0005-0000-0000-000064030000}"/>
    <cellStyle name="20% - Accent1 8 2 3 6" xfId="875" xr:uid="{00000000-0005-0000-0000-000065030000}"/>
    <cellStyle name="20% - Accent1 8 2 4" xfId="876" xr:uid="{00000000-0005-0000-0000-000066030000}"/>
    <cellStyle name="20% - Accent1 8 2 4 2" xfId="877" xr:uid="{00000000-0005-0000-0000-000067030000}"/>
    <cellStyle name="20% - Accent1 8 2 4 2 2" xfId="878" xr:uid="{00000000-0005-0000-0000-000068030000}"/>
    <cellStyle name="20% - Accent1 8 2 4 3" xfId="879" xr:uid="{00000000-0005-0000-0000-000069030000}"/>
    <cellStyle name="20% - Accent1 8 2 5" xfId="880" xr:uid="{00000000-0005-0000-0000-00006A030000}"/>
    <cellStyle name="20% - Accent1 8 2 5 2" xfId="881" xr:uid="{00000000-0005-0000-0000-00006B030000}"/>
    <cellStyle name="20% - Accent1 8 2 6" xfId="882" xr:uid="{00000000-0005-0000-0000-00006C030000}"/>
    <cellStyle name="20% - Accent1 8 2 6 2" xfId="883" xr:uid="{00000000-0005-0000-0000-00006D030000}"/>
    <cellStyle name="20% - Accent1 8 2 7" xfId="884" xr:uid="{00000000-0005-0000-0000-00006E030000}"/>
    <cellStyle name="20% - Accent1 8 2 7 2" xfId="885" xr:uid="{00000000-0005-0000-0000-00006F030000}"/>
    <cellStyle name="20% - Accent1 8 2 8" xfId="886" xr:uid="{00000000-0005-0000-0000-000070030000}"/>
    <cellStyle name="20% - Accent1 8 3" xfId="887" xr:uid="{00000000-0005-0000-0000-000071030000}"/>
    <cellStyle name="20% - Accent1 8 3 2" xfId="888" xr:uid="{00000000-0005-0000-0000-000072030000}"/>
    <cellStyle name="20% - Accent1 8 3 2 2" xfId="889" xr:uid="{00000000-0005-0000-0000-000073030000}"/>
    <cellStyle name="20% - Accent1 8 3 2 2 2" xfId="890" xr:uid="{00000000-0005-0000-0000-000074030000}"/>
    <cellStyle name="20% - Accent1 8 3 2 3" xfId="891" xr:uid="{00000000-0005-0000-0000-000075030000}"/>
    <cellStyle name="20% - Accent1 8 3 2 3 2" xfId="892" xr:uid="{00000000-0005-0000-0000-000076030000}"/>
    <cellStyle name="20% - Accent1 8 3 2 4" xfId="893" xr:uid="{00000000-0005-0000-0000-000077030000}"/>
    <cellStyle name="20% - Accent1 8 3 3" xfId="894" xr:uid="{00000000-0005-0000-0000-000078030000}"/>
    <cellStyle name="20% - Accent1 8 3 3 2" xfId="895" xr:uid="{00000000-0005-0000-0000-000079030000}"/>
    <cellStyle name="20% - Accent1 8 3 4" xfId="896" xr:uid="{00000000-0005-0000-0000-00007A030000}"/>
    <cellStyle name="20% - Accent1 8 3 4 2" xfId="897" xr:uid="{00000000-0005-0000-0000-00007B030000}"/>
    <cellStyle name="20% - Accent1 8 3 5" xfId="898" xr:uid="{00000000-0005-0000-0000-00007C030000}"/>
    <cellStyle name="20% - Accent1 8 3 5 2" xfId="899" xr:uid="{00000000-0005-0000-0000-00007D030000}"/>
    <cellStyle name="20% - Accent1 8 3 6" xfId="900" xr:uid="{00000000-0005-0000-0000-00007E030000}"/>
    <cellStyle name="20% - Accent1 8 3 6 2" xfId="901" xr:uid="{00000000-0005-0000-0000-00007F030000}"/>
    <cellStyle name="20% - Accent1 8 3 7" xfId="902" xr:uid="{00000000-0005-0000-0000-000080030000}"/>
    <cellStyle name="20% - Accent1 8 4" xfId="903" xr:uid="{00000000-0005-0000-0000-000081030000}"/>
    <cellStyle name="20% - Accent1 8 4 2" xfId="904" xr:uid="{00000000-0005-0000-0000-000082030000}"/>
    <cellStyle name="20% - Accent1 8 4 2 2" xfId="905" xr:uid="{00000000-0005-0000-0000-000083030000}"/>
    <cellStyle name="20% - Accent1 8 4 3" xfId="906" xr:uid="{00000000-0005-0000-0000-000084030000}"/>
    <cellStyle name="20% - Accent1 8 4 3 2" xfId="907" xr:uid="{00000000-0005-0000-0000-000085030000}"/>
    <cellStyle name="20% - Accent1 8 4 4" xfId="908" xr:uid="{00000000-0005-0000-0000-000086030000}"/>
    <cellStyle name="20% - Accent1 8 4 4 2" xfId="909" xr:uid="{00000000-0005-0000-0000-000087030000}"/>
    <cellStyle name="20% - Accent1 8 4 5" xfId="910" xr:uid="{00000000-0005-0000-0000-000088030000}"/>
    <cellStyle name="20% - Accent1 8 4 5 2" xfId="911" xr:uid="{00000000-0005-0000-0000-000089030000}"/>
    <cellStyle name="20% - Accent1 8 4 6" xfId="912" xr:uid="{00000000-0005-0000-0000-00008A030000}"/>
    <cellStyle name="20% - Accent1 8 5" xfId="913" xr:uid="{00000000-0005-0000-0000-00008B030000}"/>
    <cellStyle name="20% - Accent1 8 5 2" xfId="914" xr:uid="{00000000-0005-0000-0000-00008C030000}"/>
    <cellStyle name="20% - Accent1 8 5 2 2" xfId="915" xr:uid="{00000000-0005-0000-0000-00008D030000}"/>
    <cellStyle name="20% - Accent1 8 5 3" xfId="916" xr:uid="{00000000-0005-0000-0000-00008E030000}"/>
    <cellStyle name="20% - Accent1 8 6" xfId="917" xr:uid="{00000000-0005-0000-0000-00008F030000}"/>
    <cellStyle name="20% - Accent1 8 6 2" xfId="918" xr:uid="{00000000-0005-0000-0000-000090030000}"/>
    <cellStyle name="20% - Accent1 8 7" xfId="919" xr:uid="{00000000-0005-0000-0000-000091030000}"/>
    <cellStyle name="20% - Accent1 8 7 2" xfId="920" xr:uid="{00000000-0005-0000-0000-000092030000}"/>
    <cellStyle name="20% - Accent1 8 8" xfId="921" xr:uid="{00000000-0005-0000-0000-000093030000}"/>
    <cellStyle name="20% - Accent1 8 8 2" xfId="922" xr:uid="{00000000-0005-0000-0000-000094030000}"/>
    <cellStyle name="20% - Accent1 8 9" xfId="923" xr:uid="{00000000-0005-0000-0000-000095030000}"/>
    <cellStyle name="20% - Accent1 9" xfId="924" xr:uid="{00000000-0005-0000-0000-000096030000}"/>
    <cellStyle name="20% - Accent1 9 2" xfId="925" xr:uid="{00000000-0005-0000-0000-000097030000}"/>
    <cellStyle name="20% - Accent1 9 2 2" xfId="926" xr:uid="{00000000-0005-0000-0000-000098030000}"/>
    <cellStyle name="20% - Accent1 9 2 2 2" xfId="927" xr:uid="{00000000-0005-0000-0000-000099030000}"/>
    <cellStyle name="20% - Accent1 9 2 2 2 2" xfId="928" xr:uid="{00000000-0005-0000-0000-00009A030000}"/>
    <cellStyle name="20% - Accent1 9 2 2 3" xfId="929" xr:uid="{00000000-0005-0000-0000-00009B030000}"/>
    <cellStyle name="20% - Accent1 9 2 3" xfId="930" xr:uid="{00000000-0005-0000-0000-00009C030000}"/>
    <cellStyle name="20% - Accent1 9 2 3 2" xfId="931" xr:uid="{00000000-0005-0000-0000-00009D030000}"/>
    <cellStyle name="20% - Accent1 9 2 4" xfId="932" xr:uid="{00000000-0005-0000-0000-00009E030000}"/>
    <cellStyle name="20% - Accent1 9 3" xfId="933" xr:uid="{00000000-0005-0000-0000-00009F030000}"/>
    <cellStyle name="20% - Accent1 9 3 2" xfId="934" xr:uid="{00000000-0005-0000-0000-0000A0030000}"/>
    <cellStyle name="20% - Accent1 9 3 2 2" xfId="935" xr:uid="{00000000-0005-0000-0000-0000A1030000}"/>
    <cellStyle name="20% - Accent1 9 3 3" xfId="936" xr:uid="{00000000-0005-0000-0000-0000A2030000}"/>
    <cellStyle name="20% - Accent1 9 4" xfId="937" xr:uid="{00000000-0005-0000-0000-0000A3030000}"/>
    <cellStyle name="20% - Accent1 9 4 2" xfId="938" xr:uid="{00000000-0005-0000-0000-0000A4030000}"/>
    <cellStyle name="20% - Accent1 9 5" xfId="939" xr:uid="{00000000-0005-0000-0000-0000A5030000}"/>
    <cellStyle name="20% - Accent1 9 5 2" xfId="940" xr:uid="{00000000-0005-0000-0000-0000A6030000}"/>
    <cellStyle name="20% - Accent1 9 6" xfId="941" xr:uid="{00000000-0005-0000-0000-0000A7030000}"/>
    <cellStyle name="20% - Accent1 9 6 2" xfId="942" xr:uid="{00000000-0005-0000-0000-0000A8030000}"/>
    <cellStyle name="20% - Accent1 9 7" xfId="943" xr:uid="{00000000-0005-0000-0000-0000A9030000}"/>
    <cellStyle name="20% - Accent2 10" xfId="944" xr:uid="{00000000-0005-0000-0000-0000AA030000}"/>
    <cellStyle name="20% - Accent2 10 2" xfId="945" xr:uid="{00000000-0005-0000-0000-0000AB030000}"/>
    <cellStyle name="20% - Accent2 10 2 2" xfId="946" xr:uid="{00000000-0005-0000-0000-0000AC030000}"/>
    <cellStyle name="20% - Accent2 10 2 2 2" xfId="947" xr:uid="{00000000-0005-0000-0000-0000AD030000}"/>
    <cellStyle name="20% - Accent2 10 2 2 2 2" xfId="948" xr:uid="{00000000-0005-0000-0000-0000AE030000}"/>
    <cellStyle name="20% - Accent2 10 2 2 3" xfId="949" xr:uid="{00000000-0005-0000-0000-0000AF030000}"/>
    <cellStyle name="20% - Accent2 10 2 3" xfId="950" xr:uid="{00000000-0005-0000-0000-0000B0030000}"/>
    <cellStyle name="20% - Accent2 10 2 3 2" xfId="951" xr:uid="{00000000-0005-0000-0000-0000B1030000}"/>
    <cellStyle name="20% - Accent2 10 2 4" xfId="952" xr:uid="{00000000-0005-0000-0000-0000B2030000}"/>
    <cellStyle name="20% - Accent2 10 3" xfId="953" xr:uid="{00000000-0005-0000-0000-0000B3030000}"/>
    <cellStyle name="20% - Accent2 10 3 2" xfId="954" xr:uid="{00000000-0005-0000-0000-0000B4030000}"/>
    <cellStyle name="20% - Accent2 10 3 2 2" xfId="955" xr:uid="{00000000-0005-0000-0000-0000B5030000}"/>
    <cellStyle name="20% - Accent2 10 3 3" xfId="956" xr:uid="{00000000-0005-0000-0000-0000B6030000}"/>
    <cellStyle name="20% - Accent2 10 4" xfId="957" xr:uid="{00000000-0005-0000-0000-0000B7030000}"/>
    <cellStyle name="20% - Accent2 10 4 2" xfId="958" xr:uid="{00000000-0005-0000-0000-0000B8030000}"/>
    <cellStyle name="20% - Accent2 10 5" xfId="959" xr:uid="{00000000-0005-0000-0000-0000B9030000}"/>
    <cellStyle name="20% - Accent2 11" xfId="960" xr:uid="{00000000-0005-0000-0000-0000BA030000}"/>
    <cellStyle name="20% - Accent2 11 2" xfId="961" xr:uid="{00000000-0005-0000-0000-0000BB030000}"/>
    <cellStyle name="20% - Accent2 11 2 2" xfId="962" xr:uid="{00000000-0005-0000-0000-0000BC030000}"/>
    <cellStyle name="20% - Accent2 11 2 2 2" xfId="963" xr:uid="{00000000-0005-0000-0000-0000BD030000}"/>
    <cellStyle name="20% - Accent2 11 2 2 2 2" xfId="964" xr:uid="{00000000-0005-0000-0000-0000BE030000}"/>
    <cellStyle name="20% - Accent2 11 2 2 3" xfId="965" xr:uid="{00000000-0005-0000-0000-0000BF030000}"/>
    <cellStyle name="20% - Accent2 11 2 3" xfId="966" xr:uid="{00000000-0005-0000-0000-0000C0030000}"/>
    <cellStyle name="20% - Accent2 11 2 3 2" xfId="967" xr:uid="{00000000-0005-0000-0000-0000C1030000}"/>
    <cellStyle name="20% - Accent2 11 2 4" xfId="968" xr:uid="{00000000-0005-0000-0000-0000C2030000}"/>
    <cellStyle name="20% - Accent2 11 3" xfId="969" xr:uid="{00000000-0005-0000-0000-0000C3030000}"/>
    <cellStyle name="20% - Accent2 11 3 2" xfId="970" xr:uid="{00000000-0005-0000-0000-0000C4030000}"/>
    <cellStyle name="20% - Accent2 11 3 2 2" xfId="971" xr:uid="{00000000-0005-0000-0000-0000C5030000}"/>
    <cellStyle name="20% - Accent2 11 3 3" xfId="972" xr:uid="{00000000-0005-0000-0000-0000C6030000}"/>
    <cellStyle name="20% - Accent2 11 4" xfId="973" xr:uid="{00000000-0005-0000-0000-0000C7030000}"/>
    <cellStyle name="20% - Accent2 11 4 2" xfId="974" xr:uid="{00000000-0005-0000-0000-0000C8030000}"/>
    <cellStyle name="20% - Accent2 11 5" xfId="975" xr:uid="{00000000-0005-0000-0000-0000C9030000}"/>
    <cellStyle name="20% - Accent2 12" xfId="976" xr:uid="{00000000-0005-0000-0000-0000CA030000}"/>
    <cellStyle name="20% - Accent2 12 2" xfId="977" xr:uid="{00000000-0005-0000-0000-0000CB030000}"/>
    <cellStyle name="20% - Accent2 13" xfId="978" xr:uid="{00000000-0005-0000-0000-0000CC030000}"/>
    <cellStyle name="20% - Accent2 13 2" xfId="979" xr:uid="{00000000-0005-0000-0000-0000CD030000}"/>
    <cellStyle name="20% - Accent2 13 2 2" xfId="980" xr:uid="{00000000-0005-0000-0000-0000CE030000}"/>
    <cellStyle name="20% - Accent2 13 2 2 2" xfId="981" xr:uid="{00000000-0005-0000-0000-0000CF030000}"/>
    <cellStyle name="20% - Accent2 13 2 3" xfId="982" xr:uid="{00000000-0005-0000-0000-0000D0030000}"/>
    <cellStyle name="20% - Accent2 13 3" xfId="983" xr:uid="{00000000-0005-0000-0000-0000D1030000}"/>
    <cellStyle name="20% - Accent2 13 3 2" xfId="984" xr:uid="{00000000-0005-0000-0000-0000D2030000}"/>
    <cellStyle name="20% - Accent2 13 4" xfId="985" xr:uid="{00000000-0005-0000-0000-0000D3030000}"/>
    <cellStyle name="20% - Accent2 14" xfId="986" xr:uid="{00000000-0005-0000-0000-0000D4030000}"/>
    <cellStyle name="20% - Accent2 14 2" xfId="987" xr:uid="{00000000-0005-0000-0000-0000D5030000}"/>
    <cellStyle name="20% - Accent2 2" xfId="988" xr:uid="{00000000-0005-0000-0000-0000D6030000}"/>
    <cellStyle name="20% - Accent2 2 2" xfId="989" xr:uid="{00000000-0005-0000-0000-0000D7030000}"/>
    <cellStyle name="20% - Accent2 2 2 2" xfId="990" xr:uid="{00000000-0005-0000-0000-0000D8030000}"/>
    <cellStyle name="20% - Accent2 2 2 3" xfId="991" xr:uid="{00000000-0005-0000-0000-0000D9030000}"/>
    <cellStyle name="20% - Accent2 2 2 3 2" xfId="992" xr:uid="{00000000-0005-0000-0000-0000DA030000}"/>
    <cellStyle name="20% - Accent2 2 3" xfId="993" xr:uid="{00000000-0005-0000-0000-0000DB030000}"/>
    <cellStyle name="20% - Accent2 2 3 2" xfId="994" xr:uid="{00000000-0005-0000-0000-0000DC030000}"/>
    <cellStyle name="20% - Accent2 2 4" xfId="995" xr:uid="{00000000-0005-0000-0000-0000DD030000}"/>
    <cellStyle name="20% - Accent2 2 4 2" xfId="996" xr:uid="{00000000-0005-0000-0000-0000DE030000}"/>
    <cellStyle name="20% - Accent2 2 4 3" xfId="997" xr:uid="{00000000-0005-0000-0000-0000DF030000}"/>
    <cellStyle name="20% - Accent2 2 5" xfId="998" xr:uid="{00000000-0005-0000-0000-0000E0030000}"/>
    <cellStyle name="20% - Accent2 3" xfId="999" xr:uid="{00000000-0005-0000-0000-0000E1030000}"/>
    <cellStyle name="20% - Accent2 3 2" xfId="1000" xr:uid="{00000000-0005-0000-0000-0000E2030000}"/>
    <cellStyle name="20% - Accent2 3 2 2" xfId="1001" xr:uid="{00000000-0005-0000-0000-0000E3030000}"/>
    <cellStyle name="20% - Accent2 3 2 2 2" xfId="1002" xr:uid="{00000000-0005-0000-0000-0000E4030000}"/>
    <cellStyle name="20% - Accent2 3 2 2 2 2" xfId="1003" xr:uid="{00000000-0005-0000-0000-0000E5030000}"/>
    <cellStyle name="20% - Accent2 3 2 2 3" xfId="1004" xr:uid="{00000000-0005-0000-0000-0000E6030000}"/>
    <cellStyle name="20% - Accent2 3 2 2 3 2" xfId="1005" xr:uid="{00000000-0005-0000-0000-0000E7030000}"/>
    <cellStyle name="20% - Accent2 3 2 2 4" xfId="1006" xr:uid="{00000000-0005-0000-0000-0000E8030000}"/>
    <cellStyle name="20% - Accent2 3 2 3" xfId="1007" xr:uid="{00000000-0005-0000-0000-0000E9030000}"/>
    <cellStyle name="20% - Accent2 3 2 3 2" xfId="1008" xr:uid="{00000000-0005-0000-0000-0000EA030000}"/>
    <cellStyle name="20% - Accent2 3 2 4" xfId="1009" xr:uid="{00000000-0005-0000-0000-0000EB030000}"/>
    <cellStyle name="20% - Accent2 3 2 4 2" xfId="1010" xr:uid="{00000000-0005-0000-0000-0000EC030000}"/>
    <cellStyle name="20% - Accent2 3 2 5" xfId="1011" xr:uid="{00000000-0005-0000-0000-0000ED030000}"/>
    <cellStyle name="20% - Accent2 3 3" xfId="1012" xr:uid="{00000000-0005-0000-0000-0000EE030000}"/>
    <cellStyle name="20% - Accent2 3 3 2" xfId="1013" xr:uid="{00000000-0005-0000-0000-0000EF030000}"/>
    <cellStyle name="20% - Accent2 3 3 3" xfId="1014" xr:uid="{00000000-0005-0000-0000-0000F0030000}"/>
    <cellStyle name="20% - Accent2 3 3 3 2" xfId="1015" xr:uid="{00000000-0005-0000-0000-0000F1030000}"/>
    <cellStyle name="20% - Accent2 3 3 4" xfId="1016" xr:uid="{00000000-0005-0000-0000-0000F2030000}"/>
    <cellStyle name="20% - Accent2 3 4" xfId="1017" xr:uid="{00000000-0005-0000-0000-0000F3030000}"/>
    <cellStyle name="20% - Accent2 3 4 2" xfId="1018" xr:uid="{00000000-0005-0000-0000-0000F4030000}"/>
    <cellStyle name="20% - Accent2 3 5" xfId="1019" xr:uid="{00000000-0005-0000-0000-0000F5030000}"/>
    <cellStyle name="20% - Accent2 3 5 2" xfId="1020" xr:uid="{00000000-0005-0000-0000-0000F6030000}"/>
    <cellStyle name="20% - Accent2 3 6" xfId="1021" xr:uid="{00000000-0005-0000-0000-0000F7030000}"/>
    <cellStyle name="20% - Accent2 3 6 2" xfId="1022" xr:uid="{00000000-0005-0000-0000-0000F8030000}"/>
    <cellStyle name="20% - Accent2 3 7" xfId="1023" xr:uid="{00000000-0005-0000-0000-0000F9030000}"/>
    <cellStyle name="20% - Accent2 3 7 2" xfId="1024" xr:uid="{00000000-0005-0000-0000-0000FA030000}"/>
    <cellStyle name="20% - Accent2 3 8" xfId="1025" xr:uid="{00000000-0005-0000-0000-0000FB030000}"/>
    <cellStyle name="20% - Accent2 3 8 2" xfId="1026" xr:uid="{00000000-0005-0000-0000-0000FC030000}"/>
    <cellStyle name="20% - Accent2 4" xfId="1027" xr:uid="{00000000-0005-0000-0000-0000FD030000}"/>
    <cellStyle name="20% - Accent2 4 10" xfId="1028" xr:uid="{00000000-0005-0000-0000-0000FE030000}"/>
    <cellStyle name="20% - Accent2 4 10 2" xfId="1029" xr:uid="{00000000-0005-0000-0000-0000FF030000}"/>
    <cellStyle name="20% - Accent2 4 11" xfId="1030" xr:uid="{00000000-0005-0000-0000-000000040000}"/>
    <cellStyle name="20% - Accent2 4 11 2" xfId="1031" xr:uid="{00000000-0005-0000-0000-000001040000}"/>
    <cellStyle name="20% - Accent2 4 12" xfId="1032" xr:uid="{00000000-0005-0000-0000-000002040000}"/>
    <cellStyle name="20% - Accent2 4 12 2" xfId="1033" xr:uid="{00000000-0005-0000-0000-000003040000}"/>
    <cellStyle name="20% - Accent2 4 13" xfId="1034" xr:uid="{00000000-0005-0000-0000-000004040000}"/>
    <cellStyle name="20% - Accent2 4 2" xfId="1035" xr:uid="{00000000-0005-0000-0000-000005040000}"/>
    <cellStyle name="20% - Accent2 4 2 10" xfId="1036" xr:uid="{00000000-0005-0000-0000-000006040000}"/>
    <cellStyle name="20% - Accent2 4 2 10 2" xfId="1037" xr:uid="{00000000-0005-0000-0000-000007040000}"/>
    <cellStyle name="20% - Accent2 4 2 11" xfId="1038" xr:uid="{00000000-0005-0000-0000-000008040000}"/>
    <cellStyle name="20% - Accent2 4 2 2" xfId="1039" xr:uid="{00000000-0005-0000-0000-000009040000}"/>
    <cellStyle name="20% - Accent2 4 2 2 10" xfId="1040" xr:uid="{00000000-0005-0000-0000-00000A040000}"/>
    <cellStyle name="20% - Accent2 4 2 2 2" xfId="1041" xr:uid="{00000000-0005-0000-0000-00000B040000}"/>
    <cellStyle name="20% - Accent2 4 2 2 2 2" xfId="1042" xr:uid="{00000000-0005-0000-0000-00000C040000}"/>
    <cellStyle name="20% - Accent2 4 2 2 2 2 2" xfId="1043" xr:uid="{00000000-0005-0000-0000-00000D040000}"/>
    <cellStyle name="20% - Accent2 4 2 2 2 2 2 2" xfId="1044" xr:uid="{00000000-0005-0000-0000-00000E040000}"/>
    <cellStyle name="20% - Accent2 4 2 2 2 2 2 2 2" xfId="1045" xr:uid="{00000000-0005-0000-0000-00000F040000}"/>
    <cellStyle name="20% - Accent2 4 2 2 2 2 2 3" xfId="1046" xr:uid="{00000000-0005-0000-0000-000010040000}"/>
    <cellStyle name="20% - Accent2 4 2 2 2 2 2 3 2" xfId="1047" xr:uid="{00000000-0005-0000-0000-000011040000}"/>
    <cellStyle name="20% - Accent2 4 2 2 2 2 2 4" xfId="1048" xr:uid="{00000000-0005-0000-0000-000012040000}"/>
    <cellStyle name="20% - Accent2 4 2 2 2 2 3" xfId="1049" xr:uid="{00000000-0005-0000-0000-000013040000}"/>
    <cellStyle name="20% - Accent2 4 2 2 2 2 3 2" xfId="1050" xr:uid="{00000000-0005-0000-0000-000014040000}"/>
    <cellStyle name="20% - Accent2 4 2 2 2 2 4" xfId="1051" xr:uid="{00000000-0005-0000-0000-000015040000}"/>
    <cellStyle name="20% - Accent2 4 2 2 2 2 4 2" xfId="1052" xr:uid="{00000000-0005-0000-0000-000016040000}"/>
    <cellStyle name="20% - Accent2 4 2 2 2 2 5" xfId="1053" xr:uid="{00000000-0005-0000-0000-000017040000}"/>
    <cellStyle name="20% - Accent2 4 2 2 2 2 5 2" xfId="1054" xr:uid="{00000000-0005-0000-0000-000018040000}"/>
    <cellStyle name="20% - Accent2 4 2 2 2 2 6" xfId="1055" xr:uid="{00000000-0005-0000-0000-000019040000}"/>
    <cellStyle name="20% - Accent2 4 2 2 2 2 6 2" xfId="1056" xr:uid="{00000000-0005-0000-0000-00001A040000}"/>
    <cellStyle name="20% - Accent2 4 2 2 2 2 7" xfId="1057" xr:uid="{00000000-0005-0000-0000-00001B040000}"/>
    <cellStyle name="20% - Accent2 4 2 2 2 3" xfId="1058" xr:uid="{00000000-0005-0000-0000-00001C040000}"/>
    <cellStyle name="20% - Accent2 4 2 2 2 3 2" xfId="1059" xr:uid="{00000000-0005-0000-0000-00001D040000}"/>
    <cellStyle name="20% - Accent2 4 2 2 2 3 2 2" xfId="1060" xr:uid="{00000000-0005-0000-0000-00001E040000}"/>
    <cellStyle name="20% - Accent2 4 2 2 2 3 3" xfId="1061" xr:uid="{00000000-0005-0000-0000-00001F040000}"/>
    <cellStyle name="20% - Accent2 4 2 2 2 3 3 2" xfId="1062" xr:uid="{00000000-0005-0000-0000-000020040000}"/>
    <cellStyle name="20% - Accent2 4 2 2 2 3 4" xfId="1063" xr:uid="{00000000-0005-0000-0000-000021040000}"/>
    <cellStyle name="20% - Accent2 4 2 2 2 3 4 2" xfId="1064" xr:uid="{00000000-0005-0000-0000-000022040000}"/>
    <cellStyle name="20% - Accent2 4 2 2 2 3 5" xfId="1065" xr:uid="{00000000-0005-0000-0000-000023040000}"/>
    <cellStyle name="20% - Accent2 4 2 2 2 3 5 2" xfId="1066" xr:uid="{00000000-0005-0000-0000-000024040000}"/>
    <cellStyle name="20% - Accent2 4 2 2 2 3 6" xfId="1067" xr:uid="{00000000-0005-0000-0000-000025040000}"/>
    <cellStyle name="20% - Accent2 4 2 2 2 4" xfId="1068" xr:uid="{00000000-0005-0000-0000-000026040000}"/>
    <cellStyle name="20% - Accent2 4 2 2 2 4 2" xfId="1069" xr:uid="{00000000-0005-0000-0000-000027040000}"/>
    <cellStyle name="20% - Accent2 4 2 2 2 4 2 2" xfId="1070" xr:uid="{00000000-0005-0000-0000-000028040000}"/>
    <cellStyle name="20% - Accent2 4 2 2 2 4 3" xfId="1071" xr:uid="{00000000-0005-0000-0000-000029040000}"/>
    <cellStyle name="20% - Accent2 4 2 2 2 5" xfId="1072" xr:uid="{00000000-0005-0000-0000-00002A040000}"/>
    <cellStyle name="20% - Accent2 4 2 2 2 5 2" xfId="1073" xr:uid="{00000000-0005-0000-0000-00002B040000}"/>
    <cellStyle name="20% - Accent2 4 2 2 2 6" xfId="1074" xr:uid="{00000000-0005-0000-0000-00002C040000}"/>
    <cellStyle name="20% - Accent2 4 2 2 2 6 2" xfId="1075" xr:uid="{00000000-0005-0000-0000-00002D040000}"/>
    <cellStyle name="20% - Accent2 4 2 2 2 7" xfId="1076" xr:uid="{00000000-0005-0000-0000-00002E040000}"/>
    <cellStyle name="20% - Accent2 4 2 2 2 7 2" xfId="1077" xr:uid="{00000000-0005-0000-0000-00002F040000}"/>
    <cellStyle name="20% - Accent2 4 2 2 2 8" xfId="1078" xr:uid="{00000000-0005-0000-0000-000030040000}"/>
    <cellStyle name="20% - Accent2 4 2 2 3" xfId="1079" xr:uid="{00000000-0005-0000-0000-000031040000}"/>
    <cellStyle name="20% - Accent2 4 2 2 3 2" xfId="1080" xr:uid="{00000000-0005-0000-0000-000032040000}"/>
    <cellStyle name="20% - Accent2 4 2 2 3 2 2" xfId="1081" xr:uid="{00000000-0005-0000-0000-000033040000}"/>
    <cellStyle name="20% - Accent2 4 2 2 3 2 2 2" xfId="1082" xr:uid="{00000000-0005-0000-0000-000034040000}"/>
    <cellStyle name="20% - Accent2 4 2 2 3 2 2 2 2" xfId="1083" xr:uid="{00000000-0005-0000-0000-000035040000}"/>
    <cellStyle name="20% - Accent2 4 2 2 3 2 2 3" xfId="1084" xr:uid="{00000000-0005-0000-0000-000036040000}"/>
    <cellStyle name="20% - Accent2 4 2 2 3 2 2 3 2" xfId="1085" xr:uid="{00000000-0005-0000-0000-000037040000}"/>
    <cellStyle name="20% - Accent2 4 2 2 3 2 2 4" xfId="1086" xr:uid="{00000000-0005-0000-0000-000038040000}"/>
    <cellStyle name="20% - Accent2 4 2 2 3 2 3" xfId="1087" xr:uid="{00000000-0005-0000-0000-000039040000}"/>
    <cellStyle name="20% - Accent2 4 2 2 3 2 3 2" xfId="1088" xr:uid="{00000000-0005-0000-0000-00003A040000}"/>
    <cellStyle name="20% - Accent2 4 2 2 3 2 4" xfId="1089" xr:uid="{00000000-0005-0000-0000-00003B040000}"/>
    <cellStyle name="20% - Accent2 4 2 2 3 2 4 2" xfId="1090" xr:uid="{00000000-0005-0000-0000-00003C040000}"/>
    <cellStyle name="20% - Accent2 4 2 2 3 2 5" xfId="1091" xr:uid="{00000000-0005-0000-0000-00003D040000}"/>
    <cellStyle name="20% - Accent2 4 2 2 3 2 5 2" xfId="1092" xr:uid="{00000000-0005-0000-0000-00003E040000}"/>
    <cellStyle name="20% - Accent2 4 2 2 3 2 6" xfId="1093" xr:uid="{00000000-0005-0000-0000-00003F040000}"/>
    <cellStyle name="20% - Accent2 4 2 2 3 2 6 2" xfId="1094" xr:uid="{00000000-0005-0000-0000-000040040000}"/>
    <cellStyle name="20% - Accent2 4 2 2 3 2 7" xfId="1095" xr:uid="{00000000-0005-0000-0000-000041040000}"/>
    <cellStyle name="20% - Accent2 4 2 2 3 3" xfId="1096" xr:uid="{00000000-0005-0000-0000-000042040000}"/>
    <cellStyle name="20% - Accent2 4 2 2 3 3 2" xfId="1097" xr:uid="{00000000-0005-0000-0000-000043040000}"/>
    <cellStyle name="20% - Accent2 4 2 2 3 3 2 2" xfId="1098" xr:uid="{00000000-0005-0000-0000-000044040000}"/>
    <cellStyle name="20% - Accent2 4 2 2 3 3 3" xfId="1099" xr:uid="{00000000-0005-0000-0000-000045040000}"/>
    <cellStyle name="20% - Accent2 4 2 2 3 3 3 2" xfId="1100" xr:uid="{00000000-0005-0000-0000-000046040000}"/>
    <cellStyle name="20% - Accent2 4 2 2 3 3 4" xfId="1101" xr:uid="{00000000-0005-0000-0000-000047040000}"/>
    <cellStyle name="20% - Accent2 4 2 2 3 3 4 2" xfId="1102" xr:uid="{00000000-0005-0000-0000-000048040000}"/>
    <cellStyle name="20% - Accent2 4 2 2 3 3 5" xfId="1103" xr:uid="{00000000-0005-0000-0000-000049040000}"/>
    <cellStyle name="20% - Accent2 4 2 2 3 3 5 2" xfId="1104" xr:uid="{00000000-0005-0000-0000-00004A040000}"/>
    <cellStyle name="20% - Accent2 4 2 2 3 3 6" xfId="1105" xr:uid="{00000000-0005-0000-0000-00004B040000}"/>
    <cellStyle name="20% - Accent2 4 2 2 3 4" xfId="1106" xr:uid="{00000000-0005-0000-0000-00004C040000}"/>
    <cellStyle name="20% - Accent2 4 2 2 3 4 2" xfId="1107" xr:uid="{00000000-0005-0000-0000-00004D040000}"/>
    <cellStyle name="20% - Accent2 4 2 2 3 4 2 2" xfId="1108" xr:uid="{00000000-0005-0000-0000-00004E040000}"/>
    <cellStyle name="20% - Accent2 4 2 2 3 4 3" xfId="1109" xr:uid="{00000000-0005-0000-0000-00004F040000}"/>
    <cellStyle name="20% - Accent2 4 2 2 3 5" xfId="1110" xr:uid="{00000000-0005-0000-0000-000050040000}"/>
    <cellStyle name="20% - Accent2 4 2 2 3 5 2" xfId="1111" xr:uid="{00000000-0005-0000-0000-000051040000}"/>
    <cellStyle name="20% - Accent2 4 2 2 3 6" xfId="1112" xr:uid="{00000000-0005-0000-0000-000052040000}"/>
    <cellStyle name="20% - Accent2 4 2 2 3 6 2" xfId="1113" xr:uid="{00000000-0005-0000-0000-000053040000}"/>
    <cellStyle name="20% - Accent2 4 2 2 3 7" xfId="1114" xr:uid="{00000000-0005-0000-0000-000054040000}"/>
    <cellStyle name="20% - Accent2 4 2 2 3 7 2" xfId="1115" xr:uid="{00000000-0005-0000-0000-000055040000}"/>
    <cellStyle name="20% - Accent2 4 2 2 3 8" xfId="1116" xr:uid="{00000000-0005-0000-0000-000056040000}"/>
    <cellStyle name="20% - Accent2 4 2 2 4" xfId="1117" xr:uid="{00000000-0005-0000-0000-000057040000}"/>
    <cellStyle name="20% - Accent2 4 2 2 4 2" xfId="1118" xr:uid="{00000000-0005-0000-0000-000058040000}"/>
    <cellStyle name="20% - Accent2 4 2 2 4 2 2" xfId="1119" xr:uid="{00000000-0005-0000-0000-000059040000}"/>
    <cellStyle name="20% - Accent2 4 2 2 4 2 2 2" xfId="1120" xr:uid="{00000000-0005-0000-0000-00005A040000}"/>
    <cellStyle name="20% - Accent2 4 2 2 4 2 3" xfId="1121" xr:uid="{00000000-0005-0000-0000-00005B040000}"/>
    <cellStyle name="20% - Accent2 4 2 2 4 2 3 2" xfId="1122" xr:uid="{00000000-0005-0000-0000-00005C040000}"/>
    <cellStyle name="20% - Accent2 4 2 2 4 2 4" xfId="1123" xr:uid="{00000000-0005-0000-0000-00005D040000}"/>
    <cellStyle name="20% - Accent2 4 2 2 4 3" xfId="1124" xr:uid="{00000000-0005-0000-0000-00005E040000}"/>
    <cellStyle name="20% - Accent2 4 2 2 4 3 2" xfId="1125" xr:uid="{00000000-0005-0000-0000-00005F040000}"/>
    <cellStyle name="20% - Accent2 4 2 2 4 4" xfId="1126" xr:uid="{00000000-0005-0000-0000-000060040000}"/>
    <cellStyle name="20% - Accent2 4 2 2 4 4 2" xfId="1127" xr:uid="{00000000-0005-0000-0000-000061040000}"/>
    <cellStyle name="20% - Accent2 4 2 2 4 5" xfId="1128" xr:uid="{00000000-0005-0000-0000-000062040000}"/>
    <cellStyle name="20% - Accent2 4 2 2 4 5 2" xfId="1129" xr:uid="{00000000-0005-0000-0000-000063040000}"/>
    <cellStyle name="20% - Accent2 4 2 2 4 6" xfId="1130" xr:uid="{00000000-0005-0000-0000-000064040000}"/>
    <cellStyle name="20% - Accent2 4 2 2 4 6 2" xfId="1131" xr:uid="{00000000-0005-0000-0000-000065040000}"/>
    <cellStyle name="20% - Accent2 4 2 2 4 7" xfId="1132" xr:uid="{00000000-0005-0000-0000-000066040000}"/>
    <cellStyle name="20% - Accent2 4 2 2 5" xfId="1133" xr:uid="{00000000-0005-0000-0000-000067040000}"/>
    <cellStyle name="20% - Accent2 4 2 2 5 2" xfId="1134" xr:uid="{00000000-0005-0000-0000-000068040000}"/>
    <cellStyle name="20% - Accent2 4 2 2 5 2 2" xfId="1135" xr:uid="{00000000-0005-0000-0000-000069040000}"/>
    <cellStyle name="20% - Accent2 4 2 2 5 3" xfId="1136" xr:uid="{00000000-0005-0000-0000-00006A040000}"/>
    <cellStyle name="20% - Accent2 4 2 2 5 3 2" xfId="1137" xr:uid="{00000000-0005-0000-0000-00006B040000}"/>
    <cellStyle name="20% - Accent2 4 2 2 5 4" xfId="1138" xr:uid="{00000000-0005-0000-0000-00006C040000}"/>
    <cellStyle name="20% - Accent2 4 2 2 5 4 2" xfId="1139" xr:uid="{00000000-0005-0000-0000-00006D040000}"/>
    <cellStyle name="20% - Accent2 4 2 2 5 5" xfId="1140" xr:uid="{00000000-0005-0000-0000-00006E040000}"/>
    <cellStyle name="20% - Accent2 4 2 2 5 5 2" xfId="1141" xr:uid="{00000000-0005-0000-0000-00006F040000}"/>
    <cellStyle name="20% - Accent2 4 2 2 5 6" xfId="1142" xr:uid="{00000000-0005-0000-0000-000070040000}"/>
    <cellStyle name="20% - Accent2 4 2 2 6" xfId="1143" xr:uid="{00000000-0005-0000-0000-000071040000}"/>
    <cellStyle name="20% - Accent2 4 2 2 6 2" xfId="1144" xr:uid="{00000000-0005-0000-0000-000072040000}"/>
    <cellStyle name="20% - Accent2 4 2 2 6 2 2" xfId="1145" xr:uid="{00000000-0005-0000-0000-000073040000}"/>
    <cellStyle name="20% - Accent2 4 2 2 6 3" xfId="1146" xr:uid="{00000000-0005-0000-0000-000074040000}"/>
    <cellStyle name="20% - Accent2 4 2 2 7" xfId="1147" xr:uid="{00000000-0005-0000-0000-000075040000}"/>
    <cellStyle name="20% - Accent2 4 2 2 7 2" xfId="1148" xr:uid="{00000000-0005-0000-0000-000076040000}"/>
    <cellStyle name="20% - Accent2 4 2 2 8" xfId="1149" xr:uid="{00000000-0005-0000-0000-000077040000}"/>
    <cellStyle name="20% - Accent2 4 2 2 8 2" xfId="1150" xr:uid="{00000000-0005-0000-0000-000078040000}"/>
    <cellStyle name="20% - Accent2 4 2 2 9" xfId="1151" xr:uid="{00000000-0005-0000-0000-000079040000}"/>
    <cellStyle name="20% - Accent2 4 2 2 9 2" xfId="1152" xr:uid="{00000000-0005-0000-0000-00007A040000}"/>
    <cellStyle name="20% - Accent2 4 2 3" xfId="1153" xr:uid="{00000000-0005-0000-0000-00007B040000}"/>
    <cellStyle name="20% - Accent2 4 2 3 2" xfId="1154" xr:uid="{00000000-0005-0000-0000-00007C040000}"/>
    <cellStyle name="20% - Accent2 4 2 3 2 2" xfId="1155" xr:uid="{00000000-0005-0000-0000-00007D040000}"/>
    <cellStyle name="20% - Accent2 4 2 3 2 2 2" xfId="1156" xr:uid="{00000000-0005-0000-0000-00007E040000}"/>
    <cellStyle name="20% - Accent2 4 2 3 2 2 2 2" xfId="1157" xr:uid="{00000000-0005-0000-0000-00007F040000}"/>
    <cellStyle name="20% - Accent2 4 2 3 2 2 3" xfId="1158" xr:uid="{00000000-0005-0000-0000-000080040000}"/>
    <cellStyle name="20% - Accent2 4 2 3 2 2 3 2" xfId="1159" xr:uid="{00000000-0005-0000-0000-000081040000}"/>
    <cellStyle name="20% - Accent2 4 2 3 2 2 4" xfId="1160" xr:uid="{00000000-0005-0000-0000-000082040000}"/>
    <cellStyle name="20% - Accent2 4 2 3 2 3" xfId="1161" xr:uid="{00000000-0005-0000-0000-000083040000}"/>
    <cellStyle name="20% - Accent2 4 2 3 2 3 2" xfId="1162" xr:uid="{00000000-0005-0000-0000-000084040000}"/>
    <cellStyle name="20% - Accent2 4 2 3 2 4" xfId="1163" xr:uid="{00000000-0005-0000-0000-000085040000}"/>
    <cellStyle name="20% - Accent2 4 2 3 2 4 2" xfId="1164" xr:uid="{00000000-0005-0000-0000-000086040000}"/>
    <cellStyle name="20% - Accent2 4 2 3 2 5" xfId="1165" xr:uid="{00000000-0005-0000-0000-000087040000}"/>
    <cellStyle name="20% - Accent2 4 2 3 2 5 2" xfId="1166" xr:uid="{00000000-0005-0000-0000-000088040000}"/>
    <cellStyle name="20% - Accent2 4 2 3 2 6" xfId="1167" xr:uid="{00000000-0005-0000-0000-000089040000}"/>
    <cellStyle name="20% - Accent2 4 2 3 2 6 2" xfId="1168" xr:uid="{00000000-0005-0000-0000-00008A040000}"/>
    <cellStyle name="20% - Accent2 4 2 3 2 7" xfId="1169" xr:uid="{00000000-0005-0000-0000-00008B040000}"/>
    <cellStyle name="20% - Accent2 4 2 3 3" xfId="1170" xr:uid="{00000000-0005-0000-0000-00008C040000}"/>
    <cellStyle name="20% - Accent2 4 2 3 3 2" xfId="1171" xr:uid="{00000000-0005-0000-0000-00008D040000}"/>
    <cellStyle name="20% - Accent2 4 2 3 3 2 2" xfId="1172" xr:uid="{00000000-0005-0000-0000-00008E040000}"/>
    <cellStyle name="20% - Accent2 4 2 3 3 3" xfId="1173" xr:uid="{00000000-0005-0000-0000-00008F040000}"/>
    <cellStyle name="20% - Accent2 4 2 3 3 3 2" xfId="1174" xr:uid="{00000000-0005-0000-0000-000090040000}"/>
    <cellStyle name="20% - Accent2 4 2 3 3 4" xfId="1175" xr:uid="{00000000-0005-0000-0000-000091040000}"/>
    <cellStyle name="20% - Accent2 4 2 3 3 4 2" xfId="1176" xr:uid="{00000000-0005-0000-0000-000092040000}"/>
    <cellStyle name="20% - Accent2 4 2 3 3 5" xfId="1177" xr:uid="{00000000-0005-0000-0000-000093040000}"/>
    <cellStyle name="20% - Accent2 4 2 3 3 5 2" xfId="1178" xr:uid="{00000000-0005-0000-0000-000094040000}"/>
    <cellStyle name="20% - Accent2 4 2 3 3 6" xfId="1179" xr:uid="{00000000-0005-0000-0000-000095040000}"/>
    <cellStyle name="20% - Accent2 4 2 3 4" xfId="1180" xr:uid="{00000000-0005-0000-0000-000096040000}"/>
    <cellStyle name="20% - Accent2 4 2 3 4 2" xfId="1181" xr:uid="{00000000-0005-0000-0000-000097040000}"/>
    <cellStyle name="20% - Accent2 4 2 3 4 2 2" xfId="1182" xr:uid="{00000000-0005-0000-0000-000098040000}"/>
    <cellStyle name="20% - Accent2 4 2 3 4 3" xfId="1183" xr:uid="{00000000-0005-0000-0000-000099040000}"/>
    <cellStyle name="20% - Accent2 4 2 3 5" xfId="1184" xr:uid="{00000000-0005-0000-0000-00009A040000}"/>
    <cellStyle name="20% - Accent2 4 2 3 5 2" xfId="1185" xr:uid="{00000000-0005-0000-0000-00009B040000}"/>
    <cellStyle name="20% - Accent2 4 2 3 6" xfId="1186" xr:uid="{00000000-0005-0000-0000-00009C040000}"/>
    <cellStyle name="20% - Accent2 4 2 3 6 2" xfId="1187" xr:uid="{00000000-0005-0000-0000-00009D040000}"/>
    <cellStyle name="20% - Accent2 4 2 3 7" xfId="1188" xr:uid="{00000000-0005-0000-0000-00009E040000}"/>
    <cellStyle name="20% - Accent2 4 2 3 7 2" xfId="1189" xr:uid="{00000000-0005-0000-0000-00009F040000}"/>
    <cellStyle name="20% - Accent2 4 2 3 8" xfId="1190" xr:uid="{00000000-0005-0000-0000-0000A0040000}"/>
    <cellStyle name="20% - Accent2 4 2 4" xfId="1191" xr:uid="{00000000-0005-0000-0000-0000A1040000}"/>
    <cellStyle name="20% - Accent2 4 2 4 2" xfId="1192" xr:uid="{00000000-0005-0000-0000-0000A2040000}"/>
    <cellStyle name="20% - Accent2 4 2 4 2 2" xfId="1193" xr:uid="{00000000-0005-0000-0000-0000A3040000}"/>
    <cellStyle name="20% - Accent2 4 2 4 2 2 2" xfId="1194" xr:uid="{00000000-0005-0000-0000-0000A4040000}"/>
    <cellStyle name="20% - Accent2 4 2 4 2 2 2 2" xfId="1195" xr:uid="{00000000-0005-0000-0000-0000A5040000}"/>
    <cellStyle name="20% - Accent2 4 2 4 2 2 3" xfId="1196" xr:uid="{00000000-0005-0000-0000-0000A6040000}"/>
    <cellStyle name="20% - Accent2 4 2 4 2 2 3 2" xfId="1197" xr:uid="{00000000-0005-0000-0000-0000A7040000}"/>
    <cellStyle name="20% - Accent2 4 2 4 2 2 4" xfId="1198" xr:uid="{00000000-0005-0000-0000-0000A8040000}"/>
    <cellStyle name="20% - Accent2 4 2 4 2 3" xfId="1199" xr:uid="{00000000-0005-0000-0000-0000A9040000}"/>
    <cellStyle name="20% - Accent2 4 2 4 2 3 2" xfId="1200" xr:uid="{00000000-0005-0000-0000-0000AA040000}"/>
    <cellStyle name="20% - Accent2 4 2 4 2 4" xfId="1201" xr:uid="{00000000-0005-0000-0000-0000AB040000}"/>
    <cellStyle name="20% - Accent2 4 2 4 2 4 2" xfId="1202" xr:uid="{00000000-0005-0000-0000-0000AC040000}"/>
    <cellStyle name="20% - Accent2 4 2 4 2 5" xfId="1203" xr:uid="{00000000-0005-0000-0000-0000AD040000}"/>
    <cellStyle name="20% - Accent2 4 2 4 2 5 2" xfId="1204" xr:uid="{00000000-0005-0000-0000-0000AE040000}"/>
    <cellStyle name="20% - Accent2 4 2 4 2 6" xfId="1205" xr:uid="{00000000-0005-0000-0000-0000AF040000}"/>
    <cellStyle name="20% - Accent2 4 2 4 2 6 2" xfId="1206" xr:uid="{00000000-0005-0000-0000-0000B0040000}"/>
    <cellStyle name="20% - Accent2 4 2 4 2 7" xfId="1207" xr:uid="{00000000-0005-0000-0000-0000B1040000}"/>
    <cellStyle name="20% - Accent2 4 2 4 3" xfId="1208" xr:uid="{00000000-0005-0000-0000-0000B2040000}"/>
    <cellStyle name="20% - Accent2 4 2 4 3 2" xfId="1209" xr:uid="{00000000-0005-0000-0000-0000B3040000}"/>
    <cellStyle name="20% - Accent2 4 2 4 3 2 2" xfId="1210" xr:uid="{00000000-0005-0000-0000-0000B4040000}"/>
    <cellStyle name="20% - Accent2 4 2 4 3 3" xfId="1211" xr:uid="{00000000-0005-0000-0000-0000B5040000}"/>
    <cellStyle name="20% - Accent2 4 2 4 3 3 2" xfId="1212" xr:uid="{00000000-0005-0000-0000-0000B6040000}"/>
    <cellStyle name="20% - Accent2 4 2 4 3 4" xfId="1213" xr:uid="{00000000-0005-0000-0000-0000B7040000}"/>
    <cellStyle name="20% - Accent2 4 2 4 3 4 2" xfId="1214" xr:uid="{00000000-0005-0000-0000-0000B8040000}"/>
    <cellStyle name="20% - Accent2 4 2 4 3 5" xfId="1215" xr:uid="{00000000-0005-0000-0000-0000B9040000}"/>
    <cellStyle name="20% - Accent2 4 2 4 3 5 2" xfId="1216" xr:uid="{00000000-0005-0000-0000-0000BA040000}"/>
    <cellStyle name="20% - Accent2 4 2 4 3 6" xfId="1217" xr:uid="{00000000-0005-0000-0000-0000BB040000}"/>
    <cellStyle name="20% - Accent2 4 2 4 4" xfId="1218" xr:uid="{00000000-0005-0000-0000-0000BC040000}"/>
    <cellStyle name="20% - Accent2 4 2 4 4 2" xfId="1219" xr:uid="{00000000-0005-0000-0000-0000BD040000}"/>
    <cellStyle name="20% - Accent2 4 2 4 4 2 2" xfId="1220" xr:uid="{00000000-0005-0000-0000-0000BE040000}"/>
    <cellStyle name="20% - Accent2 4 2 4 4 3" xfId="1221" xr:uid="{00000000-0005-0000-0000-0000BF040000}"/>
    <cellStyle name="20% - Accent2 4 2 4 5" xfId="1222" xr:uid="{00000000-0005-0000-0000-0000C0040000}"/>
    <cellStyle name="20% - Accent2 4 2 4 5 2" xfId="1223" xr:uid="{00000000-0005-0000-0000-0000C1040000}"/>
    <cellStyle name="20% - Accent2 4 2 4 6" xfId="1224" xr:uid="{00000000-0005-0000-0000-0000C2040000}"/>
    <cellStyle name="20% - Accent2 4 2 4 6 2" xfId="1225" xr:uid="{00000000-0005-0000-0000-0000C3040000}"/>
    <cellStyle name="20% - Accent2 4 2 4 7" xfId="1226" xr:uid="{00000000-0005-0000-0000-0000C4040000}"/>
    <cellStyle name="20% - Accent2 4 2 4 7 2" xfId="1227" xr:uid="{00000000-0005-0000-0000-0000C5040000}"/>
    <cellStyle name="20% - Accent2 4 2 4 8" xfId="1228" xr:uid="{00000000-0005-0000-0000-0000C6040000}"/>
    <cellStyle name="20% - Accent2 4 2 5" xfId="1229" xr:uid="{00000000-0005-0000-0000-0000C7040000}"/>
    <cellStyle name="20% - Accent2 4 2 5 2" xfId="1230" xr:uid="{00000000-0005-0000-0000-0000C8040000}"/>
    <cellStyle name="20% - Accent2 4 2 5 2 2" xfId="1231" xr:uid="{00000000-0005-0000-0000-0000C9040000}"/>
    <cellStyle name="20% - Accent2 4 2 5 2 2 2" xfId="1232" xr:uid="{00000000-0005-0000-0000-0000CA040000}"/>
    <cellStyle name="20% - Accent2 4 2 5 2 3" xfId="1233" xr:uid="{00000000-0005-0000-0000-0000CB040000}"/>
    <cellStyle name="20% - Accent2 4 2 5 2 3 2" xfId="1234" xr:uid="{00000000-0005-0000-0000-0000CC040000}"/>
    <cellStyle name="20% - Accent2 4 2 5 2 4" xfId="1235" xr:uid="{00000000-0005-0000-0000-0000CD040000}"/>
    <cellStyle name="20% - Accent2 4 2 5 3" xfId="1236" xr:uid="{00000000-0005-0000-0000-0000CE040000}"/>
    <cellStyle name="20% - Accent2 4 2 5 3 2" xfId="1237" xr:uid="{00000000-0005-0000-0000-0000CF040000}"/>
    <cellStyle name="20% - Accent2 4 2 5 4" xfId="1238" xr:uid="{00000000-0005-0000-0000-0000D0040000}"/>
    <cellStyle name="20% - Accent2 4 2 5 4 2" xfId="1239" xr:uid="{00000000-0005-0000-0000-0000D1040000}"/>
    <cellStyle name="20% - Accent2 4 2 5 5" xfId="1240" xr:uid="{00000000-0005-0000-0000-0000D2040000}"/>
    <cellStyle name="20% - Accent2 4 2 5 5 2" xfId="1241" xr:uid="{00000000-0005-0000-0000-0000D3040000}"/>
    <cellStyle name="20% - Accent2 4 2 5 6" xfId="1242" xr:uid="{00000000-0005-0000-0000-0000D4040000}"/>
    <cellStyle name="20% - Accent2 4 2 5 6 2" xfId="1243" xr:uid="{00000000-0005-0000-0000-0000D5040000}"/>
    <cellStyle name="20% - Accent2 4 2 5 7" xfId="1244" xr:uid="{00000000-0005-0000-0000-0000D6040000}"/>
    <cellStyle name="20% - Accent2 4 2 6" xfId="1245" xr:uid="{00000000-0005-0000-0000-0000D7040000}"/>
    <cellStyle name="20% - Accent2 4 2 6 2" xfId="1246" xr:uid="{00000000-0005-0000-0000-0000D8040000}"/>
    <cellStyle name="20% - Accent2 4 2 6 2 2" xfId="1247" xr:uid="{00000000-0005-0000-0000-0000D9040000}"/>
    <cellStyle name="20% - Accent2 4 2 6 3" xfId="1248" xr:uid="{00000000-0005-0000-0000-0000DA040000}"/>
    <cellStyle name="20% - Accent2 4 2 6 3 2" xfId="1249" xr:uid="{00000000-0005-0000-0000-0000DB040000}"/>
    <cellStyle name="20% - Accent2 4 2 6 4" xfId="1250" xr:uid="{00000000-0005-0000-0000-0000DC040000}"/>
    <cellStyle name="20% - Accent2 4 2 6 4 2" xfId="1251" xr:uid="{00000000-0005-0000-0000-0000DD040000}"/>
    <cellStyle name="20% - Accent2 4 2 6 5" xfId="1252" xr:uid="{00000000-0005-0000-0000-0000DE040000}"/>
    <cellStyle name="20% - Accent2 4 2 6 5 2" xfId="1253" xr:uid="{00000000-0005-0000-0000-0000DF040000}"/>
    <cellStyle name="20% - Accent2 4 2 6 6" xfId="1254" xr:uid="{00000000-0005-0000-0000-0000E0040000}"/>
    <cellStyle name="20% - Accent2 4 2 7" xfId="1255" xr:uid="{00000000-0005-0000-0000-0000E1040000}"/>
    <cellStyle name="20% - Accent2 4 2 7 2" xfId="1256" xr:uid="{00000000-0005-0000-0000-0000E2040000}"/>
    <cellStyle name="20% - Accent2 4 2 7 2 2" xfId="1257" xr:uid="{00000000-0005-0000-0000-0000E3040000}"/>
    <cellStyle name="20% - Accent2 4 2 7 3" xfId="1258" xr:uid="{00000000-0005-0000-0000-0000E4040000}"/>
    <cellStyle name="20% - Accent2 4 2 8" xfId="1259" xr:uid="{00000000-0005-0000-0000-0000E5040000}"/>
    <cellStyle name="20% - Accent2 4 2 8 2" xfId="1260" xr:uid="{00000000-0005-0000-0000-0000E6040000}"/>
    <cellStyle name="20% - Accent2 4 2 9" xfId="1261" xr:uid="{00000000-0005-0000-0000-0000E7040000}"/>
    <cellStyle name="20% - Accent2 4 2 9 2" xfId="1262" xr:uid="{00000000-0005-0000-0000-0000E8040000}"/>
    <cellStyle name="20% - Accent2 4 3" xfId="1263" xr:uid="{00000000-0005-0000-0000-0000E9040000}"/>
    <cellStyle name="20% - Accent2 4 3 10" xfId="1264" xr:uid="{00000000-0005-0000-0000-0000EA040000}"/>
    <cellStyle name="20% - Accent2 4 3 2" xfId="1265" xr:uid="{00000000-0005-0000-0000-0000EB040000}"/>
    <cellStyle name="20% - Accent2 4 3 2 2" xfId="1266" xr:uid="{00000000-0005-0000-0000-0000EC040000}"/>
    <cellStyle name="20% - Accent2 4 3 2 2 2" xfId="1267" xr:uid="{00000000-0005-0000-0000-0000ED040000}"/>
    <cellStyle name="20% - Accent2 4 3 2 2 2 2" xfId="1268" xr:uid="{00000000-0005-0000-0000-0000EE040000}"/>
    <cellStyle name="20% - Accent2 4 3 2 2 2 2 2" xfId="1269" xr:uid="{00000000-0005-0000-0000-0000EF040000}"/>
    <cellStyle name="20% - Accent2 4 3 2 2 2 3" xfId="1270" xr:uid="{00000000-0005-0000-0000-0000F0040000}"/>
    <cellStyle name="20% - Accent2 4 3 2 2 2 3 2" xfId="1271" xr:uid="{00000000-0005-0000-0000-0000F1040000}"/>
    <cellStyle name="20% - Accent2 4 3 2 2 2 4" xfId="1272" xr:uid="{00000000-0005-0000-0000-0000F2040000}"/>
    <cellStyle name="20% - Accent2 4 3 2 2 3" xfId="1273" xr:uid="{00000000-0005-0000-0000-0000F3040000}"/>
    <cellStyle name="20% - Accent2 4 3 2 2 3 2" xfId="1274" xr:uid="{00000000-0005-0000-0000-0000F4040000}"/>
    <cellStyle name="20% - Accent2 4 3 2 2 4" xfId="1275" xr:uid="{00000000-0005-0000-0000-0000F5040000}"/>
    <cellStyle name="20% - Accent2 4 3 2 2 4 2" xfId="1276" xr:uid="{00000000-0005-0000-0000-0000F6040000}"/>
    <cellStyle name="20% - Accent2 4 3 2 2 5" xfId="1277" xr:uid="{00000000-0005-0000-0000-0000F7040000}"/>
    <cellStyle name="20% - Accent2 4 3 2 2 5 2" xfId="1278" xr:uid="{00000000-0005-0000-0000-0000F8040000}"/>
    <cellStyle name="20% - Accent2 4 3 2 2 6" xfId="1279" xr:uid="{00000000-0005-0000-0000-0000F9040000}"/>
    <cellStyle name="20% - Accent2 4 3 2 2 6 2" xfId="1280" xr:uid="{00000000-0005-0000-0000-0000FA040000}"/>
    <cellStyle name="20% - Accent2 4 3 2 2 7" xfId="1281" xr:uid="{00000000-0005-0000-0000-0000FB040000}"/>
    <cellStyle name="20% - Accent2 4 3 2 3" xfId="1282" xr:uid="{00000000-0005-0000-0000-0000FC040000}"/>
    <cellStyle name="20% - Accent2 4 3 2 3 2" xfId="1283" xr:uid="{00000000-0005-0000-0000-0000FD040000}"/>
    <cellStyle name="20% - Accent2 4 3 2 3 2 2" xfId="1284" xr:uid="{00000000-0005-0000-0000-0000FE040000}"/>
    <cellStyle name="20% - Accent2 4 3 2 3 3" xfId="1285" xr:uid="{00000000-0005-0000-0000-0000FF040000}"/>
    <cellStyle name="20% - Accent2 4 3 2 3 3 2" xfId="1286" xr:uid="{00000000-0005-0000-0000-000000050000}"/>
    <cellStyle name="20% - Accent2 4 3 2 3 4" xfId="1287" xr:uid="{00000000-0005-0000-0000-000001050000}"/>
    <cellStyle name="20% - Accent2 4 3 2 3 4 2" xfId="1288" xr:uid="{00000000-0005-0000-0000-000002050000}"/>
    <cellStyle name="20% - Accent2 4 3 2 3 5" xfId="1289" xr:uid="{00000000-0005-0000-0000-000003050000}"/>
    <cellStyle name="20% - Accent2 4 3 2 3 5 2" xfId="1290" xr:uid="{00000000-0005-0000-0000-000004050000}"/>
    <cellStyle name="20% - Accent2 4 3 2 3 6" xfId="1291" xr:uid="{00000000-0005-0000-0000-000005050000}"/>
    <cellStyle name="20% - Accent2 4 3 2 4" xfId="1292" xr:uid="{00000000-0005-0000-0000-000006050000}"/>
    <cellStyle name="20% - Accent2 4 3 2 4 2" xfId="1293" xr:uid="{00000000-0005-0000-0000-000007050000}"/>
    <cellStyle name="20% - Accent2 4 3 2 4 2 2" xfId="1294" xr:uid="{00000000-0005-0000-0000-000008050000}"/>
    <cellStyle name="20% - Accent2 4 3 2 4 3" xfId="1295" xr:uid="{00000000-0005-0000-0000-000009050000}"/>
    <cellStyle name="20% - Accent2 4 3 2 5" xfId="1296" xr:uid="{00000000-0005-0000-0000-00000A050000}"/>
    <cellStyle name="20% - Accent2 4 3 2 5 2" xfId="1297" xr:uid="{00000000-0005-0000-0000-00000B050000}"/>
    <cellStyle name="20% - Accent2 4 3 2 6" xfId="1298" xr:uid="{00000000-0005-0000-0000-00000C050000}"/>
    <cellStyle name="20% - Accent2 4 3 2 6 2" xfId="1299" xr:uid="{00000000-0005-0000-0000-00000D050000}"/>
    <cellStyle name="20% - Accent2 4 3 2 7" xfId="1300" xr:uid="{00000000-0005-0000-0000-00000E050000}"/>
    <cellStyle name="20% - Accent2 4 3 2 7 2" xfId="1301" xr:uid="{00000000-0005-0000-0000-00000F050000}"/>
    <cellStyle name="20% - Accent2 4 3 2 8" xfId="1302" xr:uid="{00000000-0005-0000-0000-000010050000}"/>
    <cellStyle name="20% - Accent2 4 3 3" xfId="1303" xr:uid="{00000000-0005-0000-0000-000011050000}"/>
    <cellStyle name="20% - Accent2 4 3 3 2" xfId="1304" xr:uid="{00000000-0005-0000-0000-000012050000}"/>
    <cellStyle name="20% - Accent2 4 3 3 2 2" xfId="1305" xr:uid="{00000000-0005-0000-0000-000013050000}"/>
    <cellStyle name="20% - Accent2 4 3 3 2 2 2" xfId="1306" xr:uid="{00000000-0005-0000-0000-000014050000}"/>
    <cellStyle name="20% - Accent2 4 3 3 2 2 2 2" xfId="1307" xr:uid="{00000000-0005-0000-0000-000015050000}"/>
    <cellStyle name="20% - Accent2 4 3 3 2 2 3" xfId="1308" xr:uid="{00000000-0005-0000-0000-000016050000}"/>
    <cellStyle name="20% - Accent2 4 3 3 2 2 3 2" xfId="1309" xr:uid="{00000000-0005-0000-0000-000017050000}"/>
    <cellStyle name="20% - Accent2 4 3 3 2 2 4" xfId="1310" xr:uid="{00000000-0005-0000-0000-000018050000}"/>
    <cellStyle name="20% - Accent2 4 3 3 2 3" xfId="1311" xr:uid="{00000000-0005-0000-0000-000019050000}"/>
    <cellStyle name="20% - Accent2 4 3 3 2 3 2" xfId="1312" xr:uid="{00000000-0005-0000-0000-00001A050000}"/>
    <cellStyle name="20% - Accent2 4 3 3 2 4" xfId="1313" xr:uid="{00000000-0005-0000-0000-00001B050000}"/>
    <cellStyle name="20% - Accent2 4 3 3 2 4 2" xfId="1314" xr:uid="{00000000-0005-0000-0000-00001C050000}"/>
    <cellStyle name="20% - Accent2 4 3 3 2 5" xfId="1315" xr:uid="{00000000-0005-0000-0000-00001D050000}"/>
    <cellStyle name="20% - Accent2 4 3 3 2 5 2" xfId="1316" xr:uid="{00000000-0005-0000-0000-00001E050000}"/>
    <cellStyle name="20% - Accent2 4 3 3 2 6" xfId="1317" xr:uid="{00000000-0005-0000-0000-00001F050000}"/>
    <cellStyle name="20% - Accent2 4 3 3 2 6 2" xfId="1318" xr:uid="{00000000-0005-0000-0000-000020050000}"/>
    <cellStyle name="20% - Accent2 4 3 3 2 7" xfId="1319" xr:uid="{00000000-0005-0000-0000-000021050000}"/>
    <cellStyle name="20% - Accent2 4 3 3 3" xfId="1320" xr:uid="{00000000-0005-0000-0000-000022050000}"/>
    <cellStyle name="20% - Accent2 4 3 3 3 2" xfId="1321" xr:uid="{00000000-0005-0000-0000-000023050000}"/>
    <cellStyle name="20% - Accent2 4 3 3 3 2 2" xfId="1322" xr:uid="{00000000-0005-0000-0000-000024050000}"/>
    <cellStyle name="20% - Accent2 4 3 3 3 3" xfId="1323" xr:uid="{00000000-0005-0000-0000-000025050000}"/>
    <cellStyle name="20% - Accent2 4 3 3 3 3 2" xfId="1324" xr:uid="{00000000-0005-0000-0000-000026050000}"/>
    <cellStyle name="20% - Accent2 4 3 3 3 4" xfId="1325" xr:uid="{00000000-0005-0000-0000-000027050000}"/>
    <cellStyle name="20% - Accent2 4 3 3 3 4 2" xfId="1326" xr:uid="{00000000-0005-0000-0000-000028050000}"/>
    <cellStyle name="20% - Accent2 4 3 3 3 5" xfId="1327" xr:uid="{00000000-0005-0000-0000-000029050000}"/>
    <cellStyle name="20% - Accent2 4 3 3 3 5 2" xfId="1328" xr:uid="{00000000-0005-0000-0000-00002A050000}"/>
    <cellStyle name="20% - Accent2 4 3 3 3 6" xfId="1329" xr:uid="{00000000-0005-0000-0000-00002B050000}"/>
    <cellStyle name="20% - Accent2 4 3 3 4" xfId="1330" xr:uid="{00000000-0005-0000-0000-00002C050000}"/>
    <cellStyle name="20% - Accent2 4 3 3 4 2" xfId="1331" xr:uid="{00000000-0005-0000-0000-00002D050000}"/>
    <cellStyle name="20% - Accent2 4 3 3 4 2 2" xfId="1332" xr:uid="{00000000-0005-0000-0000-00002E050000}"/>
    <cellStyle name="20% - Accent2 4 3 3 4 3" xfId="1333" xr:uid="{00000000-0005-0000-0000-00002F050000}"/>
    <cellStyle name="20% - Accent2 4 3 3 5" xfId="1334" xr:uid="{00000000-0005-0000-0000-000030050000}"/>
    <cellStyle name="20% - Accent2 4 3 3 5 2" xfId="1335" xr:uid="{00000000-0005-0000-0000-000031050000}"/>
    <cellStyle name="20% - Accent2 4 3 3 6" xfId="1336" xr:uid="{00000000-0005-0000-0000-000032050000}"/>
    <cellStyle name="20% - Accent2 4 3 3 6 2" xfId="1337" xr:uid="{00000000-0005-0000-0000-000033050000}"/>
    <cellStyle name="20% - Accent2 4 3 3 7" xfId="1338" xr:uid="{00000000-0005-0000-0000-000034050000}"/>
    <cellStyle name="20% - Accent2 4 3 3 7 2" xfId="1339" xr:uid="{00000000-0005-0000-0000-000035050000}"/>
    <cellStyle name="20% - Accent2 4 3 3 8" xfId="1340" xr:uid="{00000000-0005-0000-0000-000036050000}"/>
    <cellStyle name="20% - Accent2 4 3 4" xfId="1341" xr:uid="{00000000-0005-0000-0000-000037050000}"/>
    <cellStyle name="20% - Accent2 4 3 4 2" xfId="1342" xr:uid="{00000000-0005-0000-0000-000038050000}"/>
    <cellStyle name="20% - Accent2 4 3 4 2 2" xfId="1343" xr:uid="{00000000-0005-0000-0000-000039050000}"/>
    <cellStyle name="20% - Accent2 4 3 4 2 2 2" xfId="1344" xr:uid="{00000000-0005-0000-0000-00003A050000}"/>
    <cellStyle name="20% - Accent2 4 3 4 2 3" xfId="1345" xr:uid="{00000000-0005-0000-0000-00003B050000}"/>
    <cellStyle name="20% - Accent2 4 3 4 2 3 2" xfId="1346" xr:uid="{00000000-0005-0000-0000-00003C050000}"/>
    <cellStyle name="20% - Accent2 4 3 4 2 4" xfId="1347" xr:uid="{00000000-0005-0000-0000-00003D050000}"/>
    <cellStyle name="20% - Accent2 4 3 4 3" xfId="1348" xr:uid="{00000000-0005-0000-0000-00003E050000}"/>
    <cellStyle name="20% - Accent2 4 3 4 3 2" xfId="1349" xr:uid="{00000000-0005-0000-0000-00003F050000}"/>
    <cellStyle name="20% - Accent2 4 3 4 4" xfId="1350" xr:uid="{00000000-0005-0000-0000-000040050000}"/>
    <cellStyle name="20% - Accent2 4 3 4 4 2" xfId="1351" xr:uid="{00000000-0005-0000-0000-000041050000}"/>
    <cellStyle name="20% - Accent2 4 3 4 5" xfId="1352" xr:uid="{00000000-0005-0000-0000-000042050000}"/>
    <cellStyle name="20% - Accent2 4 3 4 5 2" xfId="1353" xr:uid="{00000000-0005-0000-0000-000043050000}"/>
    <cellStyle name="20% - Accent2 4 3 4 6" xfId="1354" xr:uid="{00000000-0005-0000-0000-000044050000}"/>
    <cellStyle name="20% - Accent2 4 3 4 6 2" xfId="1355" xr:uid="{00000000-0005-0000-0000-000045050000}"/>
    <cellStyle name="20% - Accent2 4 3 4 7" xfId="1356" xr:uid="{00000000-0005-0000-0000-000046050000}"/>
    <cellStyle name="20% - Accent2 4 3 5" xfId="1357" xr:uid="{00000000-0005-0000-0000-000047050000}"/>
    <cellStyle name="20% - Accent2 4 3 5 2" xfId="1358" xr:uid="{00000000-0005-0000-0000-000048050000}"/>
    <cellStyle name="20% - Accent2 4 3 5 2 2" xfId="1359" xr:uid="{00000000-0005-0000-0000-000049050000}"/>
    <cellStyle name="20% - Accent2 4 3 5 3" xfId="1360" xr:uid="{00000000-0005-0000-0000-00004A050000}"/>
    <cellStyle name="20% - Accent2 4 3 5 3 2" xfId="1361" xr:uid="{00000000-0005-0000-0000-00004B050000}"/>
    <cellStyle name="20% - Accent2 4 3 5 4" xfId="1362" xr:uid="{00000000-0005-0000-0000-00004C050000}"/>
    <cellStyle name="20% - Accent2 4 3 5 4 2" xfId="1363" xr:uid="{00000000-0005-0000-0000-00004D050000}"/>
    <cellStyle name="20% - Accent2 4 3 5 5" xfId="1364" xr:uid="{00000000-0005-0000-0000-00004E050000}"/>
    <cellStyle name="20% - Accent2 4 3 5 5 2" xfId="1365" xr:uid="{00000000-0005-0000-0000-00004F050000}"/>
    <cellStyle name="20% - Accent2 4 3 5 6" xfId="1366" xr:uid="{00000000-0005-0000-0000-000050050000}"/>
    <cellStyle name="20% - Accent2 4 3 6" xfId="1367" xr:uid="{00000000-0005-0000-0000-000051050000}"/>
    <cellStyle name="20% - Accent2 4 3 6 2" xfId="1368" xr:uid="{00000000-0005-0000-0000-000052050000}"/>
    <cellStyle name="20% - Accent2 4 3 6 2 2" xfId="1369" xr:uid="{00000000-0005-0000-0000-000053050000}"/>
    <cellStyle name="20% - Accent2 4 3 6 3" xfId="1370" xr:uid="{00000000-0005-0000-0000-000054050000}"/>
    <cellStyle name="20% - Accent2 4 3 7" xfId="1371" xr:uid="{00000000-0005-0000-0000-000055050000}"/>
    <cellStyle name="20% - Accent2 4 3 7 2" xfId="1372" xr:uid="{00000000-0005-0000-0000-000056050000}"/>
    <cellStyle name="20% - Accent2 4 3 8" xfId="1373" xr:uid="{00000000-0005-0000-0000-000057050000}"/>
    <cellStyle name="20% - Accent2 4 3 8 2" xfId="1374" xr:uid="{00000000-0005-0000-0000-000058050000}"/>
    <cellStyle name="20% - Accent2 4 3 9" xfId="1375" xr:uid="{00000000-0005-0000-0000-000059050000}"/>
    <cellStyle name="20% - Accent2 4 3 9 2" xfId="1376" xr:uid="{00000000-0005-0000-0000-00005A050000}"/>
    <cellStyle name="20% - Accent2 4 4" xfId="1377" xr:uid="{00000000-0005-0000-0000-00005B050000}"/>
    <cellStyle name="20% - Accent2 4 4 2" xfId="1378" xr:uid="{00000000-0005-0000-0000-00005C050000}"/>
    <cellStyle name="20% - Accent2 4 4 2 2" xfId="1379" xr:uid="{00000000-0005-0000-0000-00005D050000}"/>
    <cellStyle name="20% - Accent2 4 4 2 2 2" xfId="1380" xr:uid="{00000000-0005-0000-0000-00005E050000}"/>
    <cellStyle name="20% - Accent2 4 4 2 2 2 2" xfId="1381" xr:uid="{00000000-0005-0000-0000-00005F050000}"/>
    <cellStyle name="20% - Accent2 4 4 2 2 3" xfId="1382" xr:uid="{00000000-0005-0000-0000-000060050000}"/>
    <cellStyle name="20% - Accent2 4 4 2 2 3 2" xfId="1383" xr:uid="{00000000-0005-0000-0000-000061050000}"/>
    <cellStyle name="20% - Accent2 4 4 2 2 4" xfId="1384" xr:uid="{00000000-0005-0000-0000-000062050000}"/>
    <cellStyle name="20% - Accent2 4 4 2 3" xfId="1385" xr:uid="{00000000-0005-0000-0000-000063050000}"/>
    <cellStyle name="20% - Accent2 4 4 2 3 2" xfId="1386" xr:uid="{00000000-0005-0000-0000-000064050000}"/>
    <cellStyle name="20% - Accent2 4 4 2 4" xfId="1387" xr:uid="{00000000-0005-0000-0000-000065050000}"/>
    <cellStyle name="20% - Accent2 4 4 2 4 2" xfId="1388" xr:uid="{00000000-0005-0000-0000-000066050000}"/>
    <cellStyle name="20% - Accent2 4 4 2 5" xfId="1389" xr:uid="{00000000-0005-0000-0000-000067050000}"/>
    <cellStyle name="20% - Accent2 4 4 2 5 2" xfId="1390" xr:uid="{00000000-0005-0000-0000-000068050000}"/>
    <cellStyle name="20% - Accent2 4 4 2 6" xfId="1391" xr:uid="{00000000-0005-0000-0000-000069050000}"/>
    <cellStyle name="20% - Accent2 4 4 2 6 2" xfId="1392" xr:uid="{00000000-0005-0000-0000-00006A050000}"/>
    <cellStyle name="20% - Accent2 4 4 2 7" xfId="1393" xr:uid="{00000000-0005-0000-0000-00006B050000}"/>
    <cellStyle name="20% - Accent2 4 4 3" xfId="1394" xr:uid="{00000000-0005-0000-0000-00006C050000}"/>
    <cellStyle name="20% - Accent2 4 4 3 2" xfId="1395" xr:uid="{00000000-0005-0000-0000-00006D050000}"/>
    <cellStyle name="20% - Accent2 4 4 3 2 2" xfId="1396" xr:uid="{00000000-0005-0000-0000-00006E050000}"/>
    <cellStyle name="20% - Accent2 4 4 3 3" xfId="1397" xr:uid="{00000000-0005-0000-0000-00006F050000}"/>
    <cellStyle name="20% - Accent2 4 4 3 3 2" xfId="1398" xr:uid="{00000000-0005-0000-0000-000070050000}"/>
    <cellStyle name="20% - Accent2 4 4 3 4" xfId="1399" xr:uid="{00000000-0005-0000-0000-000071050000}"/>
    <cellStyle name="20% - Accent2 4 4 3 4 2" xfId="1400" xr:uid="{00000000-0005-0000-0000-000072050000}"/>
    <cellStyle name="20% - Accent2 4 4 3 5" xfId="1401" xr:uid="{00000000-0005-0000-0000-000073050000}"/>
    <cellStyle name="20% - Accent2 4 4 3 5 2" xfId="1402" xr:uid="{00000000-0005-0000-0000-000074050000}"/>
    <cellStyle name="20% - Accent2 4 4 3 6" xfId="1403" xr:uid="{00000000-0005-0000-0000-000075050000}"/>
    <cellStyle name="20% - Accent2 4 4 4" xfId="1404" xr:uid="{00000000-0005-0000-0000-000076050000}"/>
    <cellStyle name="20% - Accent2 4 4 4 2" xfId="1405" xr:uid="{00000000-0005-0000-0000-000077050000}"/>
    <cellStyle name="20% - Accent2 4 4 4 2 2" xfId="1406" xr:uid="{00000000-0005-0000-0000-000078050000}"/>
    <cellStyle name="20% - Accent2 4 4 4 3" xfId="1407" xr:uid="{00000000-0005-0000-0000-000079050000}"/>
    <cellStyle name="20% - Accent2 4 4 5" xfId="1408" xr:uid="{00000000-0005-0000-0000-00007A050000}"/>
    <cellStyle name="20% - Accent2 4 4 5 2" xfId="1409" xr:uid="{00000000-0005-0000-0000-00007B050000}"/>
    <cellStyle name="20% - Accent2 4 4 6" xfId="1410" xr:uid="{00000000-0005-0000-0000-00007C050000}"/>
    <cellStyle name="20% - Accent2 4 4 6 2" xfId="1411" xr:uid="{00000000-0005-0000-0000-00007D050000}"/>
    <cellStyle name="20% - Accent2 4 4 7" xfId="1412" xr:uid="{00000000-0005-0000-0000-00007E050000}"/>
    <cellStyle name="20% - Accent2 4 4 7 2" xfId="1413" xr:uid="{00000000-0005-0000-0000-00007F050000}"/>
    <cellStyle name="20% - Accent2 4 4 8" xfId="1414" xr:uid="{00000000-0005-0000-0000-000080050000}"/>
    <cellStyle name="20% - Accent2 4 5" xfId="1415" xr:uid="{00000000-0005-0000-0000-000081050000}"/>
    <cellStyle name="20% - Accent2 4 5 2" xfId="1416" xr:uid="{00000000-0005-0000-0000-000082050000}"/>
    <cellStyle name="20% - Accent2 4 5 2 2" xfId="1417" xr:uid="{00000000-0005-0000-0000-000083050000}"/>
    <cellStyle name="20% - Accent2 4 5 2 2 2" xfId="1418" xr:uid="{00000000-0005-0000-0000-000084050000}"/>
    <cellStyle name="20% - Accent2 4 5 2 2 2 2" xfId="1419" xr:uid="{00000000-0005-0000-0000-000085050000}"/>
    <cellStyle name="20% - Accent2 4 5 2 2 3" xfId="1420" xr:uid="{00000000-0005-0000-0000-000086050000}"/>
    <cellStyle name="20% - Accent2 4 5 2 2 3 2" xfId="1421" xr:uid="{00000000-0005-0000-0000-000087050000}"/>
    <cellStyle name="20% - Accent2 4 5 2 2 4" xfId="1422" xr:uid="{00000000-0005-0000-0000-000088050000}"/>
    <cellStyle name="20% - Accent2 4 5 2 3" xfId="1423" xr:uid="{00000000-0005-0000-0000-000089050000}"/>
    <cellStyle name="20% - Accent2 4 5 2 3 2" xfId="1424" xr:uid="{00000000-0005-0000-0000-00008A050000}"/>
    <cellStyle name="20% - Accent2 4 5 2 4" xfId="1425" xr:uid="{00000000-0005-0000-0000-00008B050000}"/>
    <cellStyle name="20% - Accent2 4 5 2 4 2" xfId="1426" xr:uid="{00000000-0005-0000-0000-00008C050000}"/>
    <cellStyle name="20% - Accent2 4 5 2 5" xfId="1427" xr:uid="{00000000-0005-0000-0000-00008D050000}"/>
    <cellStyle name="20% - Accent2 4 5 2 5 2" xfId="1428" xr:uid="{00000000-0005-0000-0000-00008E050000}"/>
    <cellStyle name="20% - Accent2 4 5 2 6" xfId="1429" xr:uid="{00000000-0005-0000-0000-00008F050000}"/>
    <cellStyle name="20% - Accent2 4 5 2 6 2" xfId="1430" xr:uid="{00000000-0005-0000-0000-000090050000}"/>
    <cellStyle name="20% - Accent2 4 5 2 7" xfId="1431" xr:uid="{00000000-0005-0000-0000-000091050000}"/>
    <cellStyle name="20% - Accent2 4 5 3" xfId="1432" xr:uid="{00000000-0005-0000-0000-000092050000}"/>
    <cellStyle name="20% - Accent2 4 5 3 2" xfId="1433" xr:uid="{00000000-0005-0000-0000-000093050000}"/>
    <cellStyle name="20% - Accent2 4 5 3 2 2" xfId="1434" xr:uid="{00000000-0005-0000-0000-000094050000}"/>
    <cellStyle name="20% - Accent2 4 5 3 3" xfId="1435" xr:uid="{00000000-0005-0000-0000-000095050000}"/>
    <cellStyle name="20% - Accent2 4 5 3 3 2" xfId="1436" xr:uid="{00000000-0005-0000-0000-000096050000}"/>
    <cellStyle name="20% - Accent2 4 5 3 4" xfId="1437" xr:uid="{00000000-0005-0000-0000-000097050000}"/>
    <cellStyle name="20% - Accent2 4 5 3 4 2" xfId="1438" xr:uid="{00000000-0005-0000-0000-000098050000}"/>
    <cellStyle name="20% - Accent2 4 5 3 5" xfId="1439" xr:uid="{00000000-0005-0000-0000-000099050000}"/>
    <cellStyle name="20% - Accent2 4 5 3 5 2" xfId="1440" xr:uid="{00000000-0005-0000-0000-00009A050000}"/>
    <cellStyle name="20% - Accent2 4 5 3 6" xfId="1441" xr:uid="{00000000-0005-0000-0000-00009B050000}"/>
    <cellStyle name="20% - Accent2 4 5 4" xfId="1442" xr:uid="{00000000-0005-0000-0000-00009C050000}"/>
    <cellStyle name="20% - Accent2 4 5 4 2" xfId="1443" xr:uid="{00000000-0005-0000-0000-00009D050000}"/>
    <cellStyle name="20% - Accent2 4 5 4 2 2" xfId="1444" xr:uid="{00000000-0005-0000-0000-00009E050000}"/>
    <cellStyle name="20% - Accent2 4 5 4 3" xfId="1445" xr:uid="{00000000-0005-0000-0000-00009F050000}"/>
    <cellStyle name="20% - Accent2 4 5 5" xfId="1446" xr:uid="{00000000-0005-0000-0000-0000A0050000}"/>
    <cellStyle name="20% - Accent2 4 5 5 2" xfId="1447" xr:uid="{00000000-0005-0000-0000-0000A1050000}"/>
    <cellStyle name="20% - Accent2 4 5 6" xfId="1448" xr:uid="{00000000-0005-0000-0000-0000A2050000}"/>
    <cellStyle name="20% - Accent2 4 5 6 2" xfId="1449" xr:uid="{00000000-0005-0000-0000-0000A3050000}"/>
    <cellStyle name="20% - Accent2 4 5 7" xfId="1450" xr:uid="{00000000-0005-0000-0000-0000A4050000}"/>
    <cellStyle name="20% - Accent2 4 5 7 2" xfId="1451" xr:uid="{00000000-0005-0000-0000-0000A5050000}"/>
    <cellStyle name="20% - Accent2 4 5 8" xfId="1452" xr:uid="{00000000-0005-0000-0000-0000A6050000}"/>
    <cellStyle name="20% - Accent2 4 6" xfId="1453" xr:uid="{00000000-0005-0000-0000-0000A7050000}"/>
    <cellStyle name="20% - Accent2 4 6 2" xfId="1454" xr:uid="{00000000-0005-0000-0000-0000A8050000}"/>
    <cellStyle name="20% - Accent2 4 6 2 2" xfId="1455" xr:uid="{00000000-0005-0000-0000-0000A9050000}"/>
    <cellStyle name="20% - Accent2 4 6 2 2 2" xfId="1456" xr:uid="{00000000-0005-0000-0000-0000AA050000}"/>
    <cellStyle name="20% - Accent2 4 6 2 3" xfId="1457" xr:uid="{00000000-0005-0000-0000-0000AB050000}"/>
    <cellStyle name="20% - Accent2 4 6 2 3 2" xfId="1458" xr:uid="{00000000-0005-0000-0000-0000AC050000}"/>
    <cellStyle name="20% - Accent2 4 6 2 4" xfId="1459" xr:uid="{00000000-0005-0000-0000-0000AD050000}"/>
    <cellStyle name="20% - Accent2 4 6 3" xfId="1460" xr:uid="{00000000-0005-0000-0000-0000AE050000}"/>
    <cellStyle name="20% - Accent2 4 6 3 2" xfId="1461" xr:uid="{00000000-0005-0000-0000-0000AF050000}"/>
    <cellStyle name="20% - Accent2 4 6 4" xfId="1462" xr:uid="{00000000-0005-0000-0000-0000B0050000}"/>
    <cellStyle name="20% - Accent2 4 6 4 2" xfId="1463" xr:uid="{00000000-0005-0000-0000-0000B1050000}"/>
    <cellStyle name="20% - Accent2 4 6 5" xfId="1464" xr:uid="{00000000-0005-0000-0000-0000B2050000}"/>
    <cellStyle name="20% - Accent2 4 6 5 2" xfId="1465" xr:uid="{00000000-0005-0000-0000-0000B3050000}"/>
    <cellStyle name="20% - Accent2 4 6 6" xfId="1466" xr:uid="{00000000-0005-0000-0000-0000B4050000}"/>
    <cellStyle name="20% - Accent2 4 6 6 2" xfId="1467" xr:uid="{00000000-0005-0000-0000-0000B5050000}"/>
    <cellStyle name="20% - Accent2 4 6 7" xfId="1468" xr:uid="{00000000-0005-0000-0000-0000B6050000}"/>
    <cellStyle name="20% - Accent2 4 7" xfId="1469" xr:uid="{00000000-0005-0000-0000-0000B7050000}"/>
    <cellStyle name="20% - Accent2 4 7 2" xfId="1470" xr:uid="{00000000-0005-0000-0000-0000B8050000}"/>
    <cellStyle name="20% - Accent2 4 7 2 2" xfId="1471" xr:uid="{00000000-0005-0000-0000-0000B9050000}"/>
    <cellStyle name="20% - Accent2 4 7 3" xfId="1472" xr:uid="{00000000-0005-0000-0000-0000BA050000}"/>
    <cellStyle name="20% - Accent2 4 7 3 2" xfId="1473" xr:uid="{00000000-0005-0000-0000-0000BB050000}"/>
    <cellStyle name="20% - Accent2 4 7 4" xfId="1474" xr:uid="{00000000-0005-0000-0000-0000BC050000}"/>
    <cellStyle name="20% - Accent2 4 7 4 2" xfId="1475" xr:uid="{00000000-0005-0000-0000-0000BD050000}"/>
    <cellStyle name="20% - Accent2 4 7 5" xfId="1476" xr:uid="{00000000-0005-0000-0000-0000BE050000}"/>
    <cellStyle name="20% - Accent2 4 7 5 2" xfId="1477" xr:uid="{00000000-0005-0000-0000-0000BF050000}"/>
    <cellStyle name="20% - Accent2 4 7 6" xfId="1478" xr:uid="{00000000-0005-0000-0000-0000C0050000}"/>
    <cellStyle name="20% - Accent2 4 8" xfId="1479" xr:uid="{00000000-0005-0000-0000-0000C1050000}"/>
    <cellStyle name="20% - Accent2 4 8 2" xfId="1480" xr:uid="{00000000-0005-0000-0000-0000C2050000}"/>
    <cellStyle name="20% - Accent2 4 8 2 2" xfId="1481" xr:uid="{00000000-0005-0000-0000-0000C3050000}"/>
    <cellStyle name="20% - Accent2 4 8 3" xfId="1482" xr:uid="{00000000-0005-0000-0000-0000C4050000}"/>
    <cellStyle name="20% - Accent2 4 8 3 2" xfId="1483" xr:uid="{00000000-0005-0000-0000-0000C5050000}"/>
    <cellStyle name="20% - Accent2 4 8 4" xfId="1484" xr:uid="{00000000-0005-0000-0000-0000C6050000}"/>
    <cellStyle name="20% - Accent2 4 9" xfId="1485" xr:uid="{00000000-0005-0000-0000-0000C7050000}"/>
    <cellStyle name="20% - Accent2 4 9 2" xfId="1486" xr:uid="{00000000-0005-0000-0000-0000C8050000}"/>
    <cellStyle name="20% - Accent2 4 9 2 2" xfId="1487" xr:uid="{00000000-0005-0000-0000-0000C9050000}"/>
    <cellStyle name="20% - Accent2 4 9 3" xfId="1488" xr:uid="{00000000-0005-0000-0000-0000CA050000}"/>
    <cellStyle name="20% - Accent2 5" xfId="1489" xr:uid="{00000000-0005-0000-0000-0000CB050000}"/>
    <cellStyle name="20% - Accent2 5 2" xfId="1490" xr:uid="{00000000-0005-0000-0000-0000CC050000}"/>
    <cellStyle name="20% - Accent2 5 2 2" xfId="1491" xr:uid="{00000000-0005-0000-0000-0000CD050000}"/>
    <cellStyle name="20% - Accent2 5 2 2 2" xfId="1492" xr:uid="{00000000-0005-0000-0000-0000CE050000}"/>
    <cellStyle name="20% - Accent2 5 2 3" xfId="1493" xr:uid="{00000000-0005-0000-0000-0000CF050000}"/>
    <cellStyle name="20% - Accent2 5 3" xfId="1494" xr:uid="{00000000-0005-0000-0000-0000D0050000}"/>
    <cellStyle name="20% - Accent2 5 3 2" xfId="1495" xr:uid="{00000000-0005-0000-0000-0000D1050000}"/>
    <cellStyle name="20% - Accent2 5 3 2 2" xfId="1496" xr:uid="{00000000-0005-0000-0000-0000D2050000}"/>
    <cellStyle name="20% - Accent2 5 3 3" xfId="1497" xr:uid="{00000000-0005-0000-0000-0000D3050000}"/>
    <cellStyle name="20% - Accent2 5 4" xfId="1498" xr:uid="{00000000-0005-0000-0000-0000D4050000}"/>
    <cellStyle name="20% - Accent2 6" xfId="1499" xr:uid="{00000000-0005-0000-0000-0000D5050000}"/>
    <cellStyle name="20% - Accent2 6 10" xfId="1500" xr:uid="{00000000-0005-0000-0000-0000D6050000}"/>
    <cellStyle name="20% - Accent2 6 10 2" xfId="1501" xr:uid="{00000000-0005-0000-0000-0000D7050000}"/>
    <cellStyle name="20% - Accent2 6 11" xfId="1502" xr:uid="{00000000-0005-0000-0000-0000D8050000}"/>
    <cellStyle name="20% - Accent2 6 2" xfId="1503" xr:uid="{00000000-0005-0000-0000-0000D9050000}"/>
    <cellStyle name="20% - Accent2 6 2 10" xfId="1504" xr:uid="{00000000-0005-0000-0000-0000DA050000}"/>
    <cellStyle name="20% - Accent2 6 2 2" xfId="1505" xr:uid="{00000000-0005-0000-0000-0000DB050000}"/>
    <cellStyle name="20% - Accent2 6 2 2 2" xfId="1506" xr:uid="{00000000-0005-0000-0000-0000DC050000}"/>
    <cellStyle name="20% - Accent2 6 2 2 2 2" xfId="1507" xr:uid="{00000000-0005-0000-0000-0000DD050000}"/>
    <cellStyle name="20% - Accent2 6 2 2 2 2 2" xfId="1508" xr:uid="{00000000-0005-0000-0000-0000DE050000}"/>
    <cellStyle name="20% - Accent2 6 2 2 2 2 2 2" xfId="1509" xr:uid="{00000000-0005-0000-0000-0000DF050000}"/>
    <cellStyle name="20% - Accent2 6 2 2 2 2 3" xfId="1510" xr:uid="{00000000-0005-0000-0000-0000E0050000}"/>
    <cellStyle name="20% - Accent2 6 2 2 2 2 3 2" xfId="1511" xr:uid="{00000000-0005-0000-0000-0000E1050000}"/>
    <cellStyle name="20% - Accent2 6 2 2 2 2 4" xfId="1512" xr:uid="{00000000-0005-0000-0000-0000E2050000}"/>
    <cellStyle name="20% - Accent2 6 2 2 2 3" xfId="1513" xr:uid="{00000000-0005-0000-0000-0000E3050000}"/>
    <cellStyle name="20% - Accent2 6 2 2 2 3 2" xfId="1514" xr:uid="{00000000-0005-0000-0000-0000E4050000}"/>
    <cellStyle name="20% - Accent2 6 2 2 2 4" xfId="1515" xr:uid="{00000000-0005-0000-0000-0000E5050000}"/>
    <cellStyle name="20% - Accent2 6 2 2 2 4 2" xfId="1516" xr:uid="{00000000-0005-0000-0000-0000E6050000}"/>
    <cellStyle name="20% - Accent2 6 2 2 2 5" xfId="1517" xr:uid="{00000000-0005-0000-0000-0000E7050000}"/>
    <cellStyle name="20% - Accent2 6 2 2 2 5 2" xfId="1518" xr:uid="{00000000-0005-0000-0000-0000E8050000}"/>
    <cellStyle name="20% - Accent2 6 2 2 2 6" xfId="1519" xr:uid="{00000000-0005-0000-0000-0000E9050000}"/>
    <cellStyle name="20% - Accent2 6 2 2 2 6 2" xfId="1520" xr:uid="{00000000-0005-0000-0000-0000EA050000}"/>
    <cellStyle name="20% - Accent2 6 2 2 2 7" xfId="1521" xr:uid="{00000000-0005-0000-0000-0000EB050000}"/>
    <cellStyle name="20% - Accent2 6 2 2 3" xfId="1522" xr:uid="{00000000-0005-0000-0000-0000EC050000}"/>
    <cellStyle name="20% - Accent2 6 2 2 3 2" xfId="1523" xr:uid="{00000000-0005-0000-0000-0000ED050000}"/>
    <cellStyle name="20% - Accent2 6 2 2 3 2 2" xfId="1524" xr:uid="{00000000-0005-0000-0000-0000EE050000}"/>
    <cellStyle name="20% - Accent2 6 2 2 3 3" xfId="1525" xr:uid="{00000000-0005-0000-0000-0000EF050000}"/>
    <cellStyle name="20% - Accent2 6 2 2 3 3 2" xfId="1526" xr:uid="{00000000-0005-0000-0000-0000F0050000}"/>
    <cellStyle name="20% - Accent2 6 2 2 3 4" xfId="1527" xr:uid="{00000000-0005-0000-0000-0000F1050000}"/>
    <cellStyle name="20% - Accent2 6 2 2 3 4 2" xfId="1528" xr:uid="{00000000-0005-0000-0000-0000F2050000}"/>
    <cellStyle name="20% - Accent2 6 2 2 3 5" xfId="1529" xr:uid="{00000000-0005-0000-0000-0000F3050000}"/>
    <cellStyle name="20% - Accent2 6 2 2 3 5 2" xfId="1530" xr:uid="{00000000-0005-0000-0000-0000F4050000}"/>
    <cellStyle name="20% - Accent2 6 2 2 3 6" xfId="1531" xr:uid="{00000000-0005-0000-0000-0000F5050000}"/>
    <cellStyle name="20% - Accent2 6 2 2 4" xfId="1532" xr:uid="{00000000-0005-0000-0000-0000F6050000}"/>
    <cellStyle name="20% - Accent2 6 2 2 4 2" xfId="1533" xr:uid="{00000000-0005-0000-0000-0000F7050000}"/>
    <cellStyle name="20% - Accent2 6 2 2 4 2 2" xfId="1534" xr:uid="{00000000-0005-0000-0000-0000F8050000}"/>
    <cellStyle name="20% - Accent2 6 2 2 4 3" xfId="1535" xr:uid="{00000000-0005-0000-0000-0000F9050000}"/>
    <cellStyle name="20% - Accent2 6 2 2 5" xfId="1536" xr:uid="{00000000-0005-0000-0000-0000FA050000}"/>
    <cellStyle name="20% - Accent2 6 2 2 5 2" xfId="1537" xr:uid="{00000000-0005-0000-0000-0000FB050000}"/>
    <cellStyle name="20% - Accent2 6 2 2 6" xfId="1538" xr:uid="{00000000-0005-0000-0000-0000FC050000}"/>
    <cellStyle name="20% - Accent2 6 2 2 6 2" xfId="1539" xr:uid="{00000000-0005-0000-0000-0000FD050000}"/>
    <cellStyle name="20% - Accent2 6 2 2 7" xfId="1540" xr:uid="{00000000-0005-0000-0000-0000FE050000}"/>
    <cellStyle name="20% - Accent2 6 2 2 7 2" xfId="1541" xr:uid="{00000000-0005-0000-0000-0000FF050000}"/>
    <cellStyle name="20% - Accent2 6 2 2 8" xfId="1542" xr:uid="{00000000-0005-0000-0000-000000060000}"/>
    <cellStyle name="20% - Accent2 6 2 3" xfId="1543" xr:uid="{00000000-0005-0000-0000-000001060000}"/>
    <cellStyle name="20% - Accent2 6 2 3 2" xfId="1544" xr:uid="{00000000-0005-0000-0000-000002060000}"/>
    <cellStyle name="20% - Accent2 6 2 3 2 2" xfId="1545" xr:uid="{00000000-0005-0000-0000-000003060000}"/>
    <cellStyle name="20% - Accent2 6 2 3 2 2 2" xfId="1546" xr:uid="{00000000-0005-0000-0000-000004060000}"/>
    <cellStyle name="20% - Accent2 6 2 3 2 2 2 2" xfId="1547" xr:uid="{00000000-0005-0000-0000-000005060000}"/>
    <cellStyle name="20% - Accent2 6 2 3 2 2 3" xfId="1548" xr:uid="{00000000-0005-0000-0000-000006060000}"/>
    <cellStyle name="20% - Accent2 6 2 3 2 2 3 2" xfId="1549" xr:uid="{00000000-0005-0000-0000-000007060000}"/>
    <cellStyle name="20% - Accent2 6 2 3 2 2 4" xfId="1550" xr:uid="{00000000-0005-0000-0000-000008060000}"/>
    <cellStyle name="20% - Accent2 6 2 3 2 3" xfId="1551" xr:uid="{00000000-0005-0000-0000-000009060000}"/>
    <cellStyle name="20% - Accent2 6 2 3 2 3 2" xfId="1552" xr:uid="{00000000-0005-0000-0000-00000A060000}"/>
    <cellStyle name="20% - Accent2 6 2 3 2 4" xfId="1553" xr:uid="{00000000-0005-0000-0000-00000B060000}"/>
    <cellStyle name="20% - Accent2 6 2 3 2 4 2" xfId="1554" xr:uid="{00000000-0005-0000-0000-00000C060000}"/>
    <cellStyle name="20% - Accent2 6 2 3 2 5" xfId="1555" xr:uid="{00000000-0005-0000-0000-00000D060000}"/>
    <cellStyle name="20% - Accent2 6 2 3 2 5 2" xfId="1556" xr:uid="{00000000-0005-0000-0000-00000E060000}"/>
    <cellStyle name="20% - Accent2 6 2 3 2 6" xfId="1557" xr:uid="{00000000-0005-0000-0000-00000F060000}"/>
    <cellStyle name="20% - Accent2 6 2 3 2 6 2" xfId="1558" xr:uid="{00000000-0005-0000-0000-000010060000}"/>
    <cellStyle name="20% - Accent2 6 2 3 2 7" xfId="1559" xr:uid="{00000000-0005-0000-0000-000011060000}"/>
    <cellStyle name="20% - Accent2 6 2 3 3" xfId="1560" xr:uid="{00000000-0005-0000-0000-000012060000}"/>
    <cellStyle name="20% - Accent2 6 2 3 3 2" xfId="1561" xr:uid="{00000000-0005-0000-0000-000013060000}"/>
    <cellStyle name="20% - Accent2 6 2 3 3 2 2" xfId="1562" xr:uid="{00000000-0005-0000-0000-000014060000}"/>
    <cellStyle name="20% - Accent2 6 2 3 3 3" xfId="1563" xr:uid="{00000000-0005-0000-0000-000015060000}"/>
    <cellStyle name="20% - Accent2 6 2 3 3 3 2" xfId="1564" xr:uid="{00000000-0005-0000-0000-000016060000}"/>
    <cellStyle name="20% - Accent2 6 2 3 3 4" xfId="1565" xr:uid="{00000000-0005-0000-0000-000017060000}"/>
    <cellStyle name="20% - Accent2 6 2 3 3 4 2" xfId="1566" xr:uid="{00000000-0005-0000-0000-000018060000}"/>
    <cellStyle name="20% - Accent2 6 2 3 3 5" xfId="1567" xr:uid="{00000000-0005-0000-0000-000019060000}"/>
    <cellStyle name="20% - Accent2 6 2 3 3 5 2" xfId="1568" xr:uid="{00000000-0005-0000-0000-00001A060000}"/>
    <cellStyle name="20% - Accent2 6 2 3 3 6" xfId="1569" xr:uid="{00000000-0005-0000-0000-00001B060000}"/>
    <cellStyle name="20% - Accent2 6 2 3 4" xfId="1570" xr:uid="{00000000-0005-0000-0000-00001C060000}"/>
    <cellStyle name="20% - Accent2 6 2 3 4 2" xfId="1571" xr:uid="{00000000-0005-0000-0000-00001D060000}"/>
    <cellStyle name="20% - Accent2 6 2 3 4 2 2" xfId="1572" xr:uid="{00000000-0005-0000-0000-00001E060000}"/>
    <cellStyle name="20% - Accent2 6 2 3 4 3" xfId="1573" xr:uid="{00000000-0005-0000-0000-00001F060000}"/>
    <cellStyle name="20% - Accent2 6 2 3 5" xfId="1574" xr:uid="{00000000-0005-0000-0000-000020060000}"/>
    <cellStyle name="20% - Accent2 6 2 3 5 2" xfId="1575" xr:uid="{00000000-0005-0000-0000-000021060000}"/>
    <cellStyle name="20% - Accent2 6 2 3 6" xfId="1576" xr:uid="{00000000-0005-0000-0000-000022060000}"/>
    <cellStyle name="20% - Accent2 6 2 3 6 2" xfId="1577" xr:uid="{00000000-0005-0000-0000-000023060000}"/>
    <cellStyle name="20% - Accent2 6 2 3 7" xfId="1578" xr:uid="{00000000-0005-0000-0000-000024060000}"/>
    <cellStyle name="20% - Accent2 6 2 3 7 2" xfId="1579" xr:uid="{00000000-0005-0000-0000-000025060000}"/>
    <cellStyle name="20% - Accent2 6 2 3 8" xfId="1580" xr:uid="{00000000-0005-0000-0000-000026060000}"/>
    <cellStyle name="20% - Accent2 6 2 4" xfId="1581" xr:uid="{00000000-0005-0000-0000-000027060000}"/>
    <cellStyle name="20% - Accent2 6 2 4 2" xfId="1582" xr:uid="{00000000-0005-0000-0000-000028060000}"/>
    <cellStyle name="20% - Accent2 6 2 4 2 2" xfId="1583" xr:uid="{00000000-0005-0000-0000-000029060000}"/>
    <cellStyle name="20% - Accent2 6 2 4 2 2 2" xfId="1584" xr:uid="{00000000-0005-0000-0000-00002A060000}"/>
    <cellStyle name="20% - Accent2 6 2 4 2 3" xfId="1585" xr:uid="{00000000-0005-0000-0000-00002B060000}"/>
    <cellStyle name="20% - Accent2 6 2 4 2 3 2" xfId="1586" xr:uid="{00000000-0005-0000-0000-00002C060000}"/>
    <cellStyle name="20% - Accent2 6 2 4 2 4" xfId="1587" xr:uid="{00000000-0005-0000-0000-00002D060000}"/>
    <cellStyle name="20% - Accent2 6 2 4 3" xfId="1588" xr:uid="{00000000-0005-0000-0000-00002E060000}"/>
    <cellStyle name="20% - Accent2 6 2 4 3 2" xfId="1589" xr:uid="{00000000-0005-0000-0000-00002F060000}"/>
    <cellStyle name="20% - Accent2 6 2 4 4" xfId="1590" xr:uid="{00000000-0005-0000-0000-000030060000}"/>
    <cellStyle name="20% - Accent2 6 2 4 4 2" xfId="1591" xr:uid="{00000000-0005-0000-0000-000031060000}"/>
    <cellStyle name="20% - Accent2 6 2 4 5" xfId="1592" xr:uid="{00000000-0005-0000-0000-000032060000}"/>
    <cellStyle name="20% - Accent2 6 2 4 5 2" xfId="1593" xr:uid="{00000000-0005-0000-0000-000033060000}"/>
    <cellStyle name="20% - Accent2 6 2 4 6" xfId="1594" xr:uid="{00000000-0005-0000-0000-000034060000}"/>
    <cellStyle name="20% - Accent2 6 2 4 6 2" xfId="1595" xr:uid="{00000000-0005-0000-0000-000035060000}"/>
    <cellStyle name="20% - Accent2 6 2 4 7" xfId="1596" xr:uid="{00000000-0005-0000-0000-000036060000}"/>
    <cellStyle name="20% - Accent2 6 2 5" xfId="1597" xr:uid="{00000000-0005-0000-0000-000037060000}"/>
    <cellStyle name="20% - Accent2 6 2 5 2" xfId="1598" xr:uid="{00000000-0005-0000-0000-000038060000}"/>
    <cellStyle name="20% - Accent2 6 2 5 2 2" xfId="1599" xr:uid="{00000000-0005-0000-0000-000039060000}"/>
    <cellStyle name="20% - Accent2 6 2 5 3" xfId="1600" xr:uid="{00000000-0005-0000-0000-00003A060000}"/>
    <cellStyle name="20% - Accent2 6 2 5 3 2" xfId="1601" xr:uid="{00000000-0005-0000-0000-00003B060000}"/>
    <cellStyle name="20% - Accent2 6 2 5 4" xfId="1602" xr:uid="{00000000-0005-0000-0000-00003C060000}"/>
    <cellStyle name="20% - Accent2 6 2 5 4 2" xfId="1603" xr:uid="{00000000-0005-0000-0000-00003D060000}"/>
    <cellStyle name="20% - Accent2 6 2 5 5" xfId="1604" xr:uid="{00000000-0005-0000-0000-00003E060000}"/>
    <cellStyle name="20% - Accent2 6 2 5 5 2" xfId="1605" xr:uid="{00000000-0005-0000-0000-00003F060000}"/>
    <cellStyle name="20% - Accent2 6 2 5 6" xfId="1606" xr:uid="{00000000-0005-0000-0000-000040060000}"/>
    <cellStyle name="20% - Accent2 6 2 6" xfId="1607" xr:uid="{00000000-0005-0000-0000-000041060000}"/>
    <cellStyle name="20% - Accent2 6 2 6 2" xfId="1608" xr:uid="{00000000-0005-0000-0000-000042060000}"/>
    <cellStyle name="20% - Accent2 6 2 6 2 2" xfId="1609" xr:uid="{00000000-0005-0000-0000-000043060000}"/>
    <cellStyle name="20% - Accent2 6 2 6 3" xfId="1610" xr:uid="{00000000-0005-0000-0000-000044060000}"/>
    <cellStyle name="20% - Accent2 6 2 7" xfId="1611" xr:uid="{00000000-0005-0000-0000-000045060000}"/>
    <cellStyle name="20% - Accent2 6 2 7 2" xfId="1612" xr:uid="{00000000-0005-0000-0000-000046060000}"/>
    <cellStyle name="20% - Accent2 6 2 8" xfId="1613" xr:uid="{00000000-0005-0000-0000-000047060000}"/>
    <cellStyle name="20% - Accent2 6 2 8 2" xfId="1614" xr:uid="{00000000-0005-0000-0000-000048060000}"/>
    <cellStyle name="20% - Accent2 6 2 9" xfId="1615" xr:uid="{00000000-0005-0000-0000-000049060000}"/>
    <cellStyle name="20% - Accent2 6 2 9 2" xfId="1616" xr:uid="{00000000-0005-0000-0000-00004A060000}"/>
    <cellStyle name="20% - Accent2 6 3" xfId="1617" xr:uid="{00000000-0005-0000-0000-00004B060000}"/>
    <cellStyle name="20% - Accent2 6 3 2" xfId="1618" xr:uid="{00000000-0005-0000-0000-00004C060000}"/>
    <cellStyle name="20% - Accent2 6 3 2 2" xfId="1619" xr:uid="{00000000-0005-0000-0000-00004D060000}"/>
    <cellStyle name="20% - Accent2 6 3 2 2 2" xfId="1620" xr:uid="{00000000-0005-0000-0000-00004E060000}"/>
    <cellStyle name="20% - Accent2 6 3 2 2 2 2" xfId="1621" xr:uid="{00000000-0005-0000-0000-00004F060000}"/>
    <cellStyle name="20% - Accent2 6 3 2 2 3" xfId="1622" xr:uid="{00000000-0005-0000-0000-000050060000}"/>
    <cellStyle name="20% - Accent2 6 3 2 2 3 2" xfId="1623" xr:uid="{00000000-0005-0000-0000-000051060000}"/>
    <cellStyle name="20% - Accent2 6 3 2 2 4" xfId="1624" xr:uid="{00000000-0005-0000-0000-000052060000}"/>
    <cellStyle name="20% - Accent2 6 3 2 3" xfId="1625" xr:uid="{00000000-0005-0000-0000-000053060000}"/>
    <cellStyle name="20% - Accent2 6 3 2 3 2" xfId="1626" xr:uid="{00000000-0005-0000-0000-000054060000}"/>
    <cellStyle name="20% - Accent2 6 3 2 4" xfId="1627" xr:uid="{00000000-0005-0000-0000-000055060000}"/>
    <cellStyle name="20% - Accent2 6 3 2 4 2" xfId="1628" xr:uid="{00000000-0005-0000-0000-000056060000}"/>
    <cellStyle name="20% - Accent2 6 3 2 5" xfId="1629" xr:uid="{00000000-0005-0000-0000-000057060000}"/>
    <cellStyle name="20% - Accent2 6 3 2 5 2" xfId="1630" xr:uid="{00000000-0005-0000-0000-000058060000}"/>
    <cellStyle name="20% - Accent2 6 3 2 6" xfId="1631" xr:uid="{00000000-0005-0000-0000-000059060000}"/>
    <cellStyle name="20% - Accent2 6 3 2 6 2" xfId="1632" xr:uid="{00000000-0005-0000-0000-00005A060000}"/>
    <cellStyle name="20% - Accent2 6 3 2 7" xfId="1633" xr:uid="{00000000-0005-0000-0000-00005B060000}"/>
    <cellStyle name="20% - Accent2 6 3 3" xfId="1634" xr:uid="{00000000-0005-0000-0000-00005C060000}"/>
    <cellStyle name="20% - Accent2 6 3 3 2" xfId="1635" xr:uid="{00000000-0005-0000-0000-00005D060000}"/>
    <cellStyle name="20% - Accent2 6 3 3 2 2" xfId="1636" xr:uid="{00000000-0005-0000-0000-00005E060000}"/>
    <cellStyle name="20% - Accent2 6 3 3 3" xfId="1637" xr:uid="{00000000-0005-0000-0000-00005F060000}"/>
    <cellStyle name="20% - Accent2 6 3 3 3 2" xfId="1638" xr:uid="{00000000-0005-0000-0000-000060060000}"/>
    <cellStyle name="20% - Accent2 6 3 3 4" xfId="1639" xr:uid="{00000000-0005-0000-0000-000061060000}"/>
    <cellStyle name="20% - Accent2 6 3 3 4 2" xfId="1640" xr:uid="{00000000-0005-0000-0000-000062060000}"/>
    <cellStyle name="20% - Accent2 6 3 3 5" xfId="1641" xr:uid="{00000000-0005-0000-0000-000063060000}"/>
    <cellStyle name="20% - Accent2 6 3 3 5 2" xfId="1642" xr:uid="{00000000-0005-0000-0000-000064060000}"/>
    <cellStyle name="20% - Accent2 6 3 3 6" xfId="1643" xr:uid="{00000000-0005-0000-0000-000065060000}"/>
    <cellStyle name="20% - Accent2 6 3 4" xfId="1644" xr:uid="{00000000-0005-0000-0000-000066060000}"/>
    <cellStyle name="20% - Accent2 6 3 4 2" xfId="1645" xr:uid="{00000000-0005-0000-0000-000067060000}"/>
    <cellStyle name="20% - Accent2 6 3 4 2 2" xfId="1646" xr:uid="{00000000-0005-0000-0000-000068060000}"/>
    <cellStyle name="20% - Accent2 6 3 4 3" xfId="1647" xr:uid="{00000000-0005-0000-0000-000069060000}"/>
    <cellStyle name="20% - Accent2 6 3 5" xfId="1648" xr:uid="{00000000-0005-0000-0000-00006A060000}"/>
    <cellStyle name="20% - Accent2 6 3 5 2" xfId="1649" xr:uid="{00000000-0005-0000-0000-00006B060000}"/>
    <cellStyle name="20% - Accent2 6 3 6" xfId="1650" xr:uid="{00000000-0005-0000-0000-00006C060000}"/>
    <cellStyle name="20% - Accent2 6 3 6 2" xfId="1651" xr:uid="{00000000-0005-0000-0000-00006D060000}"/>
    <cellStyle name="20% - Accent2 6 3 7" xfId="1652" xr:uid="{00000000-0005-0000-0000-00006E060000}"/>
    <cellStyle name="20% - Accent2 6 3 7 2" xfId="1653" xr:uid="{00000000-0005-0000-0000-00006F060000}"/>
    <cellStyle name="20% - Accent2 6 3 8" xfId="1654" xr:uid="{00000000-0005-0000-0000-000070060000}"/>
    <cellStyle name="20% - Accent2 6 4" xfId="1655" xr:uid="{00000000-0005-0000-0000-000071060000}"/>
    <cellStyle name="20% - Accent2 6 4 2" xfId="1656" xr:uid="{00000000-0005-0000-0000-000072060000}"/>
    <cellStyle name="20% - Accent2 6 4 2 2" xfId="1657" xr:uid="{00000000-0005-0000-0000-000073060000}"/>
    <cellStyle name="20% - Accent2 6 4 2 2 2" xfId="1658" xr:uid="{00000000-0005-0000-0000-000074060000}"/>
    <cellStyle name="20% - Accent2 6 4 2 2 2 2" xfId="1659" xr:uid="{00000000-0005-0000-0000-000075060000}"/>
    <cellStyle name="20% - Accent2 6 4 2 2 3" xfId="1660" xr:uid="{00000000-0005-0000-0000-000076060000}"/>
    <cellStyle name="20% - Accent2 6 4 2 2 3 2" xfId="1661" xr:uid="{00000000-0005-0000-0000-000077060000}"/>
    <cellStyle name="20% - Accent2 6 4 2 2 4" xfId="1662" xr:uid="{00000000-0005-0000-0000-000078060000}"/>
    <cellStyle name="20% - Accent2 6 4 2 3" xfId="1663" xr:uid="{00000000-0005-0000-0000-000079060000}"/>
    <cellStyle name="20% - Accent2 6 4 2 3 2" xfId="1664" xr:uid="{00000000-0005-0000-0000-00007A060000}"/>
    <cellStyle name="20% - Accent2 6 4 2 4" xfId="1665" xr:uid="{00000000-0005-0000-0000-00007B060000}"/>
    <cellStyle name="20% - Accent2 6 4 2 4 2" xfId="1666" xr:uid="{00000000-0005-0000-0000-00007C060000}"/>
    <cellStyle name="20% - Accent2 6 4 2 5" xfId="1667" xr:uid="{00000000-0005-0000-0000-00007D060000}"/>
    <cellStyle name="20% - Accent2 6 4 2 5 2" xfId="1668" xr:uid="{00000000-0005-0000-0000-00007E060000}"/>
    <cellStyle name="20% - Accent2 6 4 2 6" xfId="1669" xr:uid="{00000000-0005-0000-0000-00007F060000}"/>
    <cellStyle name="20% - Accent2 6 4 2 6 2" xfId="1670" xr:uid="{00000000-0005-0000-0000-000080060000}"/>
    <cellStyle name="20% - Accent2 6 4 2 7" xfId="1671" xr:uid="{00000000-0005-0000-0000-000081060000}"/>
    <cellStyle name="20% - Accent2 6 4 3" xfId="1672" xr:uid="{00000000-0005-0000-0000-000082060000}"/>
    <cellStyle name="20% - Accent2 6 4 3 2" xfId="1673" xr:uid="{00000000-0005-0000-0000-000083060000}"/>
    <cellStyle name="20% - Accent2 6 4 3 2 2" xfId="1674" xr:uid="{00000000-0005-0000-0000-000084060000}"/>
    <cellStyle name="20% - Accent2 6 4 3 3" xfId="1675" xr:uid="{00000000-0005-0000-0000-000085060000}"/>
    <cellStyle name="20% - Accent2 6 4 3 3 2" xfId="1676" xr:uid="{00000000-0005-0000-0000-000086060000}"/>
    <cellStyle name="20% - Accent2 6 4 3 4" xfId="1677" xr:uid="{00000000-0005-0000-0000-000087060000}"/>
    <cellStyle name="20% - Accent2 6 4 3 4 2" xfId="1678" xr:uid="{00000000-0005-0000-0000-000088060000}"/>
    <cellStyle name="20% - Accent2 6 4 3 5" xfId="1679" xr:uid="{00000000-0005-0000-0000-000089060000}"/>
    <cellStyle name="20% - Accent2 6 4 3 5 2" xfId="1680" xr:uid="{00000000-0005-0000-0000-00008A060000}"/>
    <cellStyle name="20% - Accent2 6 4 3 6" xfId="1681" xr:uid="{00000000-0005-0000-0000-00008B060000}"/>
    <cellStyle name="20% - Accent2 6 4 4" xfId="1682" xr:uid="{00000000-0005-0000-0000-00008C060000}"/>
    <cellStyle name="20% - Accent2 6 4 4 2" xfId="1683" xr:uid="{00000000-0005-0000-0000-00008D060000}"/>
    <cellStyle name="20% - Accent2 6 4 4 2 2" xfId="1684" xr:uid="{00000000-0005-0000-0000-00008E060000}"/>
    <cellStyle name="20% - Accent2 6 4 4 3" xfId="1685" xr:uid="{00000000-0005-0000-0000-00008F060000}"/>
    <cellStyle name="20% - Accent2 6 4 5" xfId="1686" xr:uid="{00000000-0005-0000-0000-000090060000}"/>
    <cellStyle name="20% - Accent2 6 4 5 2" xfId="1687" xr:uid="{00000000-0005-0000-0000-000091060000}"/>
    <cellStyle name="20% - Accent2 6 4 6" xfId="1688" xr:uid="{00000000-0005-0000-0000-000092060000}"/>
    <cellStyle name="20% - Accent2 6 4 6 2" xfId="1689" xr:uid="{00000000-0005-0000-0000-000093060000}"/>
    <cellStyle name="20% - Accent2 6 4 7" xfId="1690" xr:uid="{00000000-0005-0000-0000-000094060000}"/>
    <cellStyle name="20% - Accent2 6 4 7 2" xfId="1691" xr:uid="{00000000-0005-0000-0000-000095060000}"/>
    <cellStyle name="20% - Accent2 6 4 8" xfId="1692" xr:uid="{00000000-0005-0000-0000-000096060000}"/>
    <cellStyle name="20% - Accent2 6 5" xfId="1693" xr:uid="{00000000-0005-0000-0000-000097060000}"/>
    <cellStyle name="20% - Accent2 6 5 2" xfId="1694" xr:uid="{00000000-0005-0000-0000-000098060000}"/>
    <cellStyle name="20% - Accent2 6 5 2 2" xfId="1695" xr:uid="{00000000-0005-0000-0000-000099060000}"/>
    <cellStyle name="20% - Accent2 6 5 2 2 2" xfId="1696" xr:uid="{00000000-0005-0000-0000-00009A060000}"/>
    <cellStyle name="20% - Accent2 6 5 2 3" xfId="1697" xr:uid="{00000000-0005-0000-0000-00009B060000}"/>
    <cellStyle name="20% - Accent2 6 5 2 3 2" xfId="1698" xr:uid="{00000000-0005-0000-0000-00009C060000}"/>
    <cellStyle name="20% - Accent2 6 5 2 4" xfId="1699" xr:uid="{00000000-0005-0000-0000-00009D060000}"/>
    <cellStyle name="20% - Accent2 6 5 3" xfId="1700" xr:uid="{00000000-0005-0000-0000-00009E060000}"/>
    <cellStyle name="20% - Accent2 6 5 3 2" xfId="1701" xr:uid="{00000000-0005-0000-0000-00009F060000}"/>
    <cellStyle name="20% - Accent2 6 5 4" xfId="1702" xr:uid="{00000000-0005-0000-0000-0000A0060000}"/>
    <cellStyle name="20% - Accent2 6 5 4 2" xfId="1703" xr:uid="{00000000-0005-0000-0000-0000A1060000}"/>
    <cellStyle name="20% - Accent2 6 5 5" xfId="1704" xr:uid="{00000000-0005-0000-0000-0000A2060000}"/>
    <cellStyle name="20% - Accent2 6 5 5 2" xfId="1705" xr:uid="{00000000-0005-0000-0000-0000A3060000}"/>
    <cellStyle name="20% - Accent2 6 5 6" xfId="1706" xr:uid="{00000000-0005-0000-0000-0000A4060000}"/>
    <cellStyle name="20% - Accent2 6 5 6 2" xfId="1707" xr:uid="{00000000-0005-0000-0000-0000A5060000}"/>
    <cellStyle name="20% - Accent2 6 5 7" xfId="1708" xr:uid="{00000000-0005-0000-0000-0000A6060000}"/>
    <cellStyle name="20% - Accent2 6 6" xfId="1709" xr:uid="{00000000-0005-0000-0000-0000A7060000}"/>
    <cellStyle name="20% - Accent2 6 6 2" xfId="1710" xr:uid="{00000000-0005-0000-0000-0000A8060000}"/>
    <cellStyle name="20% - Accent2 6 6 2 2" xfId="1711" xr:uid="{00000000-0005-0000-0000-0000A9060000}"/>
    <cellStyle name="20% - Accent2 6 6 3" xfId="1712" xr:uid="{00000000-0005-0000-0000-0000AA060000}"/>
    <cellStyle name="20% - Accent2 6 6 3 2" xfId="1713" xr:uid="{00000000-0005-0000-0000-0000AB060000}"/>
    <cellStyle name="20% - Accent2 6 6 4" xfId="1714" xr:uid="{00000000-0005-0000-0000-0000AC060000}"/>
    <cellStyle name="20% - Accent2 6 6 4 2" xfId="1715" xr:uid="{00000000-0005-0000-0000-0000AD060000}"/>
    <cellStyle name="20% - Accent2 6 6 5" xfId="1716" xr:uid="{00000000-0005-0000-0000-0000AE060000}"/>
    <cellStyle name="20% - Accent2 6 6 5 2" xfId="1717" xr:uid="{00000000-0005-0000-0000-0000AF060000}"/>
    <cellStyle name="20% - Accent2 6 6 6" xfId="1718" xr:uid="{00000000-0005-0000-0000-0000B0060000}"/>
    <cellStyle name="20% - Accent2 6 7" xfId="1719" xr:uid="{00000000-0005-0000-0000-0000B1060000}"/>
    <cellStyle name="20% - Accent2 6 7 2" xfId="1720" xr:uid="{00000000-0005-0000-0000-0000B2060000}"/>
    <cellStyle name="20% - Accent2 6 7 2 2" xfId="1721" xr:uid="{00000000-0005-0000-0000-0000B3060000}"/>
    <cellStyle name="20% - Accent2 6 7 3" xfId="1722" xr:uid="{00000000-0005-0000-0000-0000B4060000}"/>
    <cellStyle name="20% - Accent2 6 8" xfId="1723" xr:uid="{00000000-0005-0000-0000-0000B5060000}"/>
    <cellStyle name="20% - Accent2 6 8 2" xfId="1724" xr:uid="{00000000-0005-0000-0000-0000B6060000}"/>
    <cellStyle name="20% - Accent2 6 9" xfId="1725" xr:uid="{00000000-0005-0000-0000-0000B7060000}"/>
    <cellStyle name="20% - Accent2 6 9 2" xfId="1726" xr:uid="{00000000-0005-0000-0000-0000B8060000}"/>
    <cellStyle name="20% - Accent2 7" xfId="1727" xr:uid="{00000000-0005-0000-0000-0000B9060000}"/>
    <cellStyle name="20% - Accent2 7 2" xfId="1728" xr:uid="{00000000-0005-0000-0000-0000BA060000}"/>
    <cellStyle name="20% - Accent2 8" xfId="1729" xr:uid="{00000000-0005-0000-0000-0000BB060000}"/>
    <cellStyle name="20% - Accent2 8 2" xfId="1730" xr:uid="{00000000-0005-0000-0000-0000BC060000}"/>
    <cellStyle name="20% - Accent2 8 2 2" xfId="1731" xr:uid="{00000000-0005-0000-0000-0000BD060000}"/>
    <cellStyle name="20% - Accent2 8 2 2 2" xfId="1732" xr:uid="{00000000-0005-0000-0000-0000BE060000}"/>
    <cellStyle name="20% - Accent2 8 2 2 2 2" xfId="1733" xr:uid="{00000000-0005-0000-0000-0000BF060000}"/>
    <cellStyle name="20% - Accent2 8 2 2 2 2 2" xfId="1734" xr:uid="{00000000-0005-0000-0000-0000C0060000}"/>
    <cellStyle name="20% - Accent2 8 2 2 2 3" xfId="1735" xr:uid="{00000000-0005-0000-0000-0000C1060000}"/>
    <cellStyle name="20% - Accent2 8 2 2 2 3 2" xfId="1736" xr:uid="{00000000-0005-0000-0000-0000C2060000}"/>
    <cellStyle name="20% - Accent2 8 2 2 2 4" xfId="1737" xr:uid="{00000000-0005-0000-0000-0000C3060000}"/>
    <cellStyle name="20% - Accent2 8 2 2 3" xfId="1738" xr:uid="{00000000-0005-0000-0000-0000C4060000}"/>
    <cellStyle name="20% - Accent2 8 2 2 3 2" xfId="1739" xr:uid="{00000000-0005-0000-0000-0000C5060000}"/>
    <cellStyle name="20% - Accent2 8 2 2 4" xfId="1740" xr:uid="{00000000-0005-0000-0000-0000C6060000}"/>
    <cellStyle name="20% - Accent2 8 2 2 4 2" xfId="1741" xr:uid="{00000000-0005-0000-0000-0000C7060000}"/>
    <cellStyle name="20% - Accent2 8 2 2 5" xfId="1742" xr:uid="{00000000-0005-0000-0000-0000C8060000}"/>
    <cellStyle name="20% - Accent2 8 2 2 5 2" xfId="1743" xr:uid="{00000000-0005-0000-0000-0000C9060000}"/>
    <cellStyle name="20% - Accent2 8 2 2 6" xfId="1744" xr:uid="{00000000-0005-0000-0000-0000CA060000}"/>
    <cellStyle name="20% - Accent2 8 2 2 6 2" xfId="1745" xr:uid="{00000000-0005-0000-0000-0000CB060000}"/>
    <cellStyle name="20% - Accent2 8 2 2 7" xfId="1746" xr:uid="{00000000-0005-0000-0000-0000CC060000}"/>
    <cellStyle name="20% - Accent2 8 2 3" xfId="1747" xr:uid="{00000000-0005-0000-0000-0000CD060000}"/>
    <cellStyle name="20% - Accent2 8 2 3 2" xfId="1748" xr:uid="{00000000-0005-0000-0000-0000CE060000}"/>
    <cellStyle name="20% - Accent2 8 2 3 2 2" xfId="1749" xr:uid="{00000000-0005-0000-0000-0000CF060000}"/>
    <cellStyle name="20% - Accent2 8 2 3 3" xfId="1750" xr:uid="{00000000-0005-0000-0000-0000D0060000}"/>
    <cellStyle name="20% - Accent2 8 2 3 3 2" xfId="1751" xr:uid="{00000000-0005-0000-0000-0000D1060000}"/>
    <cellStyle name="20% - Accent2 8 2 3 4" xfId="1752" xr:uid="{00000000-0005-0000-0000-0000D2060000}"/>
    <cellStyle name="20% - Accent2 8 2 3 4 2" xfId="1753" xr:uid="{00000000-0005-0000-0000-0000D3060000}"/>
    <cellStyle name="20% - Accent2 8 2 3 5" xfId="1754" xr:uid="{00000000-0005-0000-0000-0000D4060000}"/>
    <cellStyle name="20% - Accent2 8 2 3 5 2" xfId="1755" xr:uid="{00000000-0005-0000-0000-0000D5060000}"/>
    <cellStyle name="20% - Accent2 8 2 3 6" xfId="1756" xr:uid="{00000000-0005-0000-0000-0000D6060000}"/>
    <cellStyle name="20% - Accent2 8 2 4" xfId="1757" xr:uid="{00000000-0005-0000-0000-0000D7060000}"/>
    <cellStyle name="20% - Accent2 8 2 4 2" xfId="1758" xr:uid="{00000000-0005-0000-0000-0000D8060000}"/>
    <cellStyle name="20% - Accent2 8 2 4 2 2" xfId="1759" xr:uid="{00000000-0005-0000-0000-0000D9060000}"/>
    <cellStyle name="20% - Accent2 8 2 4 3" xfId="1760" xr:uid="{00000000-0005-0000-0000-0000DA060000}"/>
    <cellStyle name="20% - Accent2 8 2 5" xfId="1761" xr:uid="{00000000-0005-0000-0000-0000DB060000}"/>
    <cellStyle name="20% - Accent2 8 2 5 2" xfId="1762" xr:uid="{00000000-0005-0000-0000-0000DC060000}"/>
    <cellStyle name="20% - Accent2 8 2 6" xfId="1763" xr:uid="{00000000-0005-0000-0000-0000DD060000}"/>
    <cellStyle name="20% - Accent2 8 2 6 2" xfId="1764" xr:uid="{00000000-0005-0000-0000-0000DE060000}"/>
    <cellStyle name="20% - Accent2 8 2 7" xfId="1765" xr:uid="{00000000-0005-0000-0000-0000DF060000}"/>
    <cellStyle name="20% - Accent2 8 2 7 2" xfId="1766" xr:uid="{00000000-0005-0000-0000-0000E0060000}"/>
    <cellStyle name="20% - Accent2 8 2 8" xfId="1767" xr:uid="{00000000-0005-0000-0000-0000E1060000}"/>
    <cellStyle name="20% - Accent2 8 3" xfId="1768" xr:uid="{00000000-0005-0000-0000-0000E2060000}"/>
    <cellStyle name="20% - Accent2 8 3 2" xfId="1769" xr:uid="{00000000-0005-0000-0000-0000E3060000}"/>
    <cellStyle name="20% - Accent2 8 3 2 2" xfId="1770" xr:uid="{00000000-0005-0000-0000-0000E4060000}"/>
    <cellStyle name="20% - Accent2 8 3 2 2 2" xfId="1771" xr:uid="{00000000-0005-0000-0000-0000E5060000}"/>
    <cellStyle name="20% - Accent2 8 3 2 3" xfId="1772" xr:uid="{00000000-0005-0000-0000-0000E6060000}"/>
    <cellStyle name="20% - Accent2 8 3 2 3 2" xfId="1773" xr:uid="{00000000-0005-0000-0000-0000E7060000}"/>
    <cellStyle name="20% - Accent2 8 3 2 4" xfId="1774" xr:uid="{00000000-0005-0000-0000-0000E8060000}"/>
    <cellStyle name="20% - Accent2 8 3 3" xfId="1775" xr:uid="{00000000-0005-0000-0000-0000E9060000}"/>
    <cellStyle name="20% - Accent2 8 3 3 2" xfId="1776" xr:uid="{00000000-0005-0000-0000-0000EA060000}"/>
    <cellStyle name="20% - Accent2 8 3 4" xfId="1777" xr:uid="{00000000-0005-0000-0000-0000EB060000}"/>
    <cellStyle name="20% - Accent2 8 3 4 2" xfId="1778" xr:uid="{00000000-0005-0000-0000-0000EC060000}"/>
    <cellStyle name="20% - Accent2 8 3 5" xfId="1779" xr:uid="{00000000-0005-0000-0000-0000ED060000}"/>
    <cellStyle name="20% - Accent2 8 3 5 2" xfId="1780" xr:uid="{00000000-0005-0000-0000-0000EE060000}"/>
    <cellStyle name="20% - Accent2 8 3 6" xfId="1781" xr:uid="{00000000-0005-0000-0000-0000EF060000}"/>
    <cellStyle name="20% - Accent2 8 3 6 2" xfId="1782" xr:uid="{00000000-0005-0000-0000-0000F0060000}"/>
    <cellStyle name="20% - Accent2 8 3 7" xfId="1783" xr:uid="{00000000-0005-0000-0000-0000F1060000}"/>
    <cellStyle name="20% - Accent2 8 4" xfId="1784" xr:uid="{00000000-0005-0000-0000-0000F2060000}"/>
    <cellStyle name="20% - Accent2 8 4 2" xfId="1785" xr:uid="{00000000-0005-0000-0000-0000F3060000}"/>
    <cellStyle name="20% - Accent2 8 4 2 2" xfId="1786" xr:uid="{00000000-0005-0000-0000-0000F4060000}"/>
    <cellStyle name="20% - Accent2 8 4 3" xfId="1787" xr:uid="{00000000-0005-0000-0000-0000F5060000}"/>
    <cellStyle name="20% - Accent2 8 4 3 2" xfId="1788" xr:uid="{00000000-0005-0000-0000-0000F6060000}"/>
    <cellStyle name="20% - Accent2 8 4 4" xfId="1789" xr:uid="{00000000-0005-0000-0000-0000F7060000}"/>
    <cellStyle name="20% - Accent2 8 4 4 2" xfId="1790" xr:uid="{00000000-0005-0000-0000-0000F8060000}"/>
    <cellStyle name="20% - Accent2 8 4 5" xfId="1791" xr:uid="{00000000-0005-0000-0000-0000F9060000}"/>
    <cellStyle name="20% - Accent2 8 4 5 2" xfId="1792" xr:uid="{00000000-0005-0000-0000-0000FA060000}"/>
    <cellStyle name="20% - Accent2 8 4 6" xfId="1793" xr:uid="{00000000-0005-0000-0000-0000FB060000}"/>
    <cellStyle name="20% - Accent2 8 5" xfId="1794" xr:uid="{00000000-0005-0000-0000-0000FC060000}"/>
    <cellStyle name="20% - Accent2 8 5 2" xfId="1795" xr:uid="{00000000-0005-0000-0000-0000FD060000}"/>
    <cellStyle name="20% - Accent2 8 5 2 2" xfId="1796" xr:uid="{00000000-0005-0000-0000-0000FE060000}"/>
    <cellStyle name="20% - Accent2 8 5 3" xfId="1797" xr:uid="{00000000-0005-0000-0000-0000FF060000}"/>
    <cellStyle name="20% - Accent2 8 6" xfId="1798" xr:uid="{00000000-0005-0000-0000-000000070000}"/>
    <cellStyle name="20% - Accent2 8 6 2" xfId="1799" xr:uid="{00000000-0005-0000-0000-000001070000}"/>
    <cellStyle name="20% - Accent2 8 7" xfId="1800" xr:uid="{00000000-0005-0000-0000-000002070000}"/>
    <cellStyle name="20% - Accent2 8 7 2" xfId="1801" xr:uid="{00000000-0005-0000-0000-000003070000}"/>
    <cellStyle name="20% - Accent2 8 8" xfId="1802" xr:uid="{00000000-0005-0000-0000-000004070000}"/>
    <cellStyle name="20% - Accent2 8 8 2" xfId="1803" xr:uid="{00000000-0005-0000-0000-000005070000}"/>
    <cellStyle name="20% - Accent2 8 9" xfId="1804" xr:uid="{00000000-0005-0000-0000-000006070000}"/>
    <cellStyle name="20% - Accent2 9" xfId="1805" xr:uid="{00000000-0005-0000-0000-000007070000}"/>
    <cellStyle name="20% - Accent2 9 2" xfId="1806" xr:uid="{00000000-0005-0000-0000-000008070000}"/>
    <cellStyle name="20% - Accent2 9 2 2" xfId="1807" xr:uid="{00000000-0005-0000-0000-000009070000}"/>
    <cellStyle name="20% - Accent2 9 2 2 2" xfId="1808" xr:uid="{00000000-0005-0000-0000-00000A070000}"/>
    <cellStyle name="20% - Accent2 9 2 2 2 2" xfId="1809" xr:uid="{00000000-0005-0000-0000-00000B070000}"/>
    <cellStyle name="20% - Accent2 9 2 2 3" xfId="1810" xr:uid="{00000000-0005-0000-0000-00000C070000}"/>
    <cellStyle name="20% - Accent2 9 2 3" xfId="1811" xr:uid="{00000000-0005-0000-0000-00000D070000}"/>
    <cellStyle name="20% - Accent2 9 2 3 2" xfId="1812" xr:uid="{00000000-0005-0000-0000-00000E070000}"/>
    <cellStyle name="20% - Accent2 9 2 4" xfId="1813" xr:uid="{00000000-0005-0000-0000-00000F070000}"/>
    <cellStyle name="20% - Accent2 9 3" xfId="1814" xr:uid="{00000000-0005-0000-0000-000010070000}"/>
    <cellStyle name="20% - Accent2 9 3 2" xfId="1815" xr:uid="{00000000-0005-0000-0000-000011070000}"/>
    <cellStyle name="20% - Accent2 9 3 2 2" xfId="1816" xr:uid="{00000000-0005-0000-0000-000012070000}"/>
    <cellStyle name="20% - Accent2 9 3 3" xfId="1817" xr:uid="{00000000-0005-0000-0000-000013070000}"/>
    <cellStyle name="20% - Accent2 9 4" xfId="1818" xr:uid="{00000000-0005-0000-0000-000014070000}"/>
    <cellStyle name="20% - Accent2 9 4 2" xfId="1819" xr:uid="{00000000-0005-0000-0000-000015070000}"/>
    <cellStyle name="20% - Accent2 9 5" xfId="1820" xr:uid="{00000000-0005-0000-0000-000016070000}"/>
    <cellStyle name="20% - Accent2 9 5 2" xfId="1821" xr:uid="{00000000-0005-0000-0000-000017070000}"/>
    <cellStyle name="20% - Accent2 9 6" xfId="1822" xr:uid="{00000000-0005-0000-0000-000018070000}"/>
    <cellStyle name="20% - Accent2 9 6 2" xfId="1823" xr:uid="{00000000-0005-0000-0000-000019070000}"/>
    <cellStyle name="20% - Accent2 9 7" xfId="1824" xr:uid="{00000000-0005-0000-0000-00001A070000}"/>
    <cellStyle name="20% - Accent3 10" xfId="1825" xr:uid="{00000000-0005-0000-0000-00001B070000}"/>
    <cellStyle name="20% - Accent3 10 2" xfId="1826" xr:uid="{00000000-0005-0000-0000-00001C070000}"/>
    <cellStyle name="20% - Accent3 10 2 2" xfId="1827" xr:uid="{00000000-0005-0000-0000-00001D070000}"/>
    <cellStyle name="20% - Accent3 10 2 2 2" xfId="1828" xr:uid="{00000000-0005-0000-0000-00001E070000}"/>
    <cellStyle name="20% - Accent3 10 2 2 2 2" xfId="1829" xr:uid="{00000000-0005-0000-0000-00001F070000}"/>
    <cellStyle name="20% - Accent3 10 2 2 3" xfId="1830" xr:uid="{00000000-0005-0000-0000-000020070000}"/>
    <cellStyle name="20% - Accent3 10 2 3" xfId="1831" xr:uid="{00000000-0005-0000-0000-000021070000}"/>
    <cellStyle name="20% - Accent3 10 2 3 2" xfId="1832" xr:uid="{00000000-0005-0000-0000-000022070000}"/>
    <cellStyle name="20% - Accent3 10 2 4" xfId="1833" xr:uid="{00000000-0005-0000-0000-000023070000}"/>
    <cellStyle name="20% - Accent3 10 3" xfId="1834" xr:uid="{00000000-0005-0000-0000-000024070000}"/>
    <cellStyle name="20% - Accent3 10 3 2" xfId="1835" xr:uid="{00000000-0005-0000-0000-000025070000}"/>
    <cellStyle name="20% - Accent3 10 3 2 2" xfId="1836" xr:uid="{00000000-0005-0000-0000-000026070000}"/>
    <cellStyle name="20% - Accent3 10 3 3" xfId="1837" xr:uid="{00000000-0005-0000-0000-000027070000}"/>
    <cellStyle name="20% - Accent3 10 4" xfId="1838" xr:uid="{00000000-0005-0000-0000-000028070000}"/>
    <cellStyle name="20% - Accent3 10 4 2" xfId="1839" xr:uid="{00000000-0005-0000-0000-000029070000}"/>
    <cellStyle name="20% - Accent3 10 5" xfId="1840" xr:uid="{00000000-0005-0000-0000-00002A070000}"/>
    <cellStyle name="20% - Accent3 11" xfId="1841" xr:uid="{00000000-0005-0000-0000-00002B070000}"/>
    <cellStyle name="20% - Accent3 11 2" xfId="1842" xr:uid="{00000000-0005-0000-0000-00002C070000}"/>
    <cellStyle name="20% - Accent3 11 2 2" xfId="1843" xr:uid="{00000000-0005-0000-0000-00002D070000}"/>
    <cellStyle name="20% - Accent3 11 2 2 2" xfId="1844" xr:uid="{00000000-0005-0000-0000-00002E070000}"/>
    <cellStyle name="20% - Accent3 11 2 2 2 2" xfId="1845" xr:uid="{00000000-0005-0000-0000-00002F070000}"/>
    <cellStyle name="20% - Accent3 11 2 2 3" xfId="1846" xr:uid="{00000000-0005-0000-0000-000030070000}"/>
    <cellStyle name="20% - Accent3 11 2 3" xfId="1847" xr:uid="{00000000-0005-0000-0000-000031070000}"/>
    <cellStyle name="20% - Accent3 11 2 3 2" xfId="1848" xr:uid="{00000000-0005-0000-0000-000032070000}"/>
    <cellStyle name="20% - Accent3 11 2 4" xfId="1849" xr:uid="{00000000-0005-0000-0000-000033070000}"/>
    <cellStyle name="20% - Accent3 11 3" xfId="1850" xr:uid="{00000000-0005-0000-0000-000034070000}"/>
    <cellStyle name="20% - Accent3 11 3 2" xfId="1851" xr:uid="{00000000-0005-0000-0000-000035070000}"/>
    <cellStyle name="20% - Accent3 11 3 2 2" xfId="1852" xr:uid="{00000000-0005-0000-0000-000036070000}"/>
    <cellStyle name="20% - Accent3 11 3 3" xfId="1853" xr:uid="{00000000-0005-0000-0000-000037070000}"/>
    <cellStyle name="20% - Accent3 11 4" xfId="1854" xr:uid="{00000000-0005-0000-0000-000038070000}"/>
    <cellStyle name="20% - Accent3 11 4 2" xfId="1855" xr:uid="{00000000-0005-0000-0000-000039070000}"/>
    <cellStyle name="20% - Accent3 11 5" xfId="1856" xr:uid="{00000000-0005-0000-0000-00003A070000}"/>
    <cellStyle name="20% - Accent3 12" xfId="1857" xr:uid="{00000000-0005-0000-0000-00003B070000}"/>
    <cellStyle name="20% - Accent3 12 2" xfId="1858" xr:uid="{00000000-0005-0000-0000-00003C070000}"/>
    <cellStyle name="20% - Accent3 13" xfId="1859" xr:uid="{00000000-0005-0000-0000-00003D070000}"/>
    <cellStyle name="20% - Accent3 13 2" xfId="1860" xr:uid="{00000000-0005-0000-0000-00003E070000}"/>
    <cellStyle name="20% - Accent3 13 2 2" xfId="1861" xr:uid="{00000000-0005-0000-0000-00003F070000}"/>
    <cellStyle name="20% - Accent3 13 2 2 2" xfId="1862" xr:uid="{00000000-0005-0000-0000-000040070000}"/>
    <cellStyle name="20% - Accent3 13 2 3" xfId="1863" xr:uid="{00000000-0005-0000-0000-000041070000}"/>
    <cellStyle name="20% - Accent3 13 3" xfId="1864" xr:uid="{00000000-0005-0000-0000-000042070000}"/>
    <cellStyle name="20% - Accent3 13 3 2" xfId="1865" xr:uid="{00000000-0005-0000-0000-000043070000}"/>
    <cellStyle name="20% - Accent3 13 4" xfId="1866" xr:uid="{00000000-0005-0000-0000-000044070000}"/>
    <cellStyle name="20% - Accent3 14" xfId="1867" xr:uid="{00000000-0005-0000-0000-000045070000}"/>
    <cellStyle name="20% - Accent3 14 2" xfId="1868" xr:uid="{00000000-0005-0000-0000-000046070000}"/>
    <cellStyle name="20% - Accent3 2" xfId="1869" xr:uid="{00000000-0005-0000-0000-000047070000}"/>
    <cellStyle name="20% - Accent3 2 2" xfId="1870" xr:uid="{00000000-0005-0000-0000-000048070000}"/>
    <cellStyle name="20% - Accent3 2 2 2" xfId="1871" xr:uid="{00000000-0005-0000-0000-000049070000}"/>
    <cellStyle name="20% - Accent3 2 2 3" xfId="1872" xr:uid="{00000000-0005-0000-0000-00004A070000}"/>
    <cellStyle name="20% - Accent3 2 2 3 2" xfId="1873" xr:uid="{00000000-0005-0000-0000-00004B070000}"/>
    <cellStyle name="20% - Accent3 2 3" xfId="1874" xr:uid="{00000000-0005-0000-0000-00004C070000}"/>
    <cellStyle name="20% - Accent3 2 3 2" xfId="1875" xr:uid="{00000000-0005-0000-0000-00004D070000}"/>
    <cellStyle name="20% - Accent3 2 4" xfId="1876" xr:uid="{00000000-0005-0000-0000-00004E070000}"/>
    <cellStyle name="20% - Accent3 2 4 2" xfId="1877" xr:uid="{00000000-0005-0000-0000-00004F070000}"/>
    <cellStyle name="20% - Accent3 2 4 3" xfId="1878" xr:uid="{00000000-0005-0000-0000-000050070000}"/>
    <cellStyle name="20% - Accent3 2 5" xfId="1879" xr:uid="{00000000-0005-0000-0000-000051070000}"/>
    <cellStyle name="20% - Accent3 3" xfId="1880" xr:uid="{00000000-0005-0000-0000-000052070000}"/>
    <cellStyle name="20% - Accent3 3 2" xfId="1881" xr:uid="{00000000-0005-0000-0000-000053070000}"/>
    <cellStyle name="20% - Accent3 3 2 2" xfId="1882" xr:uid="{00000000-0005-0000-0000-000054070000}"/>
    <cellStyle name="20% - Accent3 3 2 2 2" xfId="1883" xr:uid="{00000000-0005-0000-0000-000055070000}"/>
    <cellStyle name="20% - Accent3 3 2 2 2 2" xfId="1884" xr:uid="{00000000-0005-0000-0000-000056070000}"/>
    <cellStyle name="20% - Accent3 3 2 2 3" xfId="1885" xr:uid="{00000000-0005-0000-0000-000057070000}"/>
    <cellStyle name="20% - Accent3 3 2 2 3 2" xfId="1886" xr:uid="{00000000-0005-0000-0000-000058070000}"/>
    <cellStyle name="20% - Accent3 3 2 2 4" xfId="1887" xr:uid="{00000000-0005-0000-0000-000059070000}"/>
    <cellStyle name="20% - Accent3 3 2 3" xfId="1888" xr:uid="{00000000-0005-0000-0000-00005A070000}"/>
    <cellStyle name="20% - Accent3 3 2 3 2" xfId="1889" xr:uid="{00000000-0005-0000-0000-00005B070000}"/>
    <cellStyle name="20% - Accent3 3 2 4" xfId="1890" xr:uid="{00000000-0005-0000-0000-00005C070000}"/>
    <cellStyle name="20% - Accent3 3 2 4 2" xfId="1891" xr:uid="{00000000-0005-0000-0000-00005D070000}"/>
    <cellStyle name="20% - Accent3 3 2 5" xfId="1892" xr:uid="{00000000-0005-0000-0000-00005E070000}"/>
    <cellStyle name="20% - Accent3 3 3" xfId="1893" xr:uid="{00000000-0005-0000-0000-00005F070000}"/>
    <cellStyle name="20% - Accent3 3 3 2" xfId="1894" xr:uid="{00000000-0005-0000-0000-000060070000}"/>
    <cellStyle name="20% - Accent3 3 3 3" xfId="1895" xr:uid="{00000000-0005-0000-0000-000061070000}"/>
    <cellStyle name="20% - Accent3 3 3 3 2" xfId="1896" xr:uid="{00000000-0005-0000-0000-000062070000}"/>
    <cellStyle name="20% - Accent3 3 3 4" xfId="1897" xr:uid="{00000000-0005-0000-0000-000063070000}"/>
    <cellStyle name="20% - Accent3 3 4" xfId="1898" xr:uid="{00000000-0005-0000-0000-000064070000}"/>
    <cellStyle name="20% - Accent3 3 4 2" xfId="1899" xr:uid="{00000000-0005-0000-0000-000065070000}"/>
    <cellStyle name="20% - Accent3 3 5" xfId="1900" xr:uid="{00000000-0005-0000-0000-000066070000}"/>
    <cellStyle name="20% - Accent3 3 5 2" xfId="1901" xr:uid="{00000000-0005-0000-0000-000067070000}"/>
    <cellStyle name="20% - Accent3 3 6" xfId="1902" xr:uid="{00000000-0005-0000-0000-000068070000}"/>
    <cellStyle name="20% - Accent3 3 6 2" xfId="1903" xr:uid="{00000000-0005-0000-0000-000069070000}"/>
    <cellStyle name="20% - Accent3 3 7" xfId="1904" xr:uid="{00000000-0005-0000-0000-00006A070000}"/>
    <cellStyle name="20% - Accent3 3 7 2" xfId="1905" xr:uid="{00000000-0005-0000-0000-00006B070000}"/>
    <cellStyle name="20% - Accent3 3 8" xfId="1906" xr:uid="{00000000-0005-0000-0000-00006C070000}"/>
    <cellStyle name="20% - Accent3 3 8 2" xfId="1907" xr:uid="{00000000-0005-0000-0000-00006D070000}"/>
    <cellStyle name="20% - Accent3 4" xfId="1908" xr:uid="{00000000-0005-0000-0000-00006E070000}"/>
    <cellStyle name="20% - Accent3 4 10" xfId="1909" xr:uid="{00000000-0005-0000-0000-00006F070000}"/>
    <cellStyle name="20% - Accent3 4 10 2" xfId="1910" xr:uid="{00000000-0005-0000-0000-000070070000}"/>
    <cellStyle name="20% - Accent3 4 11" xfId="1911" xr:uid="{00000000-0005-0000-0000-000071070000}"/>
    <cellStyle name="20% - Accent3 4 11 2" xfId="1912" xr:uid="{00000000-0005-0000-0000-000072070000}"/>
    <cellStyle name="20% - Accent3 4 12" xfId="1913" xr:uid="{00000000-0005-0000-0000-000073070000}"/>
    <cellStyle name="20% - Accent3 4 12 2" xfId="1914" xr:uid="{00000000-0005-0000-0000-000074070000}"/>
    <cellStyle name="20% - Accent3 4 13" xfId="1915" xr:uid="{00000000-0005-0000-0000-000075070000}"/>
    <cellStyle name="20% - Accent3 4 2" xfId="1916" xr:uid="{00000000-0005-0000-0000-000076070000}"/>
    <cellStyle name="20% - Accent3 4 2 10" xfId="1917" xr:uid="{00000000-0005-0000-0000-000077070000}"/>
    <cellStyle name="20% - Accent3 4 2 10 2" xfId="1918" xr:uid="{00000000-0005-0000-0000-000078070000}"/>
    <cellStyle name="20% - Accent3 4 2 11" xfId="1919" xr:uid="{00000000-0005-0000-0000-000079070000}"/>
    <cellStyle name="20% - Accent3 4 2 2" xfId="1920" xr:uid="{00000000-0005-0000-0000-00007A070000}"/>
    <cellStyle name="20% - Accent3 4 2 2 10" xfId="1921" xr:uid="{00000000-0005-0000-0000-00007B070000}"/>
    <cellStyle name="20% - Accent3 4 2 2 2" xfId="1922" xr:uid="{00000000-0005-0000-0000-00007C070000}"/>
    <cellStyle name="20% - Accent3 4 2 2 2 2" xfId="1923" xr:uid="{00000000-0005-0000-0000-00007D070000}"/>
    <cellStyle name="20% - Accent3 4 2 2 2 2 2" xfId="1924" xr:uid="{00000000-0005-0000-0000-00007E070000}"/>
    <cellStyle name="20% - Accent3 4 2 2 2 2 2 2" xfId="1925" xr:uid="{00000000-0005-0000-0000-00007F070000}"/>
    <cellStyle name="20% - Accent3 4 2 2 2 2 2 2 2" xfId="1926" xr:uid="{00000000-0005-0000-0000-000080070000}"/>
    <cellStyle name="20% - Accent3 4 2 2 2 2 2 3" xfId="1927" xr:uid="{00000000-0005-0000-0000-000081070000}"/>
    <cellStyle name="20% - Accent3 4 2 2 2 2 2 3 2" xfId="1928" xr:uid="{00000000-0005-0000-0000-000082070000}"/>
    <cellStyle name="20% - Accent3 4 2 2 2 2 2 4" xfId="1929" xr:uid="{00000000-0005-0000-0000-000083070000}"/>
    <cellStyle name="20% - Accent3 4 2 2 2 2 3" xfId="1930" xr:uid="{00000000-0005-0000-0000-000084070000}"/>
    <cellStyle name="20% - Accent3 4 2 2 2 2 3 2" xfId="1931" xr:uid="{00000000-0005-0000-0000-000085070000}"/>
    <cellStyle name="20% - Accent3 4 2 2 2 2 4" xfId="1932" xr:uid="{00000000-0005-0000-0000-000086070000}"/>
    <cellStyle name="20% - Accent3 4 2 2 2 2 4 2" xfId="1933" xr:uid="{00000000-0005-0000-0000-000087070000}"/>
    <cellStyle name="20% - Accent3 4 2 2 2 2 5" xfId="1934" xr:uid="{00000000-0005-0000-0000-000088070000}"/>
    <cellStyle name="20% - Accent3 4 2 2 2 2 5 2" xfId="1935" xr:uid="{00000000-0005-0000-0000-000089070000}"/>
    <cellStyle name="20% - Accent3 4 2 2 2 2 6" xfId="1936" xr:uid="{00000000-0005-0000-0000-00008A070000}"/>
    <cellStyle name="20% - Accent3 4 2 2 2 2 6 2" xfId="1937" xr:uid="{00000000-0005-0000-0000-00008B070000}"/>
    <cellStyle name="20% - Accent3 4 2 2 2 2 7" xfId="1938" xr:uid="{00000000-0005-0000-0000-00008C070000}"/>
    <cellStyle name="20% - Accent3 4 2 2 2 3" xfId="1939" xr:uid="{00000000-0005-0000-0000-00008D070000}"/>
    <cellStyle name="20% - Accent3 4 2 2 2 3 2" xfId="1940" xr:uid="{00000000-0005-0000-0000-00008E070000}"/>
    <cellStyle name="20% - Accent3 4 2 2 2 3 2 2" xfId="1941" xr:uid="{00000000-0005-0000-0000-00008F070000}"/>
    <cellStyle name="20% - Accent3 4 2 2 2 3 3" xfId="1942" xr:uid="{00000000-0005-0000-0000-000090070000}"/>
    <cellStyle name="20% - Accent3 4 2 2 2 3 3 2" xfId="1943" xr:uid="{00000000-0005-0000-0000-000091070000}"/>
    <cellStyle name="20% - Accent3 4 2 2 2 3 4" xfId="1944" xr:uid="{00000000-0005-0000-0000-000092070000}"/>
    <cellStyle name="20% - Accent3 4 2 2 2 3 4 2" xfId="1945" xr:uid="{00000000-0005-0000-0000-000093070000}"/>
    <cellStyle name="20% - Accent3 4 2 2 2 3 5" xfId="1946" xr:uid="{00000000-0005-0000-0000-000094070000}"/>
    <cellStyle name="20% - Accent3 4 2 2 2 3 5 2" xfId="1947" xr:uid="{00000000-0005-0000-0000-000095070000}"/>
    <cellStyle name="20% - Accent3 4 2 2 2 3 6" xfId="1948" xr:uid="{00000000-0005-0000-0000-000096070000}"/>
    <cellStyle name="20% - Accent3 4 2 2 2 4" xfId="1949" xr:uid="{00000000-0005-0000-0000-000097070000}"/>
    <cellStyle name="20% - Accent3 4 2 2 2 4 2" xfId="1950" xr:uid="{00000000-0005-0000-0000-000098070000}"/>
    <cellStyle name="20% - Accent3 4 2 2 2 4 2 2" xfId="1951" xr:uid="{00000000-0005-0000-0000-000099070000}"/>
    <cellStyle name="20% - Accent3 4 2 2 2 4 3" xfId="1952" xr:uid="{00000000-0005-0000-0000-00009A070000}"/>
    <cellStyle name="20% - Accent3 4 2 2 2 5" xfId="1953" xr:uid="{00000000-0005-0000-0000-00009B070000}"/>
    <cellStyle name="20% - Accent3 4 2 2 2 5 2" xfId="1954" xr:uid="{00000000-0005-0000-0000-00009C070000}"/>
    <cellStyle name="20% - Accent3 4 2 2 2 6" xfId="1955" xr:uid="{00000000-0005-0000-0000-00009D070000}"/>
    <cellStyle name="20% - Accent3 4 2 2 2 6 2" xfId="1956" xr:uid="{00000000-0005-0000-0000-00009E070000}"/>
    <cellStyle name="20% - Accent3 4 2 2 2 7" xfId="1957" xr:uid="{00000000-0005-0000-0000-00009F070000}"/>
    <cellStyle name="20% - Accent3 4 2 2 2 7 2" xfId="1958" xr:uid="{00000000-0005-0000-0000-0000A0070000}"/>
    <cellStyle name="20% - Accent3 4 2 2 2 8" xfId="1959" xr:uid="{00000000-0005-0000-0000-0000A1070000}"/>
    <cellStyle name="20% - Accent3 4 2 2 3" xfId="1960" xr:uid="{00000000-0005-0000-0000-0000A2070000}"/>
    <cellStyle name="20% - Accent3 4 2 2 3 2" xfId="1961" xr:uid="{00000000-0005-0000-0000-0000A3070000}"/>
    <cellStyle name="20% - Accent3 4 2 2 3 2 2" xfId="1962" xr:uid="{00000000-0005-0000-0000-0000A4070000}"/>
    <cellStyle name="20% - Accent3 4 2 2 3 2 2 2" xfId="1963" xr:uid="{00000000-0005-0000-0000-0000A5070000}"/>
    <cellStyle name="20% - Accent3 4 2 2 3 2 2 2 2" xfId="1964" xr:uid="{00000000-0005-0000-0000-0000A6070000}"/>
    <cellStyle name="20% - Accent3 4 2 2 3 2 2 3" xfId="1965" xr:uid="{00000000-0005-0000-0000-0000A7070000}"/>
    <cellStyle name="20% - Accent3 4 2 2 3 2 2 3 2" xfId="1966" xr:uid="{00000000-0005-0000-0000-0000A8070000}"/>
    <cellStyle name="20% - Accent3 4 2 2 3 2 2 4" xfId="1967" xr:uid="{00000000-0005-0000-0000-0000A9070000}"/>
    <cellStyle name="20% - Accent3 4 2 2 3 2 3" xfId="1968" xr:uid="{00000000-0005-0000-0000-0000AA070000}"/>
    <cellStyle name="20% - Accent3 4 2 2 3 2 3 2" xfId="1969" xr:uid="{00000000-0005-0000-0000-0000AB070000}"/>
    <cellStyle name="20% - Accent3 4 2 2 3 2 4" xfId="1970" xr:uid="{00000000-0005-0000-0000-0000AC070000}"/>
    <cellStyle name="20% - Accent3 4 2 2 3 2 4 2" xfId="1971" xr:uid="{00000000-0005-0000-0000-0000AD070000}"/>
    <cellStyle name="20% - Accent3 4 2 2 3 2 5" xfId="1972" xr:uid="{00000000-0005-0000-0000-0000AE070000}"/>
    <cellStyle name="20% - Accent3 4 2 2 3 2 5 2" xfId="1973" xr:uid="{00000000-0005-0000-0000-0000AF070000}"/>
    <cellStyle name="20% - Accent3 4 2 2 3 2 6" xfId="1974" xr:uid="{00000000-0005-0000-0000-0000B0070000}"/>
    <cellStyle name="20% - Accent3 4 2 2 3 2 6 2" xfId="1975" xr:uid="{00000000-0005-0000-0000-0000B1070000}"/>
    <cellStyle name="20% - Accent3 4 2 2 3 2 7" xfId="1976" xr:uid="{00000000-0005-0000-0000-0000B2070000}"/>
    <cellStyle name="20% - Accent3 4 2 2 3 3" xfId="1977" xr:uid="{00000000-0005-0000-0000-0000B3070000}"/>
    <cellStyle name="20% - Accent3 4 2 2 3 3 2" xfId="1978" xr:uid="{00000000-0005-0000-0000-0000B4070000}"/>
    <cellStyle name="20% - Accent3 4 2 2 3 3 2 2" xfId="1979" xr:uid="{00000000-0005-0000-0000-0000B5070000}"/>
    <cellStyle name="20% - Accent3 4 2 2 3 3 3" xfId="1980" xr:uid="{00000000-0005-0000-0000-0000B6070000}"/>
    <cellStyle name="20% - Accent3 4 2 2 3 3 3 2" xfId="1981" xr:uid="{00000000-0005-0000-0000-0000B7070000}"/>
    <cellStyle name="20% - Accent3 4 2 2 3 3 4" xfId="1982" xr:uid="{00000000-0005-0000-0000-0000B8070000}"/>
    <cellStyle name="20% - Accent3 4 2 2 3 3 4 2" xfId="1983" xr:uid="{00000000-0005-0000-0000-0000B9070000}"/>
    <cellStyle name="20% - Accent3 4 2 2 3 3 5" xfId="1984" xr:uid="{00000000-0005-0000-0000-0000BA070000}"/>
    <cellStyle name="20% - Accent3 4 2 2 3 3 5 2" xfId="1985" xr:uid="{00000000-0005-0000-0000-0000BB070000}"/>
    <cellStyle name="20% - Accent3 4 2 2 3 3 6" xfId="1986" xr:uid="{00000000-0005-0000-0000-0000BC070000}"/>
    <cellStyle name="20% - Accent3 4 2 2 3 4" xfId="1987" xr:uid="{00000000-0005-0000-0000-0000BD070000}"/>
    <cellStyle name="20% - Accent3 4 2 2 3 4 2" xfId="1988" xr:uid="{00000000-0005-0000-0000-0000BE070000}"/>
    <cellStyle name="20% - Accent3 4 2 2 3 4 2 2" xfId="1989" xr:uid="{00000000-0005-0000-0000-0000BF070000}"/>
    <cellStyle name="20% - Accent3 4 2 2 3 4 3" xfId="1990" xr:uid="{00000000-0005-0000-0000-0000C0070000}"/>
    <cellStyle name="20% - Accent3 4 2 2 3 5" xfId="1991" xr:uid="{00000000-0005-0000-0000-0000C1070000}"/>
    <cellStyle name="20% - Accent3 4 2 2 3 5 2" xfId="1992" xr:uid="{00000000-0005-0000-0000-0000C2070000}"/>
    <cellStyle name="20% - Accent3 4 2 2 3 6" xfId="1993" xr:uid="{00000000-0005-0000-0000-0000C3070000}"/>
    <cellStyle name="20% - Accent3 4 2 2 3 6 2" xfId="1994" xr:uid="{00000000-0005-0000-0000-0000C4070000}"/>
    <cellStyle name="20% - Accent3 4 2 2 3 7" xfId="1995" xr:uid="{00000000-0005-0000-0000-0000C5070000}"/>
    <cellStyle name="20% - Accent3 4 2 2 3 7 2" xfId="1996" xr:uid="{00000000-0005-0000-0000-0000C6070000}"/>
    <cellStyle name="20% - Accent3 4 2 2 3 8" xfId="1997" xr:uid="{00000000-0005-0000-0000-0000C7070000}"/>
    <cellStyle name="20% - Accent3 4 2 2 4" xfId="1998" xr:uid="{00000000-0005-0000-0000-0000C8070000}"/>
    <cellStyle name="20% - Accent3 4 2 2 4 2" xfId="1999" xr:uid="{00000000-0005-0000-0000-0000C9070000}"/>
    <cellStyle name="20% - Accent3 4 2 2 4 2 2" xfId="2000" xr:uid="{00000000-0005-0000-0000-0000CA070000}"/>
    <cellStyle name="20% - Accent3 4 2 2 4 2 2 2" xfId="2001" xr:uid="{00000000-0005-0000-0000-0000CB070000}"/>
    <cellStyle name="20% - Accent3 4 2 2 4 2 3" xfId="2002" xr:uid="{00000000-0005-0000-0000-0000CC070000}"/>
    <cellStyle name="20% - Accent3 4 2 2 4 2 3 2" xfId="2003" xr:uid="{00000000-0005-0000-0000-0000CD070000}"/>
    <cellStyle name="20% - Accent3 4 2 2 4 2 4" xfId="2004" xr:uid="{00000000-0005-0000-0000-0000CE070000}"/>
    <cellStyle name="20% - Accent3 4 2 2 4 3" xfId="2005" xr:uid="{00000000-0005-0000-0000-0000CF070000}"/>
    <cellStyle name="20% - Accent3 4 2 2 4 3 2" xfId="2006" xr:uid="{00000000-0005-0000-0000-0000D0070000}"/>
    <cellStyle name="20% - Accent3 4 2 2 4 4" xfId="2007" xr:uid="{00000000-0005-0000-0000-0000D1070000}"/>
    <cellStyle name="20% - Accent3 4 2 2 4 4 2" xfId="2008" xr:uid="{00000000-0005-0000-0000-0000D2070000}"/>
    <cellStyle name="20% - Accent3 4 2 2 4 5" xfId="2009" xr:uid="{00000000-0005-0000-0000-0000D3070000}"/>
    <cellStyle name="20% - Accent3 4 2 2 4 5 2" xfId="2010" xr:uid="{00000000-0005-0000-0000-0000D4070000}"/>
    <cellStyle name="20% - Accent3 4 2 2 4 6" xfId="2011" xr:uid="{00000000-0005-0000-0000-0000D5070000}"/>
    <cellStyle name="20% - Accent3 4 2 2 4 6 2" xfId="2012" xr:uid="{00000000-0005-0000-0000-0000D6070000}"/>
    <cellStyle name="20% - Accent3 4 2 2 4 7" xfId="2013" xr:uid="{00000000-0005-0000-0000-0000D7070000}"/>
    <cellStyle name="20% - Accent3 4 2 2 5" xfId="2014" xr:uid="{00000000-0005-0000-0000-0000D8070000}"/>
    <cellStyle name="20% - Accent3 4 2 2 5 2" xfId="2015" xr:uid="{00000000-0005-0000-0000-0000D9070000}"/>
    <cellStyle name="20% - Accent3 4 2 2 5 2 2" xfId="2016" xr:uid="{00000000-0005-0000-0000-0000DA070000}"/>
    <cellStyle name="20% - Accent3 4 2 2 5 3" xfId="2017" xr:uid="{00000000-0005-0000-0000-0000DB070000}"/>
    <cellStyle name="20% - Accent3 4 2 2 5 3 2" xfId="2018" xr:uid="{00000000-0005-0000-0000-0000DC070000}"/>
    <cellStyle name="20% - Accent3 4 2 2 5 4" xfId="2019" xr:uid="{00000000-0005-0000-0000-0000DD070000}"/>
    <cellStyle name="20% - Accent3 4 2 2 5 4 2" xfId="2020" xr:uid="{00000000-0005-0000-0000-0000DE070000}"/>
    <cellStyle name="20% - Accent3 4 2 2 5 5" xfId="2021" xr:uid="{00000000-0005-0000-0000-0000DF070000}"/>
    <cellStyle name="20% - Accent3 4 2 2 5 5 2" xfId="2022" xr:uid="{00000000-0005-0000-0000-0000E0070000}"/>
    <cellStyle name="20% - Accent3 4 2 2 5 6" xfId="2023" xr:uid="{00000000-0005-0000-0000-0000E1070000}"/>
    <cellStyle name="20% - Accent3 4 2 2 6" xfId="2024" xr:uid="{00000000-0005-0000-0000-0000E2070000}"/>
    <cellStyle name="20% - Accent3 4 2 2 6 2" xfId="2025" xr:uid="{00000000-0005-0000-0000-0000E3070000}"/>
    <cellStyle name="20% - Accent3 4 2 2 6 2 2" xfId="2026" xr:uid="{00000000-0005-0000-0000-0000E4070000}"/>
    <cellStyle name="20% - Accent3 4 2 2 6 3" xfId="2027" xr:uid="{00000000-0005-0000-0000-0000E5070000}"/>
    <cellStyle name="20% - Accent3 4 2 2 7" xfId="2028" xr:uid="{00000000-0005-0000-0000-0000E6070000}"/>
    <cellStyle name="20% - Accent3 4 2 2 7 2" xfId="2029" xr:uid="{00000000-0005-0000-0000-0000E7070000}"/>
    <cellStyle name="20% - Accent3 4 2 2 8" xfId="2030" xr:uid="{00000000-0005-0000-0000-0000E8070000}"/>
    <cellStyle name="20% - Accent3 4 2 2 8 2" xfId="2031" xr:uid="{00000000-0005-0000-0000-0000E9070000}"/>
    <cellStyle name="20% - Accent3 4 2 2 9" xfId="2032" xr:uid="{00000000-0005-0000-0000-0000EA070000}"/>
    <cellStyle name="20% - Accent3 4 2 2 9 2" xfId="2033" xr:uid="{00000000-0005-0000-0000-0000EB070000}"/>
    <cellStyle name="20% - Accent3 4 2 3" xfId="2034" xr:uid="{00000000-0005-0000-0000-0000EC070000}"/>
    <cellStyle name="20% - Accent3 4 2 3 2" xfId="2035" xr:uid="{00000000-0005-0000-0000-0000ED070000}"/>
    <cellStyle name="20% - Accent3 4 2 3 2 2" xfId="2036" xr:uid="{00000000-0005-0000-0000-0000EE070000}"/>
    <cellStyle name="20% - Accent3 4 2 3 2 2 2" xfId="2037" xr:uid="{00000000-0005-0000-0000-0000EF070000}"/>
    <cellStyle name="20% - Accent3 4 2 3 2 2 2 2" xfId="2038" xr:uid="{00000000-0005-0000-0000-0000F0070000}"/>
    <cellStyle name="20% - Accent3 4 2 3 2 2 3" xfId="2039" xr:uid="{00000000-0005-0000-0000-0000F1070000}"/>
    <cellStyle name="20% - Accent3 4 2 3 2 2 3 2" xfId="2040" xr:uid="{00000000-0005-0000-0000-0000F2070000}"/>
    <cellStyle name="20% - Accent3 4 2 3 2 2 4" xfId="2041" xr:uid="{00000000-0005-0000-0000-0000F3070000}"/>
    <cellStyle name="20% - Accent3 4 2 3 2 3" xfId="2042" xr:uid="{00000000-0005-0000-0000-0000F4070000}"/>
    <cellStyle name="20% - Accent3 4 2 3 2 3 2" xfId="2043" xr:uid="{00000000-0005-0000-0000-0000F5070000}"/>
    <cellStyle name="20% - Accent3 4 2 3 2 4" xfId="2044" xr:uid="{00000000-0005-0000-0000-0000F6070000}"/>
    <cellStyle name="20% - Accent3 4 2 3 2 4 2" xfId="2045" xr:uid="{00000000-0005-0000-0000-0000F7070000}"/>
    <cellStyle name="20% - Accent3 4 2 3 2 5" xfId="2046" xr:uid="{00000000-0005-0000-0000-0000F8070000}"/>
    <cellStyle name="20% - Accent3 4 2 3 2 5 2" xfId="2047" xr:uid="{00000000-0005-0000-0000-0000F9070000}"/>
    <cellStyle name="20% - Accent3 4 2 3 2 6" xfId="2048" xr:uid="{00000000-0005-0000-0000-0000FA070000}"/>
    <cellStyle name="20% - Accent3 4 2 3 2 6 2" xfId="2049" xr:uid="{00000000-0005-0000-0000-0000FB070000}"/>
    <cellStyle name="20% - Accent3 4 2 3 2 7" xfId="2050" xr:uid="{00000000-0005-0000-0000-0000FC070000}"/>
    <cellStyle name="20% - Accent3 4 2 3 3" xfId="2051" xr:uid="{00000000-0005-0000-0000-0000FD070000}"/>
    <cellStyle name="20% - Accent3 4 2 3 3 2" xfId="2052" xr:uid="{00000000-0005-0000-0000-0000FE070000}"/>
    <cellStyle name="20% - Accent3 4 2 3 3 2 2" xfId="2053" xr:uid="{00000000-0005-0000-0000-0000FF070000}"/>
    <cellStyle name="20% - Accent3 4 2 3 3 3" xfId="2054" xr:uid="{00000000-0005-0000-0000-000000080000}"/>
    <cellStyle name="20% - Accent3 4 2 3 3 3 2" xfId="2055" xr:uid="{00000000-0005-0000-0000-000001080000}"/>
    <cellStyle name="20% - Accent3 4 2 3 3 4" xfId="2056" xr:uid="{00000000-0005-0000-0000-000002080000}"/>
    <cellStyle name="20% - Accent3 4 2 3 3 4 2" xfId="2057" xr:uid="{00000000-0005-0000-0000-000003080000}"/>
    <cellStyle name="20% - Accent3 4 2 3 3 5" xfId="2058" xr:uid="{00000000-0005-0000-0000-000004080000}"/>
    <cellStyle name="20% - Accent3 4 2 3 3 5 2" xfId="2059" xr:uid="{00000000-0005-0000-0000-000005080000}"/>
    <cellStyle name="20% - Accent3 4 2 3 3 6" xfId="2060" xr:uid="{00000000-0005-0000-0000-000006080000}"/>
    <cellStyle name="20% - Accent3 4 2 3 4" xfId="2061" xr:uid="{00000000-0005-0000-0000-000007080000}"/>
    <cellStyle name="20% - Accent3 4 2 3 4 2" xfId="2062" xr:uid="{00000000-0005-0000-0000-000008080000}"/>
    <cellStyle name="20% - Accent3 4 2 3 4 2 2" xfId="2063" xr:uid="{00000000-0005-0000-0000-000009080000}"/>
    <cellStyle name="20% - Accent3 4 2 3 4 3" xfId="2064" xr:uid="{00000000-0005-0000-0000-00000A080000}"/>
    <cellStyle name="20% - Accent3 4 2 3 5" xfId="2065" xr:uid="{00000000-0005-0000-0000-00000B080000}"/>
    <cellStyle name="20% - Accent3 4 2 3 5 2" xfId="2066" xr:uid="{00000000-0005-0000-0000-00000C080000}"/>
    <cellStyle name="20% - Accent3 4 2 3 6" xfId="2067" xr:uid="{00000000-0005-0000-0000-00000D080000}"/>
    <cellStyle name="20% - Accent3 4 2 3 6 2" xfId="2068" xr:uid="{00000000-0005-0000-0000-00000E080000}"/>
    <cellStyle name="20% - Accent3 4 2 3 7" xfId="2069" xr:uid="{00000000-0005-0000-0000-00000F080000}"/>
    <cellStyle name="20% - Accent3 4 2 3 7 2" xfId="2070" xr:uid="{00000000-0005-0000-0000-000010080000}"/>
    <cellStyle name="20% - Accent3 4 2 3 8" xfId="2071" xr:uid="{00000000-0005-0000-0000-000011080000}"/>
    <cellStyle name="20% - Accent3 4 2 4" xfId="2072" xr:uid="{00000000-0005-0000-0000-000012080000}"/>
    <cellStyle name="20% - Accent3 4 2 4 2" xfId="2073" xr:uid="{00000000-0005-0000-0000-000013080000}"/>
    <cellStyle name="20% - Accent3 4 2 4 2 2" xfId="2074" xr:uid="{00000000-0005-0000-0000-000014080000}"/>
    <cellStyle name="20% - Accent3 4 2 4 2 2 2" xfId="2075" xr:uid="{00000000-0005-0000-0000-000015080000}"/>
    <cellStyle name="20% - Accent3 4 2 4 2 2 2 2" xfId="2076" xr:uid="{00000000-0005-0000-0000-000016080000}"/>
    <cellStyle name="20% - Accent3 4 2 4 2 2 3" xfId="2077" xr:uid="{00000000-0005-0000-0000-000017080000}"/>
    <cellStyle name="20% - Accent3 4 2 4 2 2 3 2" xfId="2078" xr:uid="{00000000-0005-0000-0000-000018080000}"/>
    <cellStyle name="20% - Accent3 4 2 4 2 2 4" xfId="2079" xr:uid="{00000000-0005-0000-0000-000019080000}"/>
    <cellStyle name="20% - Accent3 4 2 4 2 3" xfId="2080" xr:uid="{00000000-0005-0000-0000-00001A080000}"/>
    <cellStyle name="20% - Accent3 4 2 4 2 3 2" xfId="2081" xr:uid="{00000000-0005-0000-0000-00001B080000}"/>
    <cellStyle name="20% - Accent3 4 2 4 2 4" xfId="2082" xr:uid="{00000000-0005-0000-0000-00001C080000}"/>
    <cellStyle name="20% - Accent3 4 2 4 2 4 2" xfId="2083" xr:uid="{00000000-0005-0000-0000-00001D080000}"/>
    <cellStyle name="20% - Accent3 4 2 4 2 5" xfId="2084" xr:uid="{00000000-0005-0000-0000-00001E080000}"/>
    <cellStyle name="20% - Accent3 4 2 4 2 5 2" xfId="2085" xr:uid="{00000000-0005-0000-0000-00001F080000}"/>
    <cellStyle name="20% - Accent3 4 2 4 2 6" xfId="2086" xr:uid="{00000000-0005-0000-0000-000020080000}"/>
    <cellStyle name="20% - Accent3 4 2 4 2 6 2" xfId="2087" xr:uid="{00000000-0005-0000-0000-000021080000}"/>
    <cellStyle name="20% - Accent3 4 2 4 2 7" xfId="2088" xr:uid="{00000000-0005-0000-0000-000022080000}"/>
    <cellStyle name="20% - Accent3 4 2 4 3" xfId="2089" xr:uid="{00000000-0005-0000-0000-000023080000}"/>
    <cellStyle name="20% - Accent3 4 2 4 3 2" xfId="2090" xr:uid="{00000000-0005-0000-0000-000024080000}"/>
    <cellStyle name="20% - Accent3 4 2 4 3 2 2" xfId="2091" xr:uid="{00000000-0005-0000-0000-000025080000}"/>
    <cellStyle name="20% - Accent3 4 2 4 3 3" xfId="2092" xr:uid="{00000000-0005-0000-0000-000026080000}"/>
    <cellStyle name="20% - Accent3 4 2 4 3 3 2" xfId="2093" xr:uid="{00000000-0005-0000-0000-000027080000}"/>
    <cellStyle name="20% - Accent3 4 2 4 3 4" xfId="2094" xr:uid="{00000000-0005-0000-0000-000028080000}"/>
    <cellStyle name="20% - Accent3 4 2 4 3 4 2" xfId="2095" xr:uid="{00000000-0005-0000-0000-000029080000}"/>
    <cellStyle name="20% - Accent3 4 2 4 3 5" xfId="2096" xr:uid="{00000000-0005-0000-0000-00002A080000}"/>
    <cellStyle name="20% - Accent3 4 2 4 3 5 2" xfId="2097" xr:uid="{00000000-0005-0000-0000-00002B080000}"/>
    <cellStyle name="20% - Accent3 4 2 4 3 6" xfId="2098" xr:uid="{00000000-0005-0000-0000-00002C080000}"/>
    <cellStyle name="20% - Accent3 4 2 4 4" xfId="2099" xr:uid="{00000000-0005-0000-0000-00002D080000}"/>
    <cellStyle name="20% - Accent3 4 2 4 4 2" xfId="2100" xr:uid="{00000000-0005-0000-0000-00002E080000}"/>
    <cellStyle name="20% - Accent3 4 2 4 4 2 2" xfId="2101" xr:uid="{00000000-0005-0000-0000-00002F080000}"/>
    <cellStyle name="20% - Accent3 4 2 4 4 3" xfId="2102" xr:uid="{00000000-0005-0000-0000-000030080000}"/>
    <cellStyle name="20% - Accent3 4 2 4 5" xfId="2103" xr:uid="{00000000-0005-0000-0000-000031080000}"/>
    <cellStyle name="20% - Accent3 4 2 4 5 2" xfId="2104" xr:uid="{00000000-0005-0000-0000-000032080000}"/>
    <cellStyle name="20% - Accent3 4 2 4 6" xfId="2105" xr:uid="{00000000-0005-0000-0000-000033080000}"/>
    <cellStyle name="20% - Accent3 4 2 4 6 2" xfId="2106" xr:uid="{00000000-0005-0000-0000-000034080000}"/>
    <cellStyle name="20% - Accent3 4 2 4 7" xfId="2107" xr:uid="{00000000-0005-0000-0000-000035080000}"/>
    <cellStyle name="20% - Accent3 4 2 4 7 2" xfId="2108" xr:uid="{00000000-0005-0000-0000-000036080000}"/>
    <cellStyle name="20% - Accent3 4 2 4 8" xfId="2109" xr:uid="{00000000-0005-0000-0000-000037080000}"/>
    <cellStyle name="20% - Accent3 4 2 5" xfId="2110" xr:uid="{00000000-0005-0000-0000-000038080000}"/>
    <cellStyle name="20% - Accent3 4 2 5 2" xfId="2111" xr:uid="{00000000-0005-0000-0000-000039080000}"/>
    <cellStyle name="20% - Accent3 4 2 5 2 2" xfId="2112" xr:uid="{00000000-0005-0000-0000-00003A080000}"/>
    <cellStyle name="20% - Accent3 4 2 5 2 2 2" xfId="2113" xr:uid="{00000000-0005-0000-0000-00003B080000}"/>
    <cellStyle name="20% - Accent3 4 2 5 2 3" xfId="2114" xr:uid="{00000000-0005-0000-0000-00003C080000}"/>
    <cellStyle name="20% - Accent3 4 2 5 2 3 2" xfId="2115" xr:uid="{00000000-0005-0000-0000-00003D080000}"/>
    <cellStyle name="20% - Accent3 4 2 5 2 4" xfId="2116" xr:uid="{00000000-0005-0000-0000-00003E080000}"/>
    <cellStyle name="20% - Accent3 4 2 5 3" xfId="2117" xr:uid="{00000000-0005-0000-0000-00003F080000}"/>
    <cellStyle name="20% - Accent3 4 2 5 3 2" xfId="2118" xr:uid="{00000000-0005-0000-0000-000040080000}"/>
    <cellStyle name="20% - Accent3 4 2 5 4" xfId="2119" xr:uid="{00000000-0005-0000-0000-000041080000}"/>
    <cellStyle name="20% - Accent3 4 2 5 4 2" xfId="2120" xr:uid="{00000000-0005-0000-0000-000042080000}"/>
    <cellStyle name="20% - Accent3 4 2 5 5" xfId="2121" xr:uid="{00000000-0005-0000-0000-000043080000}"/>
    <cellStyle name="20% - Accent3 4 2 5 5 2" xfId="2122" xr:uid="{00000000-0005-0000-0000-000044080000}"/>
    <cellStyle name="20% - Accent3 4 2 5 6" xfId="2123" xr:uid="{00000000-0005-0000-0000-000045080000}"/>
    <cellStyle name="20% - Accent3 4 2 5 6 2" xfId="2124" xr:uid="{00000000-0005-0000-0000-000046080000}"/>
    <cellStyle name="20% - Accent3 4 2 5 7" xfId="2125" xr:uid="{00000000-0005-0000-0000-000047080000}"/>
    <cellStyle name="20% - Accent3 4 2 6" xfId="2126" xr:uid="{00000000-0005-0000-0000-000048080000}"/>
    <cellStyle name="20% - Accent3 4 2 6 2" xfId="2127" xr:uid="{00000000-0005-0000-0000-000049080000}"/>
    <cellStyle name="20% - Accent3 4 2 6 2 2" xfId="2128" xr:uid="{00000000-0005-0000-0000-00004A080000}"/>
    <cellStyle name="20% - Accent3 4 2 6 3" xfId="2129" xr:uid="{00000000-0005-0000-0000-00004B080000}"/>
    <cellStyle name="20% - Accent3 4 2 6 3 2" xfId="2130" xr:uid="{00000000-0005-0000-0000-00004C080000}"/>
    <cellStyle name="20% - Accent3 4 2 6 4" xfId="2131" xr:uid="{00000000-0005-0000-0000-00004D080000}"/>
    <cellStyle name="20% - Accent3 4 2 6 4 2" xfId="2132" xr:uid="{00000000-0005-0000-0000-00004E080000}"/>
    <cellStyle name="20% - Accent3 4 2 6 5" xfId="2133" xr:uid="{00000000-0005-0000-0000-00004F080000}"/>
    <cellStyle name="20% - Accent3 4 2 6 5 2" xfId="2134" xr:uid="{00000000-0005-0000-0000-000050080000}"/>
    <cellStyle name="20% - Accent3 4 2 6 6" xfId="2135" xr:uid="{00000000-0005-0000-0000-000051080000}"/>
    <cellStyle name="20% - Accent3 4 2 7" xfId="2136" xr:uid="{00000000-0005-0000-0000-000052080000}"/>
    <cellStyle name="20% - Accent3 4 2 7 2" xfId="2137" xr:uid="{00000000-0005-0000-0000-000053080000}"/>
    <cellStyle name="20% - Accent3 4 2 7 2 2" xfId="2138" xr:uid="{00000000-0005-0000-0000-000054080000}"/>
    <cellStyle name="20% - Accent3 4 2 7 3" xfId="2139" xr:uid="{00000000-0005-0000-0000-000055080000}"/>
    <cellStyle name="20% - Accent3 4 2 8" xfId="2140" xr:uid="{00000000-0005-0000-0000-000056080000}"/>
    <cellStyle name="20% - Accent3 4 2 8 2" xfId="2141" xr:uid="{00000000-0005-0000-0000-000057080000}"/>
    <cellStyle name="20% - Accent3 4 2 9" xfId="2142" xr:uid="{00000000-0005-0000-0000-000058080000}"/>
    <cellStyle name="20% - Accent3 4 2 9 2" xfId="2143" xr:uid="{00000000-0005-0000-0000-000059080000}"/>
    <cellStyle name="20% - Accent3 4 3" xfId="2144" xr:uid="{00000000-0005-0000-0000-00005A080000}"/>
    <cellStyle name="20% - Accent3 4 3 10" xfId="2145" xr:uid="{00000000-0005-0000-0000-00005B080000}"/>
    <cellStyle name="20% - Accent3 4 3 2" xfId="2146" xr:uid="{00000000-0005-0000-0000-00005C080000}"/>
    <cellStyle name="20% - Accent3 4 3 2 2" xfId="2147" xr:uid="{00000000-0005-0000-0000-00005D080000}"/>
    <cellStyle name="20% - Accent3 4 3 2 2 2" xfId="2148" xr:uid="{00000000-0005-0000-0000-00005E080000}"/>
    <cellStyle name="20% - Accent3 4 3 2 2 2 2" xfId="2149" xr:uid="{00000000-0005-0000-0000-00005F080000}"/>
    <cellStyle name="20% - Accent3 4 3 2 2 2 2 2" xfId="2150" xr:uid="{00000000-0005-0000-0000-000060080000}"/>
    <cellStyle name="20% - Accent3 4 3 2 2 2 3" xfId="2151" xr:uid="{00000000-0005-0000-0000-000061080000}"/>
    <cellStyle name="20% - Accent3 4 3 2 2 2 3 2" xfId="2152" xr:uid="{00000000-0005-0000-0000-000062080000}"/>
    <cellStyle name="20% - Accent3 4 3 2 2 2 4" xfId="2153" xr:uid="{00000000-0005-0000-0000-000063080000}"/>
    <cellStyle name="20% - Accent3 4 3 2 2 3" xfId="2154" xr:uid="{00000000-0005-0000-0000-000064080000}"/>
    <cellStyle name="20% - Accent3 4 3 2 2 3 2" xfId="2155" xr:uid="{00000000-0005-0000-0000-000065080000}"/>
    <cellStyle name="20% - Accent3 4 3 2 2 4" xfId="2156" xr:uid="{00000000-0005-0000-0000-000066080000}"/>
    <cellStyle name="20% - Accent3 4 3 2 2 4 2" xfId="2157" xr:uid="{00000000-0005-0000-0000-000067080000}"/>
    <cellStyle name="20% - Accent3 4 3 2 2 5" xfId="2158" xr:uid="{00000000-0005-0000-0000-000068080000}"/>
    <cellStyle name="20% - Accent3 4 3 2 2 5 2" xfId="2159" xr:uid="{00000000-0005-0000-0000-000069080000}"/>
    <cellStyle name="20% - Accent3 4 3 2 2 6" xfId="2160" xr:uid="{00000000-0005-0000-0000-00006A080000}"/>
    <cellStyle name="20% - Accent3 4 3 2 2 6 2" xfId="2161" xr:uid="{00000000-0005-0000-0000-00006B080000}"/>
    <cellStyle name="20% - Accent3 4 3 2 2 7" xfId="2162" xr:uid="{00000000-0005-0000-0000-00006C080000}"/>
    <cellStyle name="20% - Accent3 4 3 2 3" xfId="2163" xr:uid="{00000000-0005-0000-0000-00006D080000}"/>
    <cellStyle name="20% - Accent3 4 3 2 3 2" xfId="2164" xr:uid="{00000000-0005-0000-0000-00006E080000}"/>
    <cellStyle name="20% - Accent3 4 3 2 3 2 2" xfId="2165" xr:uid="{00000000-0005-0000-0000-00006F080000}"/>
    <cellStyle name="20% - Accent3 4 3 2 3 3" xfId="2166" xr:uid="{00000000-0005-0000-0000-000070080000}"/>
    <cellStyle name="20% - Accent3 4 3 2 3 3 2" xfId="2167" xr:uid="{00000000-0005-0000-0000-000071080000}"/>
    <cellStyle name="20% - Accent3 4 3 2 3 4" xfId="2168" xr:uid="{00000000-0005-0000-0000-000072080000}"/>
    <cellStyle name="20% - Accent3 4 3 2 3 4 2" xfId="2169" xr:uid="{00000000-0005-0000-0000-000073080000}"/>
    <cellStyle name="20% - Accent3 4 3 2 3 5" xfId="2170" xr:uid="{00000000-0005-0000-0000-000074080000}"/>
    <cellStyle name="20% - Accent3 4 3 2 3 5 2" xfId="2171" xr:uid="{00000000-0005-0000-0000-000075080000}"/>
    <cellStyle name="20% - Accent3 4 3 2 3 6" xfId="2172" xr:uid="{00000000-0005-0000-0000-000076080000}"/>
    <cellStyle name="20% - Accent3 4 3 2 4" xfId="2173" xr:uid="{00000000-0005-0000-0000-000077080000}"/>
    <cellStyle name="20% - Accent3 4 3 2 4 2" xfId="2174" xr:uid="{00000000-0005-0000-0000-000078080000}"/>
    <cellStyle name="20% - Accent3 4 3 2 4 2 2" xfId="2175" xr:uid="{00000000-0005-0000-0000-000079080000}"/>
    <cellStyle name="20% - Accent3 4 3 2 4 3" xfId="2176" xr:uid="{00000000-0005-0000-0000-00007A080000}"/>
    <cellStyle name="20% - Accent3 4 3 2 5" xfId="2177" xr:uid="{00000000-0005-0000-0000-00007B080000}"/>
    <cellStyle name="20% - Accent3 4 3 2 5 2" xfId="2178" xr:uid="{00000000-0005-0000-0000-00007C080000}"/>
    <cellStyle name="20% - Accent3 4 3 2 6" xfId="2179" xr:uid="{00000000-0005-0000-0000-00007D080000}"/>
    <cellStyle name="20% - Accent3 4 3 2 6 2" xfId="2180" xr:uid="{00000000-0005-0000-0000-00007E080000}"/>
    <cellStyle name="20% - Accent3 4 3 2 7" xfId="2181" xr:uid="{00000000-0005-0000-0000-00007F080000}"/>
    <cellStyle name="20% - Accent3 4 3 2 7 2" xfId="2182" xr:uid="{00000000-0005-0000-0000-000080080000}"/>
    <cellStyle name="20% - Accent3 4 3 2 8" xfId="2183" xr:uid="{00000000-0005-0000-0000-000081080000}"/>
    <cellStyle name="20% - Accent3 4 3 3" xfId="2184" xr:uid="{00000000-0005-0000-0000-000082080000}"/>
    <cellStyle name="20% - Accent3 4 3 3 2" xfId="2185" xr:uid="{00000000-0005-0000-0000-000083080000}"/>
    <cellStyle name="20% - Accent3 4 3 3 2 2" xfId="2186" xr:uid="{00000000-0005-0000-0000-000084080000}"/>
    <cellStyle name="20% - Accent3 4 3 3 2 2 2" xfId="2187" xr:uid="{00000000-0005-0000-0000-000085080000}"/>
    <cellStyle name="20% - Accent3 4 3 3 2 2 2 2" xfId="2188" xr:uid="{00000000-0005-0000-0000-000086080000}"/>
    <cellStyle name="20% - Accent3 4 3 3 2 2 3" xfId="2189" xr:uid="{00000000-0005-0000-0000-000087080000}"/>
    <cellStyle name="20% - Accent3 4 3 3 2 2 3 2" xfId="2190" xr:uid="{00000000-0005-0000-0000-000088080000}"/>
    <cellStyle name="20% - Accent3 4 3 3 2 2 4" xfId="2191" xr:uid="{00000000-0005-0000-0000-000089080000}"/>
    <cellStyle name="20% - Accent3 4 3 3 2 3" xfId="2192" xr:uid="{00000000-0005-0000-0000-00008A080000}"/>
    <cellStyle name="20% - Accent3 4 3 3 2 3 2" xfId="2193" xr:uid="{00000000-0005-0000-0000-00008B080000}"/>
    <cellStyle name="20% - Accent3 4 3 3 2 4" xfId="2194" xr:uid="{00000000-0005-0000-0000-00008C080000}"/>
    <cellStyle name="20% - Accent3 4 3 3 2 4 2" xfId="2195" xr:uid="{00000000-0005-0000-0000-00008D080000}"/>
    <cellStyle name="20% - Accent3 4 3 3 2 5" xfId="2196" xr:uid="{00000000-0005-0000-0000-00008E080000}"/>
    <cellStyle name="20% - Accent3 4 3 3 2 5 2" xfId="2197" xr:uid="{00000000-0005-0000-0000-00008F080000}"/>
    <cellStyle name="20% - Accent3 4 3 3 2 6" xfId="2198" xr:uid="{00000000-0005-0000-0000-000090080000}"/>
    <cellStyle name="20% - Accent3 4 3 3 2 6 2" xfId="2199" xr:uid="{00000000-0005-0000-0000-000091080000}"/>
    <cellStyle name="20% - Accent3 4 3 3 2 7" xfId="2200" xr:uid="{00000000-0005-0000-0000-000092080000}"/>
    <cellStyle name="20% - Accent3 4 3 3 3" xfId="2201" xr:uid="{00000000-0005-0000-0000-000093080000}"/>
    <cellStyle name="20% - Accent3 4 3 3 3 2" xfId="2202" xr:uid="{00000000-0005-0000-0000-000094080000}"/>
    <cellStyle name="20% - Accent3 4 3 3 3 2 2" xfId="2203" xr:uid="{00000000-0005-0000-0000-000095080000}"/>
    <cellStyle name="20% - Accent3 4 3 3 3 3" xfId="2204" xr:uid="{00000000-0005-0000-0000-000096080000}"/>
    <cellStyle name="20% - Accent3 4 3 3 3 3 2" xfId="2205" xr:uid="{00000000-0005-0000-0000-000097080000}"/>
    <cellStyle name="20% - Accent3 4 3 3 3 4" xfId="2206" xr:uid="{00000000-0005-0000-0000-000098080000}"/>
    <cellStyle name="20% - Accent3 4 3 3 3 4 2" xfId="2207" xr:uid="{00000000-0005-0000-0000-000099080000}"/>
    <cellStyle name="20% - Accent3 4 3 3 3 5" xfId="2208" xr:uid="{00000000-0005-0000-0000-00009A080000}"/>
    <cellStyle name="20% - Accent3 4 3 3 3 5 2" xfId="2209" xr:uid="{00000000-0005-0000-0000-00009B080000}"/>
    <cellStyle name="20% - Accent3 4 3 3 3 6" xfId="2210" xr:uid="{00000000-0005-0000-0000-00009C080000}"/>
    <cellStyle name="20% - Accent3 4 3 3 4" xfId="2211" xr:uid="{00000000-0005-0000-0000-00009D080000}"/>
    <cellStyle name="20% - Accent3 4 3 3 4 2" xfId="2212" xr:uid="{00000000-0005-0000-0000-00009E080000}"/>
    <cellStyle name="20% - Accent3 4 3 3 4 2 2" xfId="2213" xr:uid="{00000000-0005-0000-0000-00009F080000}"/>
    <cellStyle name="20% - Accent3 4 3 3 4 3" xfId="2214" xr:uid="{00000000-0005-0000-0000-0000A0080000}"/>
    <cellStyle name="20% - Accent3 4 3 3 5" xfId="2215" xr:uid="{00000000-0005-0000-0000-0000A1080000}"/>
    <cellStyle name="20% - Accent3 4 3 3 5 2" xfId="2216" xr:uid="{00000000-0005-0000-0000-0000A2080000}"/>
    <cellStyle name="20% - Accent3 4 3 3 6" xfId="2217" xr:uid="{00000000-0005-0000-0000-0000A3080000}"/>
    <cellStyle name="20% - Accent3 4 3 3 6 2" xfId="2218" xr:uid="{00000000-0005-0000-0000-0000A4080000}"/>
    <cellStyle name="20% - Accent3 4 3 3 7" xfId="2219" xr:uid="{00000000-0005-0000-0000-0000A5080000}"/>
    <cellStyle name="20% - Accent3 4 3 3 7 2" xfId="2220" xr:uid="{00000000-0005-0000-0000-0000A6080000}"/>
    <cellStyle name="20% - Accent3 4 3 3 8" xfId="2221" xr:uid="{00000000-0005-0000-0000-0000A7080000}"/>
    <cellStyle name="20% - Accent3 4 3 4" xfId="2222" xr:uid="{00000000-0005-0000-0000-0000A8080000}"/>
    <cellStyle name="20% - Accent3 4 3 4 2" xfId="2223" xr:uid="{00000000-0005-0000-0000-0000A9080000}"/>
    <cellStyle name="20% - Accent3 4 3 4 2 2" xfId="2224" xr:uid="{00000000-0005-0000-0000-0000AA080000}"/>
    <cellStyle name="20% - Accent3 4 3 4 2 2 2" xfId="2225" xr:uid="{00000000-0005-0000-0000-0000AB080000}"/>
    <cellStyle name="20% - Accent3 4 3 4 2 3" xfId="2226" xr:uid="{00000000-0005-0000-0000-0000AC080000}"/>
    <cellStyle name="20% - Accent3 4 3 4 2 3 2" xfId="2227" xr:uid="{00000000-0005-0000-0000-0000AD080000}"/>
    <cellStyle name="20% - Accent3 4 3 4 2 4" xfId="2228" xr:uid="{00000000-0005-0000-0000-0000AE080000}"/>
    <cellStyle name="20% - Accent3 4 3 4 3" xfId="2229" xr:uid="{00000000-0005-0000-0000-0000AF080000}"/>
    <cellStyle name="20% - Accent3 4 3 4 3 2" xfId="2230" xr:uid="{00000000-0005-0000-0000-0000B0080000}"/>
    <cellStyle name="20% - Accent3 4 3 4 4" xfId="2231" xr:uid="{00000000-0005-0000-0000-0000B1080000}"/>
    <cellStyle name="20% - Accent3 4 3 4 4 2" xfId="2232" xr:uid="{00000000-0005-0000-0000-0000B2080000}"/>
    <cellStyle name="20% - Accent3 4 3 4 5" xfId="2233" xr:uid="{00000000-0005-0000-0000-0000B3080000}"/>
    <cellStyle name="20% - Accent3 4 3 4 5 2" xfId="2234" xr:uid="{00000000-0005-0000-0000-0000B4080000}"/>
    <cellStyle name="20% - Accent3 4 3 4 6" xfId="2235" xr:uid="{00000000-0005-0000-0000-0000B5080000}"/>
    <cellStyle name="20% - Accent3 4 3 4 6 2" xfId="2236" xr:uid="{00000000-0005-0000-0000-0000B6080000}"/>
    <cellStyle name="20% - Accent3 4 3 4 7" xfId="2237" xr:uid="{00000000-0005-0000-0000-0000B7080000}"/>
    <cellStyle name="20% - Accent3 4 3 5" xfId="2238" xr:uid="{00000000-0005-0000-0000-0000B8080000}"/>
    <cellStyle name="20% - Accent3 4 3 5 2" xfId="2239" xr:uid="{00000000-0005-0000-0000-0000B9080000}"/>
    <cellStyle name="20% - Accent3 4 3 5 2 2" xfId="2240" xr:uid="{00000000-0005-0000-0000-0000BA080000}"/>
    <cellStyle name="20% - Accent3 4 3 5 3" xfId="2241" xr:uid="{00000000-0005-0000-0000-0000BB080000}"/>
    <cellStyle name="20% - Accent3 4 3 5 3 2" xfId="2242" xr:uid="{00000000-0005-0000-0000-0000BC080000}"/>
    <cellStyle name="20% - Accent3 4 3 5 4" xfId="2243" xr:uid="{00000000-0005-0000-0000-0000BD080000}"/>
    <cellStyle name="20% - Accent3 4 3 5 4 2" xfId="2244" xr:uid="{00000000-0005-0000-0000-0000BE080000}"/>
    <cellStyle name="20% - Accent3 4 3 5 5" xfId="2245" xr:uid="{00000000-0005-0000-0000-0000BF080000}"/>
    <cellStyle name="20% - Accent3 4 3 5 5 2" xfId="2246" xr:uid="{00000000-0005-0000-0000-0000C0080000}"/>
    <cellStyle name="20% - Accent3 4 3 5 6" xfId="2247" xr:uid="{00000000-0005-0000-0000-0000C1080000}"/>
    <cellStyle name="20% - Accent3 4 3 6" xfId="2248" xr:uid="{00000000-0005-0000-0000-0000C2080000}"/>
    <cellStyle name="20% - Accent3 4 3 6 2" xfId="2249" xr:uid="{00000000-0005-0000-0000-0000C3080000}"/>
    <cellStyle name="20% - Accent3 4 3 6 2 2" xfId="2250" xr:uid="{00000000-0005-0000-0000-0000C4080000}"/>
    <cellStyle name="20% - Accent3 4 3 6 3" xfId="2251" xr:uid="{00000000-0005-0000-0000-0000C5080000}"/>
    <cellStyle name="20% - Accent3 4 3 7" xfId="2252" xr:uid="{00000000-0005-0000-0000-0000C6080000}"/>
    <cellStyle name="20% - Accent3 4 3 7 2" xfId="2253" xr:uid="{00000000-0005-0000-0000-0000C7080000}"/>
    <cellStyle name="20% - Accent3 4 3 8" xfId="2254" xr:uid="{00000000-0005-0000-0000-0000C8080000}"/>
    <cellStyle name="20% - Accent3 4 3 8 2" xfId="2255" xr:uid="{00000000-0005-0000-0000-0000C9080000}"/>
    <cellStyle name="20% - Accent3 4 3 9" xfId="2256" xr:uid="{00000000-0005-0000-0000-0000CA080000}"/>
    <cellStyle name="20% - Accent3 4 3 9 2" xfId="2257" xr:uid="{00000000-0005-0000-0000-0000CB080000}"/>
    <cellStyle name="20% - Accent3 4 4" xfId="2258" xr:uid="{00000000-0005-0000-0000-0000CC080000}"/>
    <cellStyle name="20% - Accent3 4 4 2" xfId="2259" xr:uid="{00000000-0005-0000-0000-0000CD080000}"/>
    <cellStyle name="20% - Accent3 4 4 2 2" xfId="2260" xr:uid="{00000000-0005-0000-0000-0000CE080000}"/>
    <cellStyle name="20% - Accent3 4 4 2 2 2" xfId="2261" xr:uid="{00000000-0005-0000-0000-0000CF080000}"/>
    <cellStyle name="20% - Accent3 4 4 2 2 2 2" xfId="2262" xr:uid="{00000000-0005-0000-0000-0000D0080000}"/>
    <cellStyle name="20% - Accent3 4 4 2 2 3" xfId="2263" xr:uid="{00000000-0005-0000-0000-0000D1080000}"/>
    <cellStyle name="20% - Accent3 4 4 2 2 3 2" xfId="2264" xr:uid="{00000000-0005-0000-0000-0000D2080000}"/>
    <cellStyle name="20% - Accent3 4 4 2 2 4" xfId="2265" xr:uid="{00000000-0005-0000-0000-0000D3080000}"/>
    <cellStyle name="20% - Accent3 4 4 2 3" xfId="2266" xr:uid="{00000000-0005-0000-0000-0000D4080000}"/>
    <cellStyle name="20% - Accent3 4 4 2 3 2" xfId="2267" xr:uid="{00000000-0005-0000-0000-0000D5080000}"/>
    <cellStyle name="20% - Accent3 4 4 2 4" xfId="2268" xr:uid="{00000000-0005-0000-0000-0000D6080000}"/>
    <cellStyle name="20% - Accent3 4 4 2 4 2" xfId="2269" xr:uid="{00000000-0005-0000-0000-0000D7080000}"/>
    <cellStyle name="20% - Accent3 4 4 2 5" xfId="2270" xr:uid="{00000000-0005-0000-0000-0000D8080000}"/>
    <cellStyle name="20% - Accent3 4 4 2 5 2" xfId="2271" xr:uid="{00000000-0005-0000-0000-0000D9080000}"/>
    <cellStyle name="20% - Accent3 4 4 2 6" xfId="2272" xr:uid="{00000000-0005-0000-0000-0000DA080000}"/>
    <cellStyle name="20% - Accent3 4 4 2 6 2" xfId="2273" xr:uid="{00000000-0005-0000-0000-0000DB080000}"/>
    <cellStyle name="20% - Accent3 4 4 2 7" xfId="2274" xr:uid="{00000000-0005-0000-0000-0000DC080000}"/>
    <cellStyle name="20% - Accent3 4 4 3" xfId="2275" xr:uid="{00000000-0005-0000-0000-0000DD080000}"/>
    <cellStyle name="20% - Accent3 4 4 3 2" xfId="2276" xr:uid="{00000000-0005-0000-0000-0000DE080000}"/>
    <cellStyle name="20% - Accent3 4 4 3 2 2" xfId="2277" xr:uid="{00000000-0005-0000-0000-0000DF080000}"/>
    <cellStyle name="20% - Accent3 4 4 3 3" xfId="2278" xr:uid="{00000000-0005-0000-0000-0000E0080000}"/>
    <cellStyle name="20% - Accent3 4 4 3 3 2" xfId="2279" xr:uid="{00000000-0005-0000-0000-0000E1080000}"/>
    <cellStyle name="20% - Accent3 4 4 3 4" xfId="2280" xr:uid="{00000000-0005-0000-0000-0000E2080000}"/>
    <cellStyle name="20% - Accent3 4 4 3 4 2" xfId="2281" xr:uid="{00000000-0005-0000-0000-0000E3080000}"/>
    <cellStyle name="20% - Accent3 4 4 3 5" xfId="2282" xr:uid="{00000000-0005-0000-0000-0000E4080000}"/>
    <cellStyle name="20% - Accent3 4 4 3 5 2" xfId="2283" xr:uid="{00000000-0005-0000-0000-0000E5080000}"/>
    <cellStyle name="20% - Accent3 4 4 3 6" xfId="2284" xr:uid="{00000000-0005-0000-0000-0000E6080000}"/>
    <cellStyle name="20% - Accent3 4 4 4" xfId="2285" xr:uid="{00000000-0005-0000-0000-0000E7080000}"/>
    <cellStyle name="20% - Accent3 4 4 4 2" xfId="2286" xr:uid="{00000000-0005-0000-0000-0000E8080000}"/>
    <cellStyle name="20% - Accent3 4 4 4 2 2" xfId="2287" xr:uid="{00000000-0005-0000-0000-0000E9080000}"/>
    <cellStyle name="20% - Accent3 4 4 4 3" xfId="2288" xr:uid="{00000000-0005-0000-0000-0000EA080000}"/>
    <cellStyle name="20% - Accent3 4 4 5" xfId="2289" xr:uid="{00000000-0005-0000-0000-0000EB080000}"/>
    <cellStyle name="20% - Accent3 4 4 5 2" xfId="2290" xr:uid="{00000000-0005-0000-0000-0000EC080000}"/>
    <cellStyle name="20% - Accent3 4 4 6" xfId="2291" xr:uid="{00000000-0005-0000-0000-0000ED080000}"/>
    <cellStyle name="20% - Accent3 4 4 6 2" xfId="2292" xr:uid="{00000000-0005-0000-0000-0000EE080000}"/>
    <cellStyle name="20% - Accent3 4 4 7" xfId="2293" xr:uid="{00000000-0005-0000-0000-0000EF080000}"/>
    <cellStyle name="20% - Accent3 4 4 7 2" xfId="2294" xr:uid="{00000000-0005-0000-0000-0000F0080000}"/>
    <cellStyle name="20% - Accent3 4 4 8" xfId="2295" xr:uid="{00000000-0005-0000-0000-0000F1080000}"/>
    <cellStyle name="20% - Accent3 4 5" xfId="2296" xr:uid="{00000000-0005-0000-0000-0000F2080000}"/>
    <cellStyle name="20% - Accent3 4 5 2" xfId="2297" xr:uid="{00000000-0005-0000-0000-0000F3080000}"/>
    <cellStyle name="20% - Accent3 4 5 2 2" xfId="2298" xr:uid="{00000000-0005-0000-0000-0000F4080000}"/>
    <cellStyle name="20% - Accent3 4 5 2 2 2" xfId="2299" xr:uid="{00000000-0005-0000-0000-0000F5080000}"/>
    <cellStyle name="20% - Accent3 4 5 2 2 2 2" xfId="2300" xr:uid="{00000000-0005-0000-0000-0000F6080000}"/>
    <cellStyle name="20% - Accent3 4 5 2 2 3" xfId="2301" xr:uid="{00000000-0005-0000-0000-0000F7080000}"/>
    <cellStyle name="20% - Accent3 4 5 2 2 3 2" xfId="2302" xr:uid="{00000000-0005-0000-0000-0000F8080000}"/>
    <cellStyle name="20% - Accent3 4 5 2 2 4" xfId="2303" xr:uid="{00000000-0005-0000-0000-0000F9080000}"/>
    <cellStyle name="20% - Accent3 4 5 2 3" xfId="2304" xr:uid="{00000000-0005-0000-0000-0000FA080000}"/>
    <cellStyle name="20% - Accent3 4 5 2 3 2" xfId="2305" xr:uid="{00000000-0005-0000-0000-0000FB080000}"/>
    <cellStyle name="20% - Accent3 4 5 2 4" xfId="2306" xr:uid="{00000000-0005-0000-0000-0000FC080000}"/>
    <cellStyle name="20% - Accent3 4 5 2 4 2" xfId="2307" xr:uid="{00000000-0005-0000-0000-0000FD080000}"/>
    <cellStyle name="20% - Accent3 4 5 2 5" xfId="2308" xr:uid="{00000000-0005-0000-0000-0000FE080000}"/>
    <cellStyle name="20% - Accent3 4 5 2 5 2" xfId="2309" xr:uid="{00000000-0005-0000-0000-0000FF080000}"/>
    <cellStyle name="20% - Accent3 4 5 2 6" xfId="2310" xr:uid="{00000000-0005-0000-0000-000000090000}"/>
    <cellStyle name="20% - Accent3 4 5 2 6 2" xfId="2311" xr:uid="{00000000-0005-0000-0000-000001090000}"/>
    <cellStyle name="20% - Accent3 4 5 2 7" xfId="2312" xr:uid="{00000000-0005-0000-0000-000002090000}"/>
    <cellStyle name="20% - Accent3 4 5 3" xfId="2313" xr:uid="{00000000-0005-0000-0000-000003090000}"/>
    <cellStyle name="20% - Accent3 4 5 3 2" xfId="2314" xr:uid="{00000000-0005-0000-0000-000004090000}"/>
    <cellStyle name="20% - Accent3 4 5 3 2 2" xfId="2315" xr:uid="{00000000-0005-0000-0000-000005090000}"/>
    <cellStyle name="20% - Accent3 4 5 3 3" xfId="2316" xr:uid="{00000000-0005-0000-0000-000006090000}"/>
    <cellStyle name="20% - Accent3 4 5 3 3 2" xfId="2317" xr:uid="{00000000-0005-0000-0000-000007090000}"/>
    <cellStyle name="20% - Accent3 4 5 3 4" xfId="2318" xr:uid="{00000000-0005-0000-0000-000008090000}"/>
    <cellStyle name="20% - Accent3 4 5 3 4 2" xfId="2319" xr:uid="{00000000-0005-0000-0000-000009090000}"/>
    <cellStyle name="20% - Accent3 4 5 3 5" xfId="2320" xr:uid="{00000000-0005-0000-0000-00000A090000}"/>
    <cellStyle name="20% - Accent3 4 5 3 5 2" xfId="2321" xr:uid="{00000000-0005-0000-0000-00000B090000}"/>
    <cellStyle name="20% - Accent3 4 5 3 6" xfId="2322" xr:uid="{00000000-0005-0000-0000-00000C090000}"/>
    <cellStyle name="20% - Accent3 4 5 4" xfId="2323" xr:uid="{00000000-0005-0000-0000-00000D090000}"/>
    <cellStyle name="20% - Accent3 4 5 4 2" xfId="2324" xr:uid="{00000000-0005-0000-0000-00000E090000}"/>
    <cellStyle name="20% - Accent3 4 5 4 2 2" xfId="2325" xr:uid="{00000000-0005-0000-0000-00000F090000}"/>
    <cellStyle name="20% - Accent3 4 5 4 3" xfId="2326" xr:uid="{00000000-0005-0000-0000-000010090000}"/>
    <cellStyle name="20% - Accent3 4 5 5" xfId="2327" xr:uid="{00000000-0005-0000-0000-000011090000}"/>
    <cellStyle name="20% - Accent3 4 5 5 2" xfId="2328" xr:uid="{00000000-0005-0000-0000-000012090000}"/>
    <cellStyle name="20% - Accent3 4 5 6" xfId="2329" xr:uid="{00000000-0005-0000-0000-000013090000}"/>
    <cellStyle name="20% - Accent3 4 5 6 2" xfId="2330" xr:uid="{00000000-0005-0000-0000-000014090000}"/>
    <cellStyle name="20% - Accent3 4 5 7" xfId="2331" xr:uid="{00000000-0005-0000-0000-000015090000}"/>
    <cellStyle name="20% - Accent3 4 5 7 2" xfId="2332" xr:uid="{00000000-0005-0000-0000-000016090000}"/>
    <cellStyle name="20% - Accent3 4 5 8" xfId="2333" xr:uid="{00000000-0005-0000-0000-000017090000}"/>
    <cellStyle name="20% - Accent3 4 6" xfId="2334" xr:uid="{00000000-0005-0000-0000-000018090000}"/>
    <cellStyle name="20% - Accent3 4 6 2" xfId="2335" xr:uid="{00000000-0005-0000-0000-000019090000}"/>
    <cellStyle name="20% - Accent3 4 6 2 2" xfId="2336" xr:uid="{00000000-0005-0000-0000-00001A090000}"/>
    <cellStyle name="20% - Accent3 4 6 2 2 2" xfId="2337" xr:uid="{00000000-0005-0000-0000-00001B090000}"/>
    <cellStyle name="20% - Accent3 4 6 2 3" xfId="2338" xr:uid="{00000000-0005-0000-0000-00001C090000}"/>
    <cellStyle name="20% - Accent3 4 6 2 3 2" xfId="2339" xr:uid="{00000000-0005-0000-0000-00001D090000}"/>
    <cellStyle name="20% - Accent3 4 6 2 4" xfId="2340" xr:uid="{00000000-0005-0000-0000-00001E090000}"/>
    <cellStyle name="20% - Accent3 4 6 3" xfId="2341" xr:uid="{00000000-0005-0000-0000-00001F090000}"/>
    <cellStyle name="20% - Accent3 4 6 3 2" xfId="2342" xr:uid="{00000000-0005-0000-0000-000020090000}"/>
    <cellStyle name="20% - Accent3 4 6 4" xfId="2343" xr:uid="{00000000-0005-0000-0000-000021090000}"/>
    <cellStyle name="20% - Accent3 4 6 4 2" xfId="2344" xr:uid="{00000000-0005-0000-0000-000022090000}"/>
    <cellStyle name="20% - Accent3 4 6 5" xfId="2345" xr:uid="{00000000-0005-0000-0000-000023090000}"/>
    <cellStyle name="20% - Accent3 4 6 5 2" xfId="2346" xr:uid="{00000000-0005-0000-0000-000024090000}"/>
    <cellStyle name="20% - Accent3 4 6 6" xfId="2347" xr:uid="{00000000-0005-0000-0000-000025090000}"/>
    <cellStyle name="20% - Accent3 4 6 6 2" xfId="2348" xr:uid="{00000000-0005-0000-0000-000026090000}"/>
    <cellStyle name="20% - Accent3 4 6 7" xfId="2349" xr:uid="{00000000-0005-0000-0000-000027090000}"/>
    <cellStyle name="20% - Accent3 4 7" xfId="2350" xr:uid="{00000000-0005-0000-0000-000028090000}"/>
    <cellStyle name="20% - Accent3 4 7 2" xfId="2351" xr:uid="{00000000-0005-0000-0000-000029090000}"/>
    <cellStyle name="20% - Accent3 4 7 2 2" xfId="2352" xr:uid="{00000000-0005-0000-0000-00002A090000}"/>
    <cellStyle name="20% - Accent3 4 7 3" xfId="2353" xr:uid="{00000000-0005-0000-0000-00002B090000}"/>
    <cellStyle name="20% - Accent3 4 7 3 2" xfId="2354" xr:uid="{00000000-0005-0000-0000-00002C090000}"/>
    <cellStyle name="20% - Accent3 4 7 4" xfId="2355" xr:uid="{00000000-0005-0000-0000-00002D090000}"/>
    <cellStyle name="20% - Accent3 4 7 4 2" xfId="2356" xr:uid="{00000000-0005-0000-0000-00002E090000}"/>
    <cellStyle name="20% - Accent3 4 7 5" xfId="2357" xr:uid="{00000000-0005-0000-0000-00002F090000}"/>
    <cellStyle name="20% - Accent3 4 7 5 2" xfId="2358" xr:uid="{00000000-0005-0000-0000-000030090000}"/>
    <cellStyle name="20% - Accent3 4 7 6" xfId="2359" xr:uid="{00000000-0005-0000-0000-000031090000}"/>
    <cellStyle name="20% - Accent3 4 8" xfId="2360" xr:uid="{00000000-0005-0000-0000-000032090000}"/>
    <cellStyle name="20% - Accent3 4 8 2" xfId="2361" xr:uid="{00000000-0005-0000-0000-000033090000}"/>
    <cellStyle name="20% - Accent3 4 8 2 2" xfId="2362" xr:uid="{00000000-0005-0000-0000-000034090000}"/>
    <cellStyle name="20% - Accent3 4 8 3" xfId="2363" xr:uid="{00000000-0005-0000-0000-000035090000}"/>
    <cellStyle name="20% - Accent3 4 8 3 2" xfId="2364" xr:uid="{00000000-0005-0000-0000-000036090000}"/>
    <cellStyle name="20% - Accent3 4 8 4" xfId="2365" xr:uid="{00000000-0005-0000-0000-000037090000}"/>
    <cellStyle name="20% - Accent3 4 9" xfId="2366" xr:uid="{00000000-0005-0000-0000-000038090000}"/>
    <cellStyle name="20% - Accent3 4 9 2" xfId="2367" xr:uid="{00000000-0005-0000-0000-000039090000}"/>
    <cellStyle name="20% - Accent3 4 9 2 2" xfId="2368" xr:uid="{00000000-0005-0000-0000-00003A090000}"/>
    <cellStyle name="20% - Accent3 4 9 3" xfId="2369" xr:uid="{00000000-0005-0000-0000-00003B090000}"/>
    <cellStyle name="20% - Accent3 5" xfId="2370" xr:uid="{00000000-0005-0000-0000-00003C090000}"/>
    <cellStyle name="20% - Accent3 5 2" xfId="2371" xr:uid="{00000000-0005-0000-0000-00003D090000}"/>
    <cellStyle name="20% - Accent3 5 2 2" xfId="2372" xr:uid="{00000000-0005-0000-0000-00003E090000}"/>
    <cellStyle name="20% - Accent3 5 2 2 2" xfId="2373" xr:uid="{00000000-0005-0000-0000-00003F090000}"/>
    <cellStyle name="20% - Accent3 5 2 3" xfId="2374" xr:uid="{00000000-0005-0000-0000-000040090000}"/>
    <cellStyle name="20% - Accent3 5 3" xfId="2375" xr:uid="{00000000-0005-0000-0000-000041090000}"/>
    <cellStyle name="20% - Accent3 5 3 2" xfId="2376" xr:uid="{00000000-0005-0000-0000-000042090000}"/>
    <cellStyle name="20% - Accent3 5 3 2 2" xfId="2377" xr:uid="{00000000-0005-0000-0000-000043090000}"/>
    <cellStyle name="20% - Accent3 5 3 3" xfId="2378" xr:uid="{00000000-0005-0000-0000-000044090000}"/>
    <cellStyle name="20% - Accent3 5 4" xfId="2379" xr:uid="{00000000-0005-0000-0000-000045090000}"/>
    <cellStyle name="20% - Accent3 6" xfId="2380" xr:uid="{00000000-0005-0000-0000-000046090000}"/>
    <cellStyle name="20% - Accent3 6 10" xfId="2381" xr:uid="{00000000-0005-0000-0000-000047090000}"/>
    <cellStyle name="20% - Accent3 6 10 2" xfId="2382" xr:uid="{00000000-0005-0000-0000-000048090000}"/>
    <cellStyle name="20% - Accent3 6 11" xfId="2383" xr:uid="{00000000-0005-0000-0000-000049090000}"/>
    <cellStyle name="20% - Accent3 6 2" xfId="2384" xr:uid="{00000000-0005-0000-0000-00004A090000}"/>
    <cellStyle name="20% - Accent3 6 2 10" xfId="2385" xr:uid="{00000000-0005-0000-0000-00004B090000}"/>
    <cellStyle name="20% - Accent3 6 2 2" xfId="2386" xr:uid="{00000000-0005-0000-0000-00004C090000}"/>
    <cellStyle name="20% - Accent3 6 2 2 2" xfId="2387" xr:uid="{00000000-0005-0000-0000-00004D090000}"/>
    <cellStyle name="20% - Accent3 6 2 2 2 2" xfId="2388" xr:uid="{00000000-0005-0000-0000-00004E090000}"/>
    <cellStyle name="20% - Accent3 6 2 2 2 2 2" xfId="2389" xr:uid="{00000000-0005-0000-0000-00004F090000}"/>
    <cellStyle name="20% - Accent3 6 2 2 2 2 2 2" xfId="2390" xr:uid="{00000000-0005-0000-0000-000050090000}"/>
    <cellStyle name="20% - Accent3 6 2 2 2 2 3" xfId="2391" xr:uid="{00000000-0005-0000-0000-000051090000}"/>
    <cellStyle name="20% - Accent3 6 2 2 2 2 3 2" xfId="2392" xr:uid="{00000000-0005-0000-0000-000052090000}"/>
    <cellStyle name="20% - Accent3 6 2 2 2 2 4" xfId="2393" xr:uid="{00000000-0005-0000-0000-000053090000}"/>
    <cellStyle name="20% - Accent3 6 2 2 2 3" xfId="2394" xr:uid="{00000000-0005-0000-0000-000054090000}"/>
    <cellStyle name="20% - Accent3 6 2 2 2 3 2" xfId="2395" xr:uid="{00000000-0005-0000-0000-000055090000}"/>
    <cellStyle name="20% - Accent3 6 2 2 2 4" xfId="2396" xr:uid="{00000000-0005-0000-0000-000056090000}"/>
    <cellStyle name="20% - Accent3 6 2 2 2 4 2" xfId="2397" xr:uid="{00000000-0005-0000-0000-000057090000}"/>
    <cellStyle name="20% - Accent3 6 2 2 2 5" xfId="2398" xr:uid="{00000000-0005-0000-0000-000058090000}"/>
    <cellStyle name="20% - Accent3 6 2 2 2 5 2" xfId="2399" xr:uid="{00000000-0005-0000-0000-000059090000}"/>
    <cellStyle name="20% - Accent3 6 2 2 2 6" xfId="2400" xr:uid="{00000000-0005-0000-0000-00005A090000}"/>
    <cellStyle name="20% - Accent3 6 2 2 2 6 2" xfId="2401" xr:uid="{00000000-0005-0000-0000-00005B090000}"/>
    <cellStyle name="20% - Accent3 6 2 2 2 7" xfId="2402" xr:uid="{00000000-0005-0000-0000-00005C090000}"/>
    <cellStyle name="20% - Accent3 6 2 2 3" xfId="2403" xr:uid="{00000000-0005-0000-0000-00005D090000}"/>
    <cellStyle name="20% - Accent3 6 2 2 3 2" xfId="2404" xr:uid="{00000000-0005-0000-0000-00005E090000}"/>
    <cellStyle name="20% - Accent3 6 2 2 3 2 2" xfId="2405" xr:uid="{00000000-0005-0000-0000-00005F090000}"/>
    <cellStyle name="20% - Accent3 6 2 2 3 3" xfId="2406" xr:uid="{00000000-0005-0000-0000-000060090000}"/>
    <cellStyle name="20% - Accent3 6 2 2 3 3 2" xfId="2407" xr:uid="{00000000-0005-0000-0000-000061090000}"/>
    <cellStyle name="20% - Accent3 6 2 2 3 4" xfId="2408" xr:uid="{00000000-0005-0000-0000-000062090000}"/>
    <cellStyle name="20% - Accent3 6 2 2 3 4 2" xfId="2409" xr:uid="{00000000-0005-0000-0000-000063090000}"/>
    <cellStyle name="20% - Accent3 6 2 2 3 5" xfId="2410" xr:uid="{00000000-0005-0000-0000-000064090000}"/>
    <cellStyle name="20% - Accent3 6 2 2 3 5 2" xfId="2411" xr:uid="{00000000-0005-0000-0000-000065090000}"/>
    <cellStyle name="20% - Accent3 6 2 2 3 6" xfId="2412" xr:uid="{00000000-0005-0000-0000-000066090000}"/>
    <cellStyle name="20% - Accent3 6 2 2 4" xfId="2413" xr:uid="{00000000-0005-0000-0000-000067090000}"/>
    <cellStyle name="20% - Accent3 6 2 2 4 2" xfId="2414" xr:uid="{00000000-0005-0000-0000-000068090000}"/>
    <cellStyle name="20% - Accent3 6 2 2 4 2 2" xfId="2415" xr:uid="{00000000-0005-0000-0000-000069090000}"/>
    <cellStyle name="20% - Accent3 6 2 2 4 3" xfId="2416" xr:uid="{00000000-0005-0000-0000-00006A090000}"/>
    <cellStyle name="20% - Accent3 6 2 2 5" xfId="2417" xr:uid="{00000000-0005-0000-0000-00006B090000}"/>
    <cellStyle name="20% - Accent3 6 2 2 5 2" xfId="2418" xr:uid="{00000000-0005-0000-0000-00006C090000}"/>
    <cellStyle name="20% - Accent3 6 2 2 6" xfId="2419" xr:uid="{00000000-0005-0000-0000-00006D090000}"/>
    <cellStyle name="20% - Accent3 6 2 2 6 2" xfId="2420" xr:uid="{00000000-0005-0000-0000-00006E090000}"/>
    <cellStyle name="20% - Accent3 6 2 2 7" xfId="2421" xr:uid="{00000000-0005-0000-0000-00006F090000}"/>
    <cellStyle name="20% - Accent3 6 2 2 7 2" xfId="2422" xr:uid="{00000000-0005-0000-0000-000070090000}"/>
    <cellStyle name="20% - Accent3 6 2 2 8" xfId="2423" xr:uid="{00000000-0005-0000-0000-000071090000}"/>
    <cellStyle name="20% - Accent3 6 2 3" xfId="2424" xr:uid="{00000000-0005-0000-0000-000072090000}"/>
    <cellStyle name="20% - Accent3 6 2 3 2" xfId="2425" xr:uid="{00000000-0005-0000-0000-000073090000}"/>
    <cellStyle name="20% - Accent3 6 2 3 2 2" xfId="2426" xr:uid="{00000000-0005-0000-0000-000074090000}"/>
    <cellStyle name="20% - Accent3 6 2 3 2 2 2" xfId="2427" xr:uid="{00000000-0005-0000-0000-000075090000}"/>
    <cellStyle name="20% - Accent3 6 2 3 2 2 2 2" xfId="2428" xr:uid="{00000000-0005-0000-0000-000076090000}"/>
    <cellStyle name="20% - Accent3 6 2 3 2 2 3" xfId="2429" xr:uid="{00000000-0005-0000-0000-000077090000}"/>
    <cellStyle name="20% - Accent3 6 2 3 2 2 3 2" xfId="2430" xr:uid="{00000000-0005-0000-0000-000078090000}"/>
    <cellStyle name="20% - Accent3 6 2 3 2 2 4" xfId="2431" xr:uid="{00000000-0005-0000-0000-000079090000}"/>
    <cellStyle name="20% - Accent3 6 2 3 2 3" xfId="2432" xr:uid="{00000000-0005-0000-0000-00007A090000}"/>
    <cellStyle name="20% - Accent3 6 2 3 2 3 2" xfId="2433" xr:uid="{00000000-0005-0000-0000-00007B090000}"/>
    <cellStyle name="20% - Accent3 6 2 3 2 4" xfId="2434" xr:uid="{00000000-0005-0000-0000-00007C090000}"/>
    <cellStyle name="20% - Accent3 6 2 3 2 4 2" xfId="2435" xr:uid="{00000000-0005-0000-0000-00007D090000}"/>
    <cellStyle name="20% - Accent3 6 2 3 2 5" xfId="2436" xr:uid="{00000000-0005-0000-0000-00007E090000}"/>
    <cellStyle name="20% - Accent3 6 2 3 2 5 2" xfId="2437" xr:uid="{00000000-0005-0000-0000-00007F090000}"/>
    <cellStyle name="20% - Accent3 6 2 3 2 6" xfId="2438" xr:uid="{00000000-0005-0000-0000-000080090000}"/>
    <cellStyle name="20% - Accent3 6 2 3 2 6 2" xfId="2439" xr:uid="{00000000-0005-0000-0000-000081090000}"/>
    <cellStyle name="20% - Accent3 6 2 3 2 7" xfId="2440" xr:uid="{00000000-0005-0000-0000-000082090000}"/>
    <cellStyle name="20% - Accent3 6 2 3 3" xfId="2441" xr:uid="{00000000-0005-0000-0000-000083090000}"/>
    <cellStyle name="20% - Accent3 6 2 3 3 2" xfId="2442" xr:uid="{00000000-0005-0000-0000-000084090000}"/>
    <cellStyle name="20% - Accent3 6 2 3 3 2 2" xfId="2443" xr:uid="{00000000-0005-0000-0000-000085090000}"/>
    <cellStyle name="20% - Accent3 6 2 3 3 3" xfId="2444" xr:uid="{00000000-0005-0000-0000-000086090000}"/>
    <cellStyle name="20% - Accent3 6 2 3 3 3 2" xfId="2445" xr:uid="{00000000-0005-0000-0000-000087090000}"/>
    <cellStyle name="20% - Accent3 6 2 3 3 4" xfId="2446" xr:uid="{00000000-0005-0000-0000-000088090000}"/>
    <cellStyle name="20% - Accent3 6 2 3 3 4 2" xfId="2447" xr:uid="{00000000-0005-0000-0000-000089090000}"/>
    <cellStyle name="20% - Accent3 6 2 3 3 5" xfId="2448" xr:uid="{00000000-0005-0000-0000-00008A090000}"/>
    <cellStyle name="20% - Accent3 6 2 3 3 5 2" xfId="2449" xr:uid="{00000000-0005-0000-0000-00008B090000}"/>
    <cellStyle name="20% - Accent3 6 2 3 3 6" xfId="2450" xr:uid="{00000000-0005-0000-0000-00008C090000}"/>
    <cellStyle name="20% - Accent3 6 2 3 4" xfId="2451" xr:uid="{00000000-0005-0000-0000-00008D090000}"/>
    <cellStyle name="20% - Accent3 6 2 3 4 2" xfId="2452" xr:uid="{00000000-0005-0000-0000-00008E090000}"/>
    <cellStyle name="20% - Accent3 6 2 3 4 2 2" xfId="2453" xr:uid="{00000000-0005-0000-0000-00008F090000}"/>
    <cellStyle name="20% - Accent3 6 2 3 4 3" xfId="2454" xr:uid="{00000000-0005-0000-0000-000090090000}"/>
    <cellStyle name="20% - Accent3 6 2 3 5" xfId="2455" xr:uid="{00000000-0005-0000-0000-000091090000}"/>
    <cellStyle name="20% - Accent3 6 2 3 5 2" xfId="2456" xr:uid="{00000000-0005-0000-0000-000092090000}"/>
    <cellStyle name="20% - Accent3 6 2 3 6" xfId="2457" xr:uid="{00000000-0005-0000-0000-000093090000}"/>
    <cellStyle name="20% - Accent3 6 2 3 6 2" xfId="2458" xr:uid="{00000000-0005-0000-0000-000094090000}"/>
    <cellStyle name="20% - Accent3 6 2 3 7" xfId="2459" xr:uid="{00000000-0005-0000-0000-000095090000}"/>
    <cellStyle name="20% - Accent3 6 2 3 7 2" xfId="2460" xr:uid="{00000000-0005-0000-0000-000096090000}"/>
    <cellStyle name="20% - Accent3 6 2 3 8" xfId="2461" xr:uid="{00000000-0005-0000-0000-000097090000}"/>
    <cellStyle name="20% - Accent3 6 2 4" xfId="2462" xr:uid="{00000000-0005-0000-0000-000098090000}"/>
    <cellStyle name="20% - Accent3 6 2 4 2" xfId="2463" xr:uid="{00000000-0005-0000-0000-000099090000}"/>
    <cellStyle name="20% - Accent3 6 2 4 2 2" xfId="2464" xr:uid="{00000000-0005-0000-0000-00009A090000}"/>
    <cellStyle name="20% - Accent3 6 2 4 2 2 2" xfId="2465" xr:uid="{00000000-0005-0000-0000-00009B090000}"/>
    <cellStyle name="20% - Accent3 6 2 4 2 3" xfId="2466" xr:uid="{00000000-0005-0000-0000-00009C090000}"/>
    <cellStyle name="20% - Accent3 6 2 4 2 3 2" xfId="2467" xr:uid="{00000000-0005-0000-0000-00009D090000}"/>
    <cellStyle name="20% - Accent3 6 2 4 2 4" xfId="2468" xr:uid="{00000000-0005-0000-0000-00009E090000}"/>
    <cellStyle name="20% - Accent3 6 2 4 3" xfId="2469" xr:uid="{00000000-0005-0000-0000-00009F090000}"/>
    <cellStyle name="20% - Accent3 6 2 4 3 2" xfId="2470" xr:uid="{00000000-0005-0000-0000-0000A0090000}"/>
    <cellStyle name="20% - Accent3 6 2 4 4" xfId="2471" xr:uid="{00000000-0005-0000-0000-0000A1090000}"/>
    <cellStyle name="20% - Accent3 6 2 4 4 2" xfId="2472" xr:uid="{00000000-0005-0000-0000-0000A2090000}"/>
    <cellStyle name="20% - Accent3 6 2 4 5" xfId="2473" xr:uid="{00000000-0005-0000-0000-0000A3090000}"/>
    <cellStyle name="20% - Accent3 6 2 4 5 2" xfId="2474" xr:uid="{00000000-0005-0000-0000-0000A4090000}"/>
    <cellStyle name="20% - Accent3 6 2 4 6" xfId="2475" xr:uid="{00000000-0005-0000-0000-0000A5090000}"/>
    <cellStyle name="20% - Accent3 6 2 4 6 2" xfId="2476" xr:uid="{00000000-0005-0000-0000-0000A6090000}"/>
    <cellStyle name="20% - Accent3 6 2 4 7" xfId="2477" xr:uid="{00000000-0005-0000-0000-0000A7090000}"/>
    <cellStyle name="20% - Accent3 6 2 5" xfId="2478" xr:uid="{00000000-0005-0000-0000-0000A8090000}"/>
    <cellStyle name="20% - Accent3 6 2 5 2" xfId="2479" xr:uid="{00000000-0005-0000-0000-0000A9090000}"/>
    <cellStyle name="20% - Accent3 6 2 5 2 2" xfId="2480" xr:uid="{00000000-0005-0000-0000-0000AA090000}"/>
    <cellStyle name="20% - Accent3 6 2 5 3" xfId="2481" xr:uid="{00000000-0005-0000-0000-0000AB090000}"/>
    <cellStyle name="20% - Accent3 6 2 5 3 2" xfId="2482" xr:uid="{00000000-0005-0000-0000-0000AC090000}"/>
    <cellStyle name="20% - Accent3 6 2 5 4" xfId="2483" xr:uid="{00000000-0005-0000-0000-0000AD090000}"/>
    <cellStyle name="20% - Accent3 6 2 5 4 2" xfId="2484" xr:uid="{00000000-0005-0000-0000-0000AE090000}"/>
    <cellStyle name="20% - Accent3 6 2 5 5" xfId="2485" xr:uid="{00000000-0005-0000-0000-0000AF090000}"/>
    <cellStyle name="20% - Accent3 6 2 5 5 2" xfId="2486" xr:uid="{00000000-0005-0000-0000-0000B0090000}"/>
    <cellStyle name="20% - Accent3 6 2 5 6" xfId="2487" xr:uid="{00000000-0005-0000-0000-0000B1090000}"/>
    <cellStyle name="20% - Accent3 6 2 6" xfId="2488" xr:uid="{00000000-0005-0000-0000-0000B2090000}"/>
    <cellStyle name="20% - Accent3 6 2 6 2" xfId="2489" xr:uid="{00000000-0005-0000-0000-0000B3090000}"/>
    <cellStyle name="20% - Accent3 6 2 6 2 2" xfId="2490" xr:uid="{00000000-0005-0000-0000-0000B4090000}"/>
    <cellStyle name="20% - Accent3 6 2 6 3" xfId="2491" xr:uid="{00000000-0005-0000-0000-0000B5090000}"/>
    <cellStyle name="20% - Accent3 6 2 7" xfId="2492" xr:uid="{00000000-0005-0000-0000-0000B6090000}"/>
    <cellStyle name="20% - Accent3 6 2 7 2" xfId="2493" xr:uid="{00000000-0005-0000-0000-0000B7090000}"/>
    <cellStyle name="20% - Accent3 6 2 8" xfId="2494" xr:uid="{00000000-0005-0000-0000-0000B8090000}"/>
    <cellStyle name="20% - Accent3 6 2 8 2" xfId="2495" xr:uid="{00000000-0005-0000-0000-0000B9090000}"/>
    <cellStyle name="20% - Accent3 6 2 9" xfId="2496" xr:uid="{00000000-0005-0000-0000-0000BA090000}"/>
    <cellStyle name="20% - Accent3 6 2 9 2" xfId="2497" xr:uid="{00000000-0005-0000-0000-0000BB090000}"/>
    <cellStyle name="20% - Accent3 6 3" xfId="2498" xr:uid="{00000000-0005-0000-0000-0000BC090000}"/>
    <cellStyle name="20% - Accent3 6 3 2" xfId="2499" xr:uid="{00000000-0005-0000-0000-0000BD090000}"/>
    <cellStyle name="20% - Accent3 6 3 2 2" xfId="2500" xr:uid="{00000000-0005-0000-0000-0000BE090000}"/>
    <cellStyle name="20% - Accent3 6 3 2 2 2" xfId="2501" xr:uid="{00000000-0005-0000-0000-0000BF090000}"/>
    <cellStyle name="20% - Accent3 6 3 2 2 2 2" xfId="2502" xr:uid="{00000000-0005-0000-0000-0000C0090000}"/>
    <cellStyle name="20% - Accent3 6 3 2 2 3" xfId="2503" xr:uid="{00000000-0005-0000-0000-0000C1090000}"/>
    <cellStyle name="20% - Accent3 6 3 2 2 3 2" xfId="2504" xr:uid="{00000000-0005-0000-0000-0000C2090000}"/>
    <cellStyle name="20% - Accent3 6 3 2 2 4" xfId="2505" xr:uid="{00000000-0005-0000-0000-0000C3090000}"/>
    <cellStyle name="20% - Accent3 6 3 2 3" xfId="2506" xr:uid="{00000000-0005-0000-0000-0000C4090000}"/>
    <cellStyle name="20% - Accent3 6 3 2 3 2" xfId="2507" xr:uid="{00000000-0005-0000-0000-0000C5090000}"/>
    <cellStyle name="20% - Accent3 6 3 2 4" xfId="2508" xr:uid="{00000000-0005-0000-0000-0000C6090000}"/>
    <cellStyle name="20% - Accent3 6 3 2 4 2" xfId="2509" xr:uid="{00000000-0005-0000-0000-0000C7090000}"/>
    <cellStyle name="20% - Accent3 6 3 2 5" xfId="2510" xr:uid="{00000000-0005-0000-0000-0000C8090000}"/>
    <cellStyle name="20% - Accent3 6 3 2 5 2" xfId="2511" xr:uid="{00000000-0005-0000-0000-0000C9090000}"/>
    <cellStyle name="20% - Accent3 6 3 2 6" xfId="2512" xr:uid="{00000000-0005-0000-0000-0000CA090000}"/>
    <cellStyle name="20% - Accent3 6 3 2 6 2" xfId="2513" xr:uid="{00000000-0005-0000-0000-0000CB090000}"/>
    <cellStyle name="20% - Accent3 6 3 2 7" xfId="2514" xr:uid="{00000000-0005-0000-0000-0000CC090000}"/>
    <cellStyle name="20% - Accent3 6 3 3" xfId="2515" xr:uid="{00000000-0005-0000-0000-0000CD090000}"/>
    <cellStyle name="20% - Accent3 6 3 3 2" xfId="2516" xr:uid="{00000000-0005-0000-0000-0000CE090000}"/>
    <cellStyle name="20% - Accent3 6 3 3 2 2" xfId="2517" xr:uid="{00000000-0005-0000-0000-0000CF090000}"/>
    <cellStyle name="20% - Accent3 6 3 3 3" xfId="2518" xr:uid="{00000000-0005-0000-0000-0000D0090000}"/>
    <cellStyle name="20% - Accent3 6 3 3 3 2" xfId="2519" xr:uid="{00000000-0005-0000-0000-0000D1090000}"/>
    <cellStyle name="20% - Accent3 6 3 3 4" xfId="2520" xr:uid="{00000000-0005-0000-0000-0000D2090000}"/>
    <cellStyle name="20% - Accent3 6 3 3 4 2" xfId="2521" xr:uid="{00000000-0005-0000-0000-0000D3090000}"/>
    <cellStyle name="20% - Accent3 6 3 3 5" xfId="2522" xr:uid="{00000000-0005-0000-0000-0000D4090000}"/>
    <cellStyle name="20% - Accent3 6 3 3 5 2" xfId="2523" xr:uid="{00000000-0005-0000-0000-0000D5090000}"/>
    <cellStyle name="20% - Accent3 6 3 3 6" xfId="2524" xr:uid="{00000000-0005-0000-0000-0000D6090000}"/>
    <cellStyle name="20% - Accent3 6 3 4" xfId="2525" xr:uid="{00000000-0005-0000-0000-0000D7090000}"/>
    <cellStyle name="20% - Accent3 6 3 4 2" xfId="2526" xr:uid="{00000000-0005-0000-0000-0000D8090000}"/>
    <cellStyle name="20% - Accent3 6 3 4 2 2" xfId="2527" xr:uid="{00000000-0005-0000-0000-0000D9090000}"/>
    <cellStyle name="20% - Accent3 6 3 4 3" xfId="2528" xr:uid="{00000000-0005-0000-0000-0000DA090000}"/>
    <cellStyle name="20% - Accent3 6 3 5" xfId="2529" xr:uid="{00000000-0005-0000-0000-0000DB090000}"/>
    <cellStyle name="20% - Accent3 6 3 5 2" xfId="2530" xr:uid="{00000000-0005-0000-0000-0000DC090000}"/>
    <cellStyle name="20% - Accent3 6 3 6" xfId="2531" xr:uid="{00000000-0005-0000-0000-0000DD090000}"/>
    <cellStyle name="20% - Accent3 6 3 6 2" xfId="2532" xr:uid="{00000000-0005-0000-0000-0000DE090000}"/>
    <cellStyle name="20% - Accent3 6 3 7" xfId="2533" xr:uid="{00000000-0005-0000-0000-0000DF090000}"/>
    <cellStyle name="20% - Accent3 6 3 7 2" xfId="2534" xr:uid="{00000000-0005-0000-0000-0000E0090000}"/>
    <cellStyle name="20% - Accent3 6 3 8" xfId="2535" xr:uid="{00000000-0005-0000-0000-0000E1090000}"/>
    <cellStyle name="20% - Accent3 6 4" xfId="2536" xr:uid="{00000000-0005-0000-0000-0000E2090000}"/>
    <cellStyle name="20% - Accent3 6 4 2" xfId="2537" xr:uid="{00000000-0005-0000-0000-0000E3090000}"/>
    <cellStyle name="20% - Accent3 6 4 2 2" xfId="2538" xr:uid="{00000000-0005-0000-0000-0000E4090000}"/>
    <cellStyle name="20% - Accent3 6 4 2 2 2" xfId="2539" xr:uid="{00000000-0005-0000-0000-0000E5090000}"/>
    <cellStyle name="20% - Accent3 6 4 2 2 2 2" xfId="2540" xr:uid="{00000000-0005-0000-0000-0000E6090000}"/>
    <cellStyle name="20% - Accent3 6 4 2 2 3" xfId="2541" xr:uid="{00000000-0005-0000-0000-0000E7090000}"/>
    <cellStyle name="20% - Accent3 6 4 2 2 3 2" xfId="2542" xr:uid="{00000000-0005-0000-0000-0000E8090000}"/>
    <cellStyle name="20% - Accent3 6 4 2 2 4" xfId="2543" xr:uid="{00000000-0005-0000-0000-0000E9090000}"/>
    <cellStyle name="20% - Accent3 6 4 2 3" xfId="2544" xr:uid="{00000000-0005-0000-0000-0000EA090000}"/>
    <cellStyle name="20% - Accent3 6 4 2 3 2" xfId="2545" xr:uid="{00000000-0005-0000-0000-0000EB090000}"/>
    <cellStyle name="20% - Accent3 6 4 2 4" xfId="2546" xr:uid="{00000000-0005-0000-0000-0000EC090000}"/>
    <cellStyle name="20% - Accent3 6 4 2 4 2" xfId="2547" xr:uid="{00000000-0005-0000-0000-0000ED090000}"/>
    <cellStyle name="20% - Accent3 6 4 2 5" xfId="2548" xr:uid="{00000000-0005-0000-0000-0000EE090000}"/>
    <cellStyle name="20% - Accent3 6 4 2 5 2" xfId="2549" xr:uid="{00000000-0005-0000-0000-0000EF090000}"/>
    <cellStyle name="20% - Accent3 6 4 2 6" xfId="2550" xr:uid="{00000000-0005-0000-0000-0000F0090000}"/>
    <cellStyle name="20% - Accent3 6 4 2 6 2" xfId="2551" xr:uid="{00000000-0005-0000-0000-0000F1090000}"/>
    <cellStyle name="20% - Accent3 6 4 2 7" xfId="2552" xr:uid="{00000000-0005-0000-0000-0000F2090000}"/>
    <cellStyle name="20% - Accent3 6 4 3" xfId="2553" xr:uid="{00000000-0005-0000-0000-0000F3090000}"/>
    <cellStyle name="20% - Accent3 6 4 3 2" xfId="2554" xr:uid="{00000000-0005-0000-0000-0000F4090000}"/>
    <cellStyle name="20% - Accent3 6 4 3 2 2" xfId="2555" xr:uid="{00000000-0005-0000-0000-0000F5090000}"/>
    <cellStyle name="20% - Accent3 6 4 3 3" xfId="2556" xr:uid="{00000000-0005-0000-0000-0000F6090000}"/>
    <cellStyle name="20% - Accent3 6 4 3 3 2" xfId="2557" xr:uid="{00000000-0005-0000-0000-0000F7090000}"/>
    <cellStyle name="20% - Accent3 6 4 3 4" xfId="2558" xr:uid="{00000000-0005-0000-0000-0000F8090000}"/>
    <cellStyle name="20% - Accent3 6 4 3 4 2" xfId="2559" xr:uid="{00000000-0005-0000-0000-0000F9090000}"/>
    <cellStyle name="20% - Accent3 6 4 3 5" xfId="2560" xr:uid="{00000000-0005-0000-0000-0000FA090000}"/>
    <cellStyle name="20% - Accent3 6 4 3 5 2" xfId="2561" xr:uid="{00000000-0005-0000-0000-0000FB090000}"/>
    <cellStyle name="20% - Accent3 6 4 3 6" xfId="2562" xr:uid="{00000000-0005-0000-0000-0000FC090000}"/>
    <cellStyle name="20% - Accent3 6 4 4" xfId="2563" xr:uid="{00000000-0005-0000-0000-0000FD090000}"/>
    <cellStyle name="20% - Accent3 6 4 4 2" xfId="2564" xr:uid="{00000000-0005-0000-0000-0000FE090000}"/>
    <cellStyle name="20% - Accent3 6 4 4 2 2" xfId="2565" xr:uid="{00000000-0005-0000-0000-0000FF090000}"/>
    <cellStyle name="20% - Accent3 6 4 4 3" xfId="2566" xr:uid="{00000000-0005-0000-0000-0000000A0000}"/>
    <cellStyle name="20% - Accent3 6 4 5" xfId="2567" xr:uid="{00000000-0005-0000-0000-0000010A0000}"/>
    <cellStyle name="20% - Accent3 6 4 5 2" xfId="2568" xr:uid="{00000000-0005-0000-0000-0000020A0000}"/>
    <cellStyle name="20% - Accent3 6 4 6" xfId="2569" xr:uid="{00000000-0005-0000-0000-0000030A0000}"/>
    <cellStyle name="20% - Accent3 6 4 6 2" xfId="2570" xr:uid="{00000000-0005-0000-0000-0000040A0000}"/>
    <cellStyle name="20% - Accent3 6 4 7" xfId="2571" xr:uid="{00000000-0005-0000-0000-0000050A0000}"/>
    <cellStyle name="20% - Accent3 6 4 7 2" xfId="2572" xr:uid="{00000000-0005-0000-0000-0000060A0000}"/>
    <cellStyle name="20% - Accent3 6 4 8" xfId="2573" xr:uid="{00000000-0005-0000-0000-0000070A0000}"/>
    <cellStyle name="20% - Accent3 6 5" xfId="2574" xr:uid="{00000000-0005-0000-0000-0000080A0000}"/>
    <cellStyle name="20% - Accent3 6 5 2" xfId="2575" xr:uid="{00000000-0005-0000-0000-0000090A0000}"/>
    <cellStyle name="20% - Accent3 6 5 2 2" xfId="2576" xr:uid="{00000000-0005-0000-0000-00000A0A0000}"/>
    <cellStyle name="20% - Accent3 6 5 2 2 2" xfId="2577" xr:uid="{00000000-0005-0000-0000-00000B0A0000}"/>
    <cellStyle name="20% - Accent3 6 5 2 3" xfId="2578" xr:uid="{00000000-0005-0000-0000-00000C0A0000}"/>
    <cellStyle name="20% - Accent3 6 5 2 3 2" xfId="2579" xr:uid="{00000000-0005-0000-0000-00000D0A0000}"/>
    <cellStyle name="20% - Accent3 6 5 2 4" xfId="2580" xr:uid="{00000000-0005-0000-0000-00000E0A0000}"/>
    <cellStyle name="20% - Accent3 6 5 3" xfId="2581" xr:uid="{00000000-0005-0000-0000-00000F0A0000}"/>
    <cellStyle name="20% - Accent3 6 5 3 2" xfId="2582" xr:uid="{00000000-0005-0000-0000-0000100A0000}"/>
    <cellStyle name="20% - Accent3 6 5 4" xfId="2583" xr:uid="{00000000-0005-0000-0000-0000110A0000}"/>
    <cellStyle name="20% - Accent3 6 5 4 2" xfId="2584" xr:uid="{00000000-0005-0000-0000-0000120A0000}"/>
    <cellStyle name="20% - Accent3 6 5 5" xfId="2585" xr:uid="{00000000-0005-0000-0000-0000130A0000}"/>
    <cellStyle name="20% - Accent3 6 5 5 2" xfId="2586" xr:uid="{00000000-0005-0000-0000-0000140A0000}"/>
    <cellStyle name="20% - Accent3 6 5 6" xfId="2587" xr:uid="{00000000-0005-0000-0000-0000150A0000}"/>
    <cellStyle name="20% - Accent3 6 5 6 2" xfId="2588" xr:uid="{00000000-0005-0000-0000-0000160A0000}"/>
    <cellStyle name="20% - Accent3 6 5 7" xfId="2589" xr:uid="{00000000-0005-0000-0000-0000170A0000}"/>
    <cellStyle name="20% - Accent3 6 6" xfId="2590" xr:uid="{00000000-0005-0000-0000-0000180A0000}"/>
    <cellStyle name="20% - Accent3 6 6 2" xfId="2591" xr:uid="{00000000-0005-0000-0000-0000190A0000}"/>
    <cellStyle name="20% - Accent3 6 6 2 2" xfId="2592" xr:uid="{00000000-0005-0000-0000-00001A0A0000}"/>
    <cellStyle name="20% - Accent3 6 6 3" xfId="2593" xr:uid="{00000000-0005-0000-0000-00001B0A0000}"/>
    <cellStyle name="20% - Accent3 6 6 3 2" xfId="2594" xr:uid="{00000000-0005-0000-0000-00001C0A0000}"/>
    <cellStyle name="20% - Accent3 6 6 4" xfId="2595" xr:uid="{00000000-0005-0000-0000-00001D0A0000}"/>
    <cellStyle name="20% - Accent3 6 6 4 2" xfId="2596" xr:uid="{00000000-0005-0000-0000-00001E0A0000}"/>
    <cellStyle name="20% - Accent3 6 6 5" xfId="2597" xr:uid="{00000000-0005-0000-0000-00001F0A0000}"/>
    <cellStyle name="20% - Accent3 6 6 5 2" xfId="2598" xr:uid="{00000000-0005-0000-0000-0000200A0000}"/>
    <cellStyle name="20% - Accent3 6 6 6" xfId="2599" xr:uid="{00000000-0005-0000-0000-0000210A0000}"/>
    <cellStyle name="20% - Accent3 6 7" xfId="2600" xr:uid="{00000000-0005-0000-0000-0000220A0000}"/>
    <cellStyle name="20% - Accent3 6 7 2" xfId="2601" xr:uid="{00000000-0005-0000-0000-0000230A0000}"/>
    <cellStyle name="20% - Accent3 6 7 2 2" xfId="2602" xr:uid="{00000000-0005-0000-0000-0000240A0000}"/>
    <cellStyle name="20% - Accent3 6 7 3" xfId="2603" xr:uid="{00000000-0005-0000-0000-0000250A0000}"/>
    <cellStyle name="20% - Accent3 6 8" xfId="2604" xr:uid="{00000000-0005-0000-0000-0000260A0000}"/>
    <cellStyle name="20% - Accent3 6 8 2" xfId="2605" xr:uid="{00000000-0005-0000-0000-0000270A0000}"/>
    <cellStyle name="20% - Accent3 6 9" xfId="2606" xr:uid="{00000000-0005-0000-0000-0000280A0000}"/>
    <cellStyle name="20% - Accent3 6 9 2" xfId="2607" xr:uid="{00000000-0005-0000-0000-0000290A0000}"/>
    <cellStyle name="20% - Accent3 7" xfId="2608" xr:uid="{00000000-0005-0000-0000-00002A0A0000}"/>
    <cellStyle name="20% - Accent3 7 2" xfId="2609" xr:uid="{00000000-0005-0000-0000-00002B0A0000}"/>
    <cellStyle name="20% - Accent3 8" xfId="2610" xr:uid="{00000000-0005-0000-0000-00002C0A0000}"/>
    <cellStyle name="20% - Accent3 8 2" xfId="2611" xr:uid="{00000000-0005-0000-0000-00002D0A0000}"/>
    <cellStyle name="20% - Accent3 8 2 2" xfId="2612" xr:uid="{00000000-0005-0000-0000-00002E0A0000}"/>
    <cellStyle name="20% - Accent3 8 2 2 2" xfId="2613" xr:uid="{00000000-0005-0000-0000-00002F0A0000}"/>
    <cellStyle name="20% - Accent3 8 2 2 2 2" xfId="2614" xr:uid="{00000000-0005-0000-0000-0000300A0000}"/>
    <cellStyle name="20% - Accent3 8 2 2 2 2 2" xfId="2615" xr:uid="{00000000-0005-0000-0000-0000310A0000}"/>
    <cellStyle name="20% - Accent3 8 2 2 2 3" xfId="2616" xr:uid="{00000000-0005-0000-0000-0000320A0000}"/>
    <cellStyle name="20% - Accent3 8 2 2 2 3 2" xfId="2617" xr:uid="{00000000-0005-0000-0000-0000330A0000}"/>
    <cellStyle name="20% - Accent3 8 2 2 2 4" xfId="2618" xr:uid="{00000000-0005-0000-0000-0000340A0000}"/>
    <cellStyle name="20% - Accent3 8 2 2 3" xfId="2619" xr:uid="{00000000-0005-0000-0000-0000350A0000}"/>
    <cellStyle name="20% - Accent3 8 2 2 3 2" xfId="2620" xr:uid="{00000000-0005-0000-0000-0000360A0000}"/>
    <cellStyle name="20% - Accent3 8 2 2 4" xfId="2621" xr:uid="{00000000-0005-0000-0000-0000370A0000}"/>
    <cellStyle name="20% - Accent3 8 2 2 4 2" xfId="2622" xr:uid="{00000000-0005-0000-0000-0000380A0000}"/>
    <cellStyle name="20% - Accent3 8 2 2 5" xfId="2623" xr:uid="{00000000-0005-0000-0000-0000390A0000}"/>
    <cellStyle name="20% - Accent3 8 2 2 5 2" xfId="2624" xr:uid="{00000000-0005-0000-0000-00003A0A0000}"/>
    <cellStyle name="20% - Accent3 8 2 2 6" xfId="2625" xr:uid="{00000000-0005-0000-0000-00003B0A0000}"/>
    <cellStyle name="20% - Accent3 8 2 2 6 2" xfId="2626" xr:uid="{00000000-0005-0000-0000-00003C0A0000}"/>
    <cellStyle name="20% - Accent3 8 2 2 7" xfId="2627" xr:uid="{00000000-0005-0000-0000-00003D0A0000}"/>
    <cellStyle name="20% - Accent3 8 2 3" xfId="2628" xr:uid="{00000000-0005-0000-0000-00003E0A0000}"/>
    <cellStyle name="20% - Accent3 8 2 3 2" xfId="2629" xr:uid="{00000000-0005-0000-0000-00003F0A0000}"/>
    <cellStyle name="20% - Accent3 8 2 3 2 2" xfId="2630" xr:uid="{00000000-0005-0000-0000-0000400A0000}"/>
    <cellStyle name="20% - Accent3 8 2 3 3" xfId="2631" xr:uid="{00000000-0005-0000-0000-0000410A0000}"/>
    <cellStyle name="20% - Accent3 8 2 3 3 2" xfId="2632" xr:uid="{00000000-0005-0000-0000-0000420A0000}"/>
    <cellStyle name="20% - Accent3 8 2 3 4" xfId="2633" xr:uid="{00000000-0005-0000-0000-0000430A0000}"/>
    <cellStyle name="20% - Accent3 8 2 3 4 2" xfId="2634" xr:uid="{00000000-0005-0000-0000-0000440A0000}"/>
    <cellStyle name="20% - Accent3 8 2 3 5" xfId="2635" xr:uid="{00000000-0005-0000-0000-0000450A0000}"/>
    <cellStyle name="20% - Accent3 8 2 3 5 2" xfId="2636" xr:uid="{00000000-0005-0000-0000-0000460A0000}"/>
    <cellStyle name="20% - Accent3 8 2 3 6" xfId="2637" xr:uid="{00000000-0005-0000-0000-0000470A0000}"/>
    <cellStyle name="20% - Accent3 8 2 4" xfId="2638" xr:uid="{00000000-0005-0000-0000-0000480A0000}"/>
    <cellStyle name="20% - Accent3 8 2 4 2" xfId="2639" xr:uid="{00000000-0005-0000-0000-0000490A0000}"/>
    <cellStyle name="20% - Accent3 8 2 4 2 2" xfId="2640" xr:uid="{00000000-0005-0000-0000-00004A0A0000}"/>
    <cellStyle name="20% - Accent3 8 2 4 3" xfId="2641" xr:uid="{00000000-0005-0000-0000-00004B0A0000}"/>
    <cellStyle name="20% - Accent3 8 2 5" xfId="2642" xr:uid="{00000000-0005-0000-0000-00004C0A0000}"/>
    <cellStyle name="20% - Accent3 8 2 5 2" xfId="2643" xr:uid="{00000000-0005-0000-0000-00004D0A0000}"/>
    <cellStyle name="20% - Accent3 8 2 6" xfId="2644" xr:uid="{00000000-0005-0000-0000-00004E0A0000}"/>
    <cellStyle name="20% - Accent3 8 2 6 2" xfId="2645" xr:uid="{00000000-0005-0000-0000-00004F0A0000}"/>
    <cellStyle name="20% - Accent3 8 2 7" xfId="2646" xr:uid="{00000000-0005-0000-0000-0000500A0000}"/>
    <cellStyle name="20% - Accent3 8 2 7 2" xfId="2647" xr:uid="{00000000-0005-0000-0000-0000510A0000}"/>
    <cellStyle name="20% - Accent3 8 2 8" xfId="2648" xr:uid="{00000000-0005-0000-0000-0000520A0000}"/>
    <cellStyle name="20% - Accent3 8 3" xfId="2649" xr:uid="{00000000-0005-0000-0000-0000530A0000}"/>
    <cellStyle name="20% - Accent3 8 3 2" xfId="2650" xr:uid="{00000000-0005-0000-0000-0000540A0000}"/>
    <cellStyle name="20% - Accent3 8 3 2 2" xfId="2651" xr:uid="{00000000-0005-0000-0000-0000550A0000}"/>
    <cellStyle name="20% - Accent3 8 3 2 2 2" xfId="2652" xr:uid="{00000000-0005-0000-0000-0000560A0000}"/>
    <cellStyle name="20% - Accent3 8 3 2 3" xfId="2653" xr:uid="{00000000-0005-0000-0000-0000570A0000}"/>
    <cellStyle name="20% - Accent3 8 3 2 3 2" xfId="2654" xr:uid="{00000000-0005-0000-0000-0000580A0000}"/>
    <cellStyle name="20% - Accent3 8 3 2 4" xfId="2655" xr:uid="{00000000-0005-0000-0000-0000590A0000}"/>
    <cellStyle name="20% - Accent3 8 3 3" xfId="2656" xr:uid="{00000000-0005-0000-0000-00005A0A0000}"/>
    <cellStyle name="20% - Accent3 8 3 3 2" xfId="2657" xr:uid="{00000000-0005-0000-0000-00005B0A0000}"/>
    <cellStyle name="20% - Accent3 8 3 4" xfId="2658" xr:uid="{00000000-0005-0000-0000-00005C0A0000}"/>
    <cellStyle name="20% - Accent3 8 3 4 2" xfId="2659" xr:uid="{00000000-0005-0000-0000-00005D0A0000}"/>
    <cellStyle name="20% - Accent3 8 3 5" xfId="2660" xr:uid="{00000000-0005-0000-0000-00005E0A0000}"/>
    <cellStyle name="20% - Accent3 8 3 5 2" xfId="2661" xr:uid="{00000000-0005-0000-0000-00005F0A0000}"/>
    <cellStyle name="20% - Accent3 8 3 6" xfId="2662" xr:uid="{00000000-0005-0000-0000-0000600A0000}"/>
    <cellStyle name="20% - Accent3 8 3 6 2" xfId="2663" xr:uid="{00000000-0005-0000-0000-0000610A0000}"/>
    <cellStyle name="20% - Accent3 8 3 7" xfId="2664" xr:uid="{00000000-0005-0000-0000-0000620A0000}"/>
    <cellStyle name="20% - Accent3 8 4" xfId="2665" xr:uid="{00000000-0005-0000-0000-0000630A0000}"/>
    <cellStyle name="20% - Accent3 8 4 2" xfId="2666" xr:uid="{00000000-0005-0000-0000-0000640A0000}"/>
    <cellStyle name="20% - Accent3 8 4 2 2" xfId="2667" xr:uid="{00000000-0005-0000-0000-0000650A0000}"/>
    <cellStyle name="20% - Accent3 8 4 3" xfId="2668" xr:uid="{00000000-0005-0000-0000-0000660A0000}"/>
    <cellStyle name="20% - Accent3 8 4 3 2" xfId="2669" xr:uid="{00000000-0005-0000-0000-0000670A0000}"/>
    <cellStyle name="20% - Accent3 8 4 4" xfId="2670" xr:uid="{00000000-0005-0000-0000-0000680A0000}"/>
    <cellStyle name="20% - Accent3 8 4 4 2" xfId="2671" xr:uid="{00000000-0005-0000-0000-0000690A0000}"/>
    <cellStyle name="20% - Accent3 8 4 5" xfId="2672" xr:uid="{00000000-0005-0000-0000-00006A0A0000}"/>
    <cellStyle name="20% - Accent3 8 4 5 2" xfId="2673" xr:uid="{00000000-0005-0000-0000-00006B0A0000}"/>
    <cellStyle name="20% - Accent3 8 4 6" xfId="2674" xr:uid="{00000000-0005-0000-0000-00006C0A0000}"/>
    <cellStyle name="20% - Accent3 8 5" xfId="2675" xr:uid="{00000000-0005-0000-0000-00006D0A0000}"/>
    <cellStyle name="20% - Accent3 8 5 2" xfId="2676" xr:uid="{00000000-0005-0000-0000-00006E0A0000}"/>
    <cellStyle name="20% - Accent3 8 5 2 2" xfId="2677" xr:uid="{00000000-0005-0000-0000-00006F0A0000}"/>
    <cellStyle name="20% - Accent3 8 5 3" xfId="2678" xr:uid="{00000000-0005-0000-0000-0000700A0000}"/>
    <cellStyle name="20% - Accent3 8 6" xfId="2679" xr:uid="{00000000-0005-0000-0000-0000710A0000}"/>
    <cellStyle name="20% - Accent3 8 6 2" xfId="2680" xr:uid="{00000000-0005-0000-0000-0000720A0000}"/>
    <cellStyle name="20% - Accent3 8 7" xfId="2681" xr:uid="{00000000-0005-0000-0000-0000730A0000}"/>
    <cellStyle name="20% - Accent3 8 7 2" xfId="2682" xr:uid="{00000000-0005-0000-0000-0000740A0000}"/>
    <cellStyle name="20% - Accent3 8 8" xfId="2683" xr:uid="{00000000-0005-0000-0000-0000750A0000}"/>
    <cellStyle name="20% - Accent3 8 8 2" xfId="2684" xr:uid="{00000000-0005-0000-0000-0000760A0000}"/>
    <cellStyle name="20% - Accent3 8 9" xfId="2685" xr:uid="{00000000-0005-0000-0000-0000770A0000}"/>
    <cellStyle name="20% - Accent3 9" xfId="2686" xr:uid="{00000000-0005-0000-0000-0000780A0000}"/>
    <cellStyle name="20% - Accent3 9 2" xfId="2687" xr:uid="{00000000-0005-0000-0000-0000790A0000}"/>
    <cellStyle name="20% - Accent3 9 2 2" xfId="2688" xr:uid="{00000000-0005-0000-0000-00007A0A0000}"/>
    <cellStyle name="20% - Accent3 9 2 2 2" xfId="2689" xr:uid="{00000000-0005-0000-0000-00007B0A0000}"/>
    <cellStyle name="20% - Accent3 9 2 2 2 2" xfId="2690" xr:uid="{00000000-0005-0000-0000-00007C0A0000}"/>
    <cellStyle name="20% - Accent3 9 2 2 3" xfId="2691" xr:uid="{00000000-0005-0000-0000-00007D0A0000}"/>
    <cellStyle name="20% - Accent3 9 2 3" xfId="2692" xr:uid="{00000000-0005-0000-0000-00007E0A0000}"/>
    <cellStyle name="20% - Accent3 9 2 3 2" xfId="2693" xr:uid="{00000000-0005-0000-0000-00007F0A0000}"/>
    <cellStyle name="20% - Accent3 9 2 4" xfId="2694" xr:uid="{00000000-0005-0000-0000-0000800A0000}"/>
    <cellStyle name="20% - Accent3 9 3" xfId="2695" xr:uid="{00000000-0005-0000-0000-0000810A0000}"/>
    <cellStyle name="20% - Accent3 9 3 2" xfId="2696" xr:uid="{00000000-0005-0000-0000-0000820A0000}"/>
    <cellStyle name="20% - Accent3 9 3 2 2" xfId="2697" xr:uid="{00000000-0005-0000-0000-0000830A0000}"/>
    <cellStyle name="20% - Accent3 9 3 3" xfId="2698" xr:uid="{00000000-0005-0000-0000-0000840A0000}"/>
    <cellStyle name="20% - Accent3 9 4" xfId="2699" xr:uid="{00000000-0005-0000-0000-0000850A0000}"/>
    <cellStyle name="20% - Accent3 9 4 2" xfId="2700" xr:uid="{00000000-0005-0000-0000-0000860A0000}"/>
    <cellStyle name="20% - Accent3 9 5" xfId="2701" xr:uid="{00000000-0005-0000-0000-0000870A0000}"/>
    <cellStyle name="20% - Accent3 9 5 2" xfId="2702" xr:uid="{00000000-0005-0000-0000-0000880A0000}"/>
    <cellStyle name="20% - Accent3 9 6" xfId="2703" xr:uid="{00000000-0005-0000-0000-0000890A0000}"/>
    <cellStyle name="20% - Accent3 9 6 2" xfId="2704" xr:uid="{00000000-0005-0000-0000-00008A0A0000}"/>
    <cellStyle name="20% - Accent3 9 7" xfId="2705" xr:uid="{00000000-0005-0000-0000-00008B0A0000}"/>
    <cellStyle name="20% - Accent4 10" xfId="2706" xr:uid="{00000000-0005-0000-0000-00008C0A0000}"/>
    <cellStyle name="20% - Accent4 10 2" xfId="2707" xr:uid="{00000000-0005-0000-0000-00008D0A0000}"/>
    <cellStyle name="20% - Accent4 10 2 2" xfId="2708" xr:uid="{00000000-0005-0000-0000-00008E0A0000}"/>
    <cellStyle name="20% - Accent4 10 2 2 2" xfId="2709" xr:uid="{00000000-0005-0000-0000-00008F0A0000}"/>
    <cellStyle name="20% - Accent4 10 2 2 2 2" xfId="2710" xr:uid="{00000000-0005-0000-0000-0000900A0000}"/>
    <cellStyle name="20% - Accent4 10 2 2 3" xfId="2711" xr:uid="{00000000-0005-0000-0000-0000910A0000}"/>
    <cellStyle name="20% - Accent4 10 2 3" xfId="2712" xr:uid="{00000000-0005-0000-0000-0000920A0000}"/>
    <cellStyle name="20% - Accent4 10 2 3 2" xfId="2713" xr:uid="{00000000-0005-0000-0000-0000930A0000}"/>
    <cellStyle name="20% - Accent4 10 2 4" xfId="2714" xr:uid="{00000000-0005-0000-0000-0000940A0000}"/>
    <cellStyle name="20% - Accent4 10 3" xfId="2715" xr:uid="{00000000-0005-0000-0000-0000950A0000}"/>
    <cellStyle name="20% - Accent4 10 3 2" xfId="2716" xr:uid="{00000000-0005-0000-0000-0000960A0000}"/>
    <cellStyle name="20% - Accent4 10 3 2 2" xfId="2717" xr:uid="{00000000-0005-0000-0000-0000970A0000}"/>
    <cellStyle name="20% - Accent4 10 3 3" xfId="2718" xr:uid="{00000000-0005-0000-0000-0000980A0000}"/>
    <cellStyle name="20% - Accent4 10 4" xfId="2719" xr:uid="{00000000-0005-0000-0000-0000990A0000}"/>
    <cellStyle name="20% - Accent4 10 4 2" xfId="2720" xr:uid="{00000000-0005-0000-0000-00009A0A0000}"/>
    <cellStyle name="20% - Accent4 10 5" xfId="2721" xr:uid="{00000000-0005-0000-0000-00009B0A0000}"/>
    <cellStyle name="20% - Accent4 11" xfId="2722" xr:uid="{00000000-0005-0000-0000-00009C0A0000}"/>
    <cellStyle name="20% - Accent4 11 2" xfId="2723" xr:uid="{00000000-0005-0000-0000-00009D0A0000}"/>
    <cellStyle name="20% - Accent4 11 2 2" xfId="2724" xr:uid="{00000000-0005-0000-0000-00009E0A0000}"/>
    <cellStyle name="20% - Accent4 11 2 2 2" xfId="2725" xr:uid="{00000000-0005-0000-0000-00009F0A0000}"/>
    <cellStyle name="20% - Accent4 11 2 2 2 2" xfId="2726" xr:uid="{00000000-0005-0000-0000-0000A00A0000}"/>
    <cellStyle name="20% - Accent4 11 2 2 3" xfId="2727" xr:uid="{00000000-0005-0000-0000-0000A10A0000}"/>
    <cellStyle name="20% - Accent4 11 2 3" xfId="2728" xr:uid="{00000000-0005-0000-0000-0000A20A0000}"/>
    <cellStyle name="20% - Accent4 11 2 3 2" xfId="2729" xr:uid="{00000000-0005-0000-0000-0000A30A0000}"/>
    <cellStyle name="20% - Accent4 11 2 4" xfId="2730" xr:uid="{00000000-0005-0000-0000-0000A40A0000}"/>
    <cellStyle name="20% - Accent4 11 3" xfId="2731" xr:uid="{00000000-0005-0000-0000-0000A50A0000}"/>
    <cellStyle name="20% - Accent4 11 3 2" xfId="2732" xr:uid="{00000000-0005-0000-0000-0000A60A0000}"/>
    <cellStyle name="20% - Accent4 11 3 2 2" xfId="2733" xr:uid="{00000000-0005-0000-0000-0000A70A0000}"/>
    <cellStyle name="20% - Accent4 11 3 3" xfId="2734" xr:uid="{00000000-0005-0000-0000-0000A80A0000}"/>
    <cellStyle name="20% - Accent4 11 4" xfId="2735" xr:uid="{00000000-0005-0000-0000-0000A90A0000}"/>
    <cellStyle name="20% - Accent4 11 4 2" xfId="2736" xr:uid="{00000000-0005-0000-0000-0000AA0A0000}"/>
    <cellStyle name="20% - Accent4 11 5" xfId="2737" xr:uid="{00000000-0005-0000-0000-0000AB0A0000}"/>
    <cellStyle name="20% - Accent4 12" xfId="2738" xr:uid="{00000000-0005-0000-0000-0000AC0A0000}"/>
    <cellStyle name="20% - Accent4 12 2" xfId="2739" xr:uid="{00000000-0005-0000-0000-0000AD0A0000}"/>
    <cellStyle name="20% - Accent4 13" xfId="2740" xr:uid="{00000000-0005-0000-0000-0000AE0A0000}"/>
    <cellStyle name="20% - Accent4 13 2" xfId="2741" xr:uid="{00000000-0005-0000-0000-0000AF0A0000}"/>
    <cellStyle name="20% - Accent4 13 2 2" xfId="2742" xr:uid="{00000000-0005-0000-0000-0000B00A0000}"/>
    <cellStyle name="20% - Accent4 13 2 2 2" xfId="2743" xr:uid="{00000000-0005-0000-0000-0000B10A0000}"/>
    <cellStyle name="20% - Accent4 13 2 3" xfId="2744" xr:uid="{00000000-0005-0000-0000-0000B20A0000}"/>
    <cellStyle name="20% - Accent4 13 3" xfId="2745" xr:uid="{00000000-0005-0000-0000-0000B30A0000}"/>
    <cellStyle name="20% - Accent4 13 3 2" xfId="2746" xr:uid="{00000000-0005-0000-0000-0000B40A0000}"/>
    <cellStyle name="20% - Accent4 13 4" xfId="2747" xr:uid="{00000000-0005-0000-0000-0000B50A0000}"/>
    <cellStyle name="20% - Accent4 14" xfId="2748" xr:uid="{00000000-0005-0000-0000-0000B60A0000}"/>
    <cellStyle name="20% - Accent4 14 2" xfId="2749" xr:uid="{00000000-0005-0000-0000-0000B70A0000}"/>
    <cellStyle name="20% - Accent4 2" xfId="2750" xr:uid="{00000000-0005-0000-0000-0000B80A0000}"/>
    <cellStyle name="20% - Accent4 2 2" xfId="2751" xr:uid="{00000000-0005-0000-0000-0000B90A0000}"/>
    <cellStyle name="20% - Accent4 2 2 2" xfId="2752" xr:uid="{00000000-0005-0000-0000-0000BA0A0000}"/>
    <cellStyle name="20% - Accent4 2 2 3" xfId="2753" xr:uid="{00000000-0005-0000-0000-0000BB0A0000}"/>
    <cellStyle name="20% - Accent4 2 2 3 2" xfId="2754" xr:uid="{00000000-0005-0000-0000-0000BC0A0000}"/>
    <cellStyle name="20% - Accent4 2 3" xfId="2755" xr:uid="{00000000-0005-0000-0000-0000BD0A0000}"/>
    <cellStyle name="20% - Accent4 2 3 2" xfId="2756" xr:uid="{00000000-0005-0000-0000-0000BE0A0000}"/>
    <cellStyle name="20% - Accent4 2 4" xfId="2757" xr:uid="{00000000-0005-0000-0000-0000BF0A0000}"/>
    <cellStyle name="20% - Accent4 2 4 2" xfId="2758" xr:uid="{00000000-0005-0000-0000-0000C00A0000}"/>
    <cellStyle name="20% - Accent4 2 4 3" xfId="2759" xr:uid="{00000000-0005-0000-0000-0000C10A0000}"/>
    <cellStyle name="20% - Accent4 2 5" xfId="2760" xr:uid="{00000000-0005-0000-0000-0000C20A0000}"/>
    <cellStyle name="20% - Accent4 3" xfId="2761" xr:uid="{00000000-0005-0000-0000-0000C30A0000}"/>
    <cellStyle name="20% - Accent4 3 2" xfId="2762" xr:uid="{00000000-0005-0000-0000-0000C40A0000}"/>
    <cellStyle name="20% - Accent4 3 2 2" xfId="2763" xr:uid="{00000000-0005-0000-0000-0000C50A0000}"/>
    <cellStyle name="20% - Accent4 3 2 2 2" xfId="2764" xr:uid="{00000000-0005-0000-0000-0000C60A0000}"/>
    <cellStyle name="20% - Accent4 3 2 2 2 2" xfId="2765" xr:uid="{00000000-0005-0000-0000-0000C70A0000}"/>
    <cellStyle name="20% - Accent4 3 2 2 3" xfId="2766" xr:uid="{00000000-0005-0000-0000-0000C80A0000}"/>
    <cellStyle name="20% - Accent4 3 2 2 3 2" xfId="2767" xr:uid="{00000000-0005-0000-0000-0000C90A0000}"/>
    <cellStyle name="20% - Accent4 3 2 2 4" xfId="2768" xr:uid="{00000000-0005-0000-0000-0000CA0A0000}"/>
    <cellStyle name="20% - Accent4 3 2 3" xfId="2769" xr:uid="{00000000-0005-0000-0000-0000CB0A0000}"/>
    <cellStyle name="20% - Accent4 3 2 3 2" xfId="2770" xr:uid="{00000000-0005-0000-0000-0000CC0A0000}"/>
    <cellStyle name="20% - Accent4 3 2 4" xfId="2771" xr:uid="{00000000-0005-0000-0000-0000CD0A0000}"/>
    <cellStyle name="20% - Accent4 3 2 4 2" xfId="2772" xr:uid="{00000000-0005-0000-0000-0000CE0A0000}"/>
    <cellStyle name="20% - Accent4 3 2 5" xfId="2773" xr:uid="{00000000-0005-0000-0000-0000CF0A0000}"/>
    <cellStyle name="20% - Accent4 3 3" xfId="2774" xr:uid="{00000000-0005-0000-0000-0000D00A0000}"/>
    <cellStyle name="20% - Accent4 3 3 2" xfId="2775" xr:uid="{00000000-0005-0000-0000-0000D10A0000}"/>
    <cellStyle name="20% - Accent4 3 3 3" xfId="2776" xr:uid="{00000000-0005-0000-0000-0000D20A0000}"/>
    <cellStyle name="20% - Accent4 3 3 3 2" xfId="2777" xr:uid="{00000000-0005-0000-0000-0000D30A0000}"/>
    <cellStyle name="20% - Accent4 3 3 4" xfId="2778" xr:uid="{00000000-0005-0000-0000-0000D40A0000}"/>
    <cellStyle name="20% - Accent4 3 4" xfId="2779" xr:uid="{00000000-0005-0000-0000-0000D50A0000}"/>
    <cellStyle name="20% - Accent4 3 4 2" xfId="2780" xr:uid="{00000000-0005-0000-0000-0000D60A0000}"/>
    <cellStyle name="20% - Accent4 3 5" xfId="2781" xr:uid="{00000000-0005-0000-0000-0000D70A0000}"/>
    <cellStyle name="20% - Accent4 3 5 2" xfId="2782" xr:uid="{00000000-0005-0000-0000-0000D80A0000}"/>
    <cellStyle name="20% - Accent4 3 6" xfId="2783" xr:uid="{00000000-0005-0000-0000-0000D90A0000}"/>
    <cellStyle name="20% - Accent4 3 6 2" xfId="2784" xr:uid="{00000000-0005-0000-0000-0000DA0A0000}"/>
    <cellStyle name="20% - Accent4 3 7" xfId="2785" xr:uid="{00000000-0005-0000-0000-0000DB0A0000}"/>
    <cellStyle name="20% - Accent4 3 7 2" xfId="2786" xr:uid="{00000000-0005-0000-0000-0000DC0A0000}"/>
    <cellStyle name="20% - Accent4 3 8" xfId="2787" xr:uid="{00000000-0005-0000-0000-0000DD0A0000}"/>
    <cellStyle name="20% - Accent4 3 8 2" xfId="2788" xr:uid="{00000000-0005-0000-0000-0000DE0A0000}"/>
    <cellStyle name="20% - Accent4 4" xfId="2789" xr:uid="{00000000-0005-0000-0000-0000DF0A0000}"/>
    <cellStyle name="20% - Accent4 4 10" xfId="2790" xr:uid="{00000000-0005-0000-0000-0000E00A0000}"/>
    <cellStyle name="20% - Accent4 4 10 2" xfId="2791" xr:uid="{00000000-0005-0000-0000-0000E10A0000}"/>
    <cellStyle name="20% - Accent4 4 11" xfId="2792" xr:uid="{00000000-0005-0000-0000-0000E20A0000}"/>
    <cellStyle name="20% - Accent4 4 11 2" xfId="2793" xr:uid="{00000000-0005-0000-0000-0000E30A0000}"/>
    <cellStyle name="20% - Accent4 4 12" xfId="2794" xr:uid="{00000000-0005-0000-0000-0000E40A0000}"/>
    <cellStyle name="20% - Accent4 4 12 2" xfId="2795" xr:uid="{00000000-0005-0000-0000-0000E50A0000}"/>
    <cellStyle name="20% - Accent4 4 13" xfId="2796" xr:uid="{00000000-0005-0000-0000-0000E60A0000}"/>
    <cellStyle name="20% - Accent4 4 2" xfId="2797" xr:uid="{00000000-0005-0000-0000-0000E70A0000}"/>
    <cellStyle name="20% - Accent4 4 2 10" xfId="2798" xr:uid="{00000000-0005-0000-0000-0000E80A0000}"/>
    <cellStyle name="20% - Accent4 4 2 10 2" xfId="2799" xr:uid="{00000000-0005-0000-0000-0000E90A0000}"/>
    <cellStyle name="20% - Accent4 4 2 11" xfId="2800" xr:uid="{00000000-0005-0000-0000-0000EA0A0000}"/>
    <cellStyle name="20% - Accent4 4 2 2" xfId="2801" xr:uid="{00000000-0005-0000-0000-0000EB0A0000}"/>
    <cellStyle name="20% - Accent4 4 2 2 10" xfId="2802" xr:uid="{00000000-0005-0000-0000-0000EC0A0000}"/>
    <cellStyle name="20% - Accent4 4 2 2 2" xfId="2803" xr:uid="{00000000-0005-0000-0000-0000ED0A0000}"/>
    <cellStyle name="20% - Accent4 4 2 2 2 2" xfId="2804" xr:uid="{00000000-0005-0000-0000-0000EE0A0000}"/>
    <cellStyle name="20% - Accent4 4 2 2 2 2 2" xfId="2805" xr:uid="{00000000-0005-0000-0000-0000EF0A0000}"/>
    <cellStyle name="20% - Accent4 4 2 2 2 2 2 2" xfId="2806" xr:uid="{00000000-0005-0000-0000-0000F00A0000}"/>
    <cellStyle name="20% - Accent4 4 2 2 2 2 2 2 2" xfId="2807" xr:uid="{00000000-0005-0000-0000-0000F10A0000}"/>
    <cellStyle name="20% - Accent4 4 2 2 2 2 2 3" xfId="2808" xr:uid="{00000000-0005-0000-0000-0000F20A0000}"/>
    <cellStyle name="20% - Accent4 4 2 2 2 2 2 3 2" xfId="2809" xr:uid="{00000000-0005-0000-0000-0000F30A0000}"/>
    <cellStyle name="20% - Accent4 4 2 2 2 2 2 4" xfId="2810" xr:uid="{00000000-0005-0000-0000-0000F40A0000}"/>
    <cellStyle name="20% - Accent4 4 2 2 2 2 3" xfId="2811" xr:uid="{00000000-0005-0000-0000-0000F50A0000}"/>
    <cellStyle name="20% - Accent4 4 2 2 2 2 3 2" xfId="2812" xr:uid="{00000000-0005-0000-0000-0000F60A0000}"/>
    <cellStyle name="20% - Accent4 4 2 2 2 2 4" xfId="2813" xr:uid="{00000000-0005-0000-0000-0000F70A0000}"/>
    <cellStyle name="20% - Accent4 4 2 2 2 2 4 2" xfId="2814" xr:uid="{00000000-0005-0000-0000-0000F80A0000}"/>
    <cellStyle name="20% - Accent4 4 2 2 2 2 5" xfId="2815" xr:uid="{00000000-0005-0000-0000-0000F90A0000}"/>
    <cellStyle name="20% - Accent4 4 2 2 2 2 5 2" xfId="2816" xr:uid="{00000000-0005-0000-0000-0000FA0A0000}"/>
    <cellStyle name="20% - Accent4 4 2 2 2 2 6" xfId="2817" xr:uid="{00000000-0005-0000-0000-0000FB0A0000}"/>
    <cellStyle name="20% - Accent4 4 2 2 2 2 6 2" xfId="2818" xr:uid="{00000000-0005-0000-0000-0000FC0A0000}"/>
    <cellStyle name="20% - Accent4 4 2 2 2 2 7" xfId="2819" xr:uid="{00000000-0005-0000-0000-0000FD0A0000}"/>
    <cellStyle name="20% - Accent4 4 2 2 2 3" xfId="2820" xr:uid="{00000000-0005-0000-0000-0000FE0A0000}"/>
    <cellStyle name="20% - Accent4 4 2 2 2 3 2" xfId="2821" xr:uid="{00000000-0005-0000-0000-0000FF0A0000}"/>
    <cellStyle name="20% - Accent4 4 2 2 2 3 2 2" xfId="2822" xr:uid="{00000000-0005-0000-0000-0000000B0000}"/>
    <cellStyle name="20% - Accent4 4 2 2 2 3 3" xfId="2823" xr:uid="{00000000-0005-0000-0000-0000010B0000}"/>
    <cellStyle name="20% - Accent4 4 2 2 2 3 3 2" xfId="2824" xr:uid="{00000000-0005-0000-0000-0000020B0000}"/>
    <cellStyle name="20% - Accent4 4 2 2 2 3 4" xfId="2825" xr:uid="{00000000-0005-0000-0000-0000030B0000}"/>
    <cellStyle name="20% - Accent4 4 2 2 2 3 4 2" xfId="2826" xr:uid="{00000000-0005-0000-0000-0000040B0000}"/>
    <cellStyle name="20% - Accent4 4 2 2 2 3 5" xfId="2827" xr:uid="{00000000-0005-0000-0000-0000050B0000}"/>
    <cellStyle name="20% - Accent4 4 2 2 2 3 5 2" xfId="2828" xr:uid="{00000000-0005-0000-0000-0000060B0000}"/>
    <cellStyle name="20% - Accent4 4 2 2 2 3 6" xfId="2829" xr:uid="{00000000-0005-0000-0000-0000070B0000}"/>
    <cellStyle name="20% - Accent4 4 2 2 2 4" xfId="2830" xr:uid="{00000000-0005-0000-0000-0000080B0000}"/>
    <cellStyle name="20% - Accent4 4 2 2 2 4 2" xfId="2831" xr:uid="{00000000-0005-0000-0000-0000090B0000}"/>
    <cellStyle name="20% - Accent4 4 2 2 2 4 2 2" xfId="2832" xr:uid="{00000000-0005-0000-0000-00000A0B0000}"/>
    <cellStyle name="20% - Accent4 4 2 2 2 4 3" xfId="2833" xr:uid="{00000000-0005-0000-0000-00000B0B0000}"/>
    <cellStyle name="20% - Accent4 4 2 2 2 5" xfId="2834" xr:uid="{00000000-0005-0000-0000-00000C0B0000}"/>
    <cellStyle name="20% - Accent4 4 2 2 2 5 2" xfId="2835" xr:uid="{00000000-0005-0000-0000-00000D0B0000}"/>
    <cellStyle name="20% - Accent4 4 2 2 2 6" xfId="2836" xr:uid="{00000000-0005-0000-0000-00000E0B0000}"/>
    <cellStyle name="20% - Accent4 4 2 2 2 6 2" xfId="2837" xr:uid="{00000000-0005-0000-0000-00000F0B0000}"/>
    <cellStyle name="20% - Accent4 4 2 2 2 7" xfId="2838" xr:uid="{00000000-0005-0000-0000-0000100B0000}"/>
    <cellStyle name="20% - Accent4 4 2 2 2 7 2" xfId="2839" xr:uid="{00000000-0005-0000-0000-0000110B0000}"/>
    <cellStyle name="20% - Accent4 4 2 2 2 8" xfId="2840" xr:uid="{00000000-0005-0000-0000-0000120B0000}"/>
    <cellStyle name="20% - Accent4 4 2 2 3" xfId="2841" xr:uid="{00000000-0005-0000-0000-0000130B0000}"/>
    <cellStyle name="20% - Accent4 4 2 2 3 2" xfId="2842" xr:uid="{00000000-0005-0000-0000-0000140B0000}"/>
    <cellStyle name="20% - Accent4 4 2 2 3 2 2" xfId="2843" xr:uid="{00000000-0005-0000-0000-0000150B0000}"/>
    <cellStyle name="20% - Accent4 4 2 2 3 2 2 2" xfId="2844" xr:uid="{00000000-0005-0000-0000-0000160B0000}"/>
    <cellStyle name="20% - Accent4 4 2 2 3 2 2 2 2" xfId="2845" xr:uid="{00000000-0005-0000-0000-0000170B0000}"/>
    <cellStyle name="20% - Accent4 4 2 2 3 2 2 3" xfId="2846" xr:uid="{00000000-0005-0000-0000-0000180B0000}"/>
    <cellStyle name="20% - Accent4 4 2 2 3 2 2 3 2" xfId="2847" xr:uid="{00000000-0005-0000-0000-0000190B0000}"/>
    <cellStyle name="20% - Accent4 4 2 2 3 2 2 4" xfId="2848" xr:uid="{00000000-0005-0000-0000-00001A0B0000}"/>
    <cellStyle name="20% - Accent4 4 2 2 3 2 3" xfId="2849" xr:uid="{00000000-0005-0000-0000-00001B0B0000}"/>
    <cellStyle name="20% - Accent4 4 2 2 3 2 3 2" xfId="2850" xr:uid="{00000000-0005-0000-0000-00001C0B0000}"/>
    <cellStyle name="20% - Accent4 4 2 2 3 2 4" xfId="2851" xr:uid="{00000000-0005-0000-0000-00001D0B0000}"/>
    <cellStyle name="20% - Accent4 4 2 2 3 2 4 2" xfId="2852" xr:uid="{00000000-0005-0000-0000-00001E0B0000}"/>
    <cellStyle name="20% - Accent4 4 2 2 3 2 5" xfId="2853" xr:uid="{00000000-0005-0000-0000-00001F0B0000}"/>
    <cellStyle name="20% - Accent4 4 2 2 3 2 5 2" xfId="2854" xr:uid="{00000000-0005-0000-0000-0000200B0000}"/>
    <cellStyle name="20% - Accent4 4 2 2 3 2 6" xfId="2855" xr:uid="{00000000-0005-0000-0000-0000210B0000}"/>
    <cellStyle name="20% - Accent4 4 2 2 3 2 6 2" xfId="2856" xr:uid="{00000000-0005-0000-0000-0000220B0000}"/>
    <cellStyle name="20% - Accent4 4 2 2 3 2 7" xfId="2857" xr:uid="{00000000-0005-0000-0000-0000230B0000}"/>
    <cellStyle name="20% - Accent4 4 2 2 3 3" xfId="2858" xr:uid="{00000000-0005-0000-0000-0000240B0000}"/>
    <cellStyle name="20% - Accent4 4 2 2 3 3 2" xfId="2859" xr:uid="{00000000-0005-0000-0000-0000250B0000}"/>
    <cellStyle name="20% - Accent4 4 2 2 3 3 2 2" xfId="2860" xr:uid="{00000000-0005-0000-0000-0000260B0000}"/>
    <cellStyle name="20% - Accent4 4 2 2 3 3 3" xfId="2861" xr:uid="{00000000-0005-0000-0000-0000270B0000}"/>
    <cellStyle name="20% - Accent4 4 2 2 3 3 3 2" xfId="2862" xr:uid="{00000000-0005-0000-0000-0000280B0000}"/>
    <cellStyle name="20% - Accent4 4 2 2 3 3 4" xfId="2863" xr:uid="{00000000-0005-0000-0000-0000290B0000}"/>
    <cellStyle name="20% - Accent4 4 2 2 3 3 4 2" xfId="2864" xr:uid="{00000000-0005-0000-0000-00002A0B0000}"/>
    <cellStyle name="20% - Accent4 4 2 2 3 3 5" xfId="2865" xr:uid="{00000000-0005-0000-0000-00002B0B0000}"/>
    <cellStyle name="20% - Accent4 4 2 2 3 3 5 2" xfId="2866" xr:uid="{00000000-0005-0000-0000-00002C0B0000}"/>
    <cellStyle name="20% - Accent4 4 2 2 3 3 6" xfId="2867" xr:uid="{00000000-0005-0000-0000-00002D0B0000}"/>
    <cellStyle name="20% - Accent4 4 2 2 3 4" xfId="2868" xr:uid="{00000000-0005-0000-0000-00002E0B0000}"/>
    <cellStyle name="20% - Accent4 4 2 2 3 4 2" xfId="2869" xr:uid="{00000000-0005-0000-0000-00002F0B0000}"/>
    <cellStyle name="20% - Accent4 4 2 2 3 4 2 2" xfId="2870" xr:uid="{00000000-0005-0000-0000-0000300B0000}"/>
    <cellStyle name="20% - Accent4 4 2 2 3 4 3" xfId="2871" xr:uid="{00000000-0005-0000-0000-0000310B0000}"/>
    <cellStyle name="20% - Accent4 4 2 2 3 5" xfId="2872" xr:uid="{00000000-0005-0000-0000-0000320B0000}"/>
    <cellStyle name="20% - Accent4 4 2 2 3 5 2" xfId="2873" xr:uid="{00000000-0005-0000-0000-0000330B0000}"/>
    <cellStyle name="20% - Accent4 4 2 2 3 6" xfId="2874" xr:uid="{00000000-0005-0000-0000-0000340B0000}"/>
    <cellStyle name="20% - Accent4 4 2 2 3 6 2" xfId="2875" xr:uid="{00000000-0005-0000-0000-0000350B0000}"/>
    <cellStyle name="20% - Accent4 4 2 2 3 7" xfId="2876" xr:uid="{00000000-0005-0000-0000-0000360B0000}"/>
    <cellStyle name="20% - Accent4 4 2 2 3 7 2" xfId="2877" xr:uid="{00000000-0005-0000-0000-0000370B0000}"/>
    <cellStyle name="20% - Accent4 4 2 2 3 8" xfId="2878" xr:uid="{00000000-0005-0000-0000-0000380B0000}"/>
    <cellStyle name="20% - Accent4 4 2 2 4" xfId="2879" xr:uid="{00000000-0005-0000-0000-0000390B0000}"/>
    <cellStyle name="20% - Accent4 4 2 2 4 2" xfId="2880" xr:uid="{00000000-0005-0000-0000-00003A0B0000}"/>
    <cellStyle name="20% - Accent4 4 2 2 4 2 2" xfId="2881" xr:uid="{00000000-0005-0000-0000-00003B0B0000}"/>
    <cellStyle name="20% - Accent4 4 2 2 4 2 2 2" xfId="2882" xr:uid="{00000000-0005-0000-0000-00003C0B0000}"/>
    <cellStyle name="20% - Accent4 4 2 2 4 2 3" xfId="2883" xr:uid="{00000000-0005-0000-0000-00003D0B0000}"/>
    <cellStyle name="20% - Accent4 4 2 2 4 2 3 2" xfId="2884" xr:uid="{00000000-0005-0000-0000-00003E0B0000}"/>
    <cellStyle name="20% - Accent4 4 2 2 4 2 4" xfId="2885" xr:uid="{00000000-0005-0000-0000-00003F0B0000}"/>
    <cellStyle name="20% - Accent4 4 2 2 4 3" xfId="2886" xr:uid="{00000000-0005-0000-0000-0000400B0000}"/>
    <cellStyle name="20% - Accent4 4 2 2 4 3 2" xfId="2887" xr:uid="{00000000-0005-0000-0000-0000410B0000}"/>
    <cellStyle name="20% - Accent4 4 2 2 4 4" xfId="2888" xr:uid="{00000000-0005-0000-0000-0000420B0000}"/>
    <cellStyle name="20% - Accent4 4 2 2 4 4 2" xfId="2889" xr:uid="{00000000-0005-0000-0000-0000430B0000}"/>
    <cellStyle name="20% - Accent4 4 2 2 4 5" xfId="2890" xr:uid="{00000000-0005-0000-0000-0000440B0000}"/>
    <cellStyle name="20% - Accent4 4 2 2 4 5 2" xfId="2891" xr:uid="{00000000-0005-0000-0000-0000450B0000}"/>
    <cellStyle name="20% - Accent4 4 2 2 4 6" xfId="2892" xr:uid="{00000000-0005-0000-0000-0000460B0000}"/>
    <cellStyle name="20% - Accent4 4 2 2 4 6 2" xfId="2893" xr:uid="{00000000-0005-0000-0000-0000470B0000}"/>
    <cellStyle name="20% - Accent4 4 2 2 4 7" xfId="2894" xr:uid="{00000000-0005-0000-0000-0000480B0000}"/>
    <cellStyle name="20% - Accent4 4 2 2 5" xfId="2895" xr:uid="{00000000-0005-0000-0000-0000490B0000}"/>
    <cellStyle name="20% - Accent4 4 2 2 5 2" xfId="2896" xr:uid="{00000000-0005-0000-0000-00004A0B0000}"/>
    <cellStyle name="20% - Accent4 4 2 2 5 2 2" xfId="2897" xr:uid="{00000000-0005-0000-0000-00004B0B0000}"/>
    <cellStyle name="20% - Accent4 4 2 2 5 3" xfId="2898" xr:uid="{00000000-0005-0000-0000-00004C0B0000}"/>
    <cellStyle name="20% - Accent4 4 2 2 5 3 2" xfId="2899" xr:uid="{00000000-0005-0000-0000-00004D0B0000}"/>
    <cellStyle name="20% - Accent4 4 2 2 5 4" xfId="2900" xr:uid="{00000000-0005-0000-0000-00004E0B0000}"/>
    <cellStyle name="20% - Accent4 4 2 2 5 4 2" xfId="2901" xr:uid="{00000000-0005-0000-0000-00004F0B0000}"/>
    <cellStyle name="20% - Accent4 4 2 2 5 5" xfId="2902" xr:uid="{00000000-0005-0000-0000-0000500B0000}"/>
    <cellStyle name="20% - Accent4 4 2 2 5 5 2" xfId="2903" xr:uid="{00000000-0005-0000-0000-0000510B0000}"/>
    <cellStyle name="20% - Accent4 4 2 2 5 6" xfId="2904" xr:uid="{00000000-0005-0000-0000-0000520B0000}"/>
    <cellStyle name="20% - Accent4 4 2 2 6" xfId="2905" xr:uid="{00000000-0005-0000-0000-0000530B0000}"/>
    <cellStyle name="20% - Accent4 4 2 2 6 2" xfId="2906" xr:uid="{00000000-0005-0000-0000-0000540B0000}"/>
    <cellStyle name="20% - Accent4 4 2 2 6 2 2" xfId="2907" xr:uid="{00000000-0005-0000-0000-0000550B0000}"/>
    <cellStyle name="20% - Accent4 4 2 2 6 3" xfId="2908" xr:uid="{00000000-0005-0000-0000-0000560B0000}"/>
    <cellStyle name="20% - Accent4 4 2 2 7" xfId="2909" xr:uid="{00000000-0005-0000-0000-0000570B0000}"/>
    <cellStyle name="20% - Accent4 4 2 2 7 2" xfId="2910" xr:uid="{00000000-0005-0000-0000-0000580B0000}"/>
    <cellStyle name="20% - Accent4 4 2 2 8" xfId="2911" xr:uid="{00000000-0005-0000-0000-0000590B0000}"/>
    <cellStyle name="20% - Accent4 4 2 2 8 2" xfId="2912" xr:uid="{00000000-0005-0000-0000-00005A0B0000}"/>
    <cellStyle name="20% - Accent4 4 2 2 9" xfId="2913" xr:uid="{00000000-0005-0000-0000-00005B0B0000}"/>
    <cellStyle name="20% - Accent4 4 2 2 9 2" xfId="2914" xr:uid="{00000000-0005-0000-0000-00005C0B0000}"/>
    <cellStyle name="20% - Accent4 4 2 3" xfId="2915" xr:uid="{00000000-0005-0000-0000-00005D0B0000}"/>
    <cellStyle name="20% - Accent4 4 2 3 2" xfId="2916" xr:uid="{00000000-0005-0000-0000-00005E0B0000}"/>
    <cellStyle name="20% - Accent4 4 2 3 2 2" xfId="2917" xr:uid="{00000000-0005-0000-0000-00005F0B0000}"/>
    <cellStyle name="20% - Accent4 4 2 3 2 2 2" xfId="2918" xr:uid="{00000000-0005-0000-0000-0000600B0000}"/>
    <cellStyle name="20% - Accent4 4 2 3 2 2 2 2" xfId="2919" xr:uid="{00000000-0005-0000-0000-0000610B0000}"/>
    <cellStyle name="20% - Accent4 4 2 3 2 2 3" xfId="2920" xr:uid="{00000000-0005-0000-0000-0000620B0000}"/>
    <cellStyle name="20% - Accent4 4 2 3 2 2 3 2" xfId="2921" xr:uid="{00000000-0005-0000-0000-0000630B0000}"/>
    <cellStyle name="20% - Accent4 4 2 3 2 2 4" xfId="2922" xr:uid="{00000000-0005-0000-0000-0000640B0000}"/>
    <cellStyle name="20% - Accent4 4 2 3 2 3" xfId="2923" xr:uid="{00000000-0005-0000-0000-0000650B0000}"/>
    <cellStyle name="20% - Accent4 4 2 3 2 3 2" xfId="2924" xr:uid="{00000000-0005-0000-0000-0000660B0000}"/>
    <cellStyle name="20% - Accent4 4 2 3 2 4" xfId="2925" xr:uid="{00000000-0005-0000-0000-0000670B0000}"/>
    <cellStyle name="20% - Accent4 4 2 3 2 4 2" xfId="2926" xr:uid="{00000000-0005-0000-0000-0000680B0000}"/>
    <cellStyle name="20% - Accent4 4 2 3 2 5" xfId="2927" xr:uid="{00000000-0005-0000-0000-0000690B0000}"/>
    <cellStyle name="20% - Accent4 4 2 3 2 5 2" xfId="2928" xr:uid="{00000000-0005-0000-0000-00006A0B0000}"/>
    <cellStyle name="20% - Accent4 4 2 3 2 6" xfId="2929" xr:uid="{00000000-0005-0000-0000-00006B0B0000}"/>
    <cellStyle name="20% - Accent4 4 2 3 2 6 2" xfId="2930" xr:uid="{00000000-0005-0000-0000-00006C0B0000}"/>
    <cellStyle name="20% - Accent4 4 2 3 2 7" xfId="2931" xr:uid="{00000000-0005-0000-0000-00006D0B0000}"/>
    <cellStyle name="20% - Accent4 4 2 3 3" xfId="2932" xr:uid="{00000000-0005-0000-0000-00006E0B0000}"/>
    <cellStyle name="20% - Accent4 4 2 3 3 2" xfId="2933" xr:uid="{00000000-0005-0000-0000-00006F0B0000}"/>
    <cellStyle name="20% - Accent4 4 2 3 3 2 2" xfId="2934" xr:uid="{00000000-0005-0000-0000-0000700B0000}"/>
    <cellStyle name="20% - Accent4 4 2 3 3 3" xfId="2935" xr:uid="{00000000-0005-0000-0000-0000710B0000}"/>
    <cellStyle name="20% - Accent4 4 2 3 3 3 2" xfId="2936" xr:uid="{00000000-0005-0000-0000-0000720B0000}"/>
    <cellStyle name="20% - Accent4 4 2 3 3 4" xfId="2937" xr:uid="{00000000-0005-0000-0000-0000730B0000}"/>
    <cellStyle name="20% - Accent4 4 2 3 3 4 2" xfId="2938" xr:uid="{00000000-0005-0000-0000-0000740B0000}"/>
    <cellStyle name="20% - Accent4 4 2 3 3 5" xfId="2939" xr:uid="{00000000-0005-0000-0000-0000750B0000}"/>
    <cellStyle name="20% - Accent4 4 2 3 3 5 2" xfId="2940" xr:uid="{00000000-0005-0000-0000-0000760B0000}"/>
    <cellStyle name="20% - Accent4 4 2 3 3 6" xfId="2941" xr:uid="{00000000-0005-0000-0000-0000770B0000}"/>
    <cellStyle name="20% - Accent4 4 2 3 4" xfId="2942" xr:uid="{00000000-0005-0000-0000-0000780B0000}"/>
    <cellStyle name="20% - Accent4 4 2 3 4 2" xfId="2943" xr:uid="{00000000-0005-0000-0000-0000790B0000}"/>
    <cellStyle name="20% - Accent4 4 2 3 4 2 2" xfId="2944" xr:uid="{00000000-0005-0000-0000-00007A0B0000}"/>
    <cellStyle name="20% - Accent4 4 2 3 4 3" xfId="2945" xr:uid="{00000000-0005-0000-0000-00007B0B0000}"/>
    <cellStyle name="20% - Accent4 4 2 3 5" xfId="2946" xr:uid="{00000000-0005-0000-0000-00007C0B0000}"/>
    <cellStyle name="20% - Accent4 4 2 3 5 2" xfId="2947" xr:uid="{00000000-0005-0000-0000-00007D0B0000}"/>
    <cellStyle name="20% - Accent4 4 2 3 6" xfId="2948" xr:uid="{00000000-0005-0000-0000-00007E0B0000}"/>
    <cellStyle name="20% - Accent4 4 2 3 6 2" xfId="2949" xr:uid="{00000000-0005-0000-0000-00007F0B0000}"/>
    <cellStyle name="20% - Accent4 4 2 3 7" xfId="2950" xr:uid="{00000000-0005-0000-0000-0000800B0000}"/>
    <cellStyle name="20% - Accent4 4 2 3 7 2" xfId="2951" xr:uid="{00000000-0005-0000-0000-0000810B0000}"/>
    <cellStyle name="20% - Accent4 4 2 3 8" xfId="2952" xr:uid="{00000000-0005-0000-0000-0000820B0000}"/>
    <cellStyle name="20% - Accent4 4 2 4" xfId="2953" xr:uid="{00000000-0005-0000-0000-0000830B0000}"/>
    <cellStyle name="20% - Accent4 4 2 4 2" xfId="2954" xr:uid="{00000000-0005-0000-0000-0000840B0000}"/>
    <cellStyle name="20% - Accent4 4 2 4 2 2" xfId="2955" xr:uid="{00000000-0005-0000-0000-0000850B0000}"/>
    <cellStyle name="20% - Accent4 4 2 4 2 2 2" xfId="2956" xr:uid="{00000000-0005-0000-0000-0000860B0000}"/>
    <cellStyle name="20% - Accent4 4 2 4 2 2 2 2" xfId="2957" xr:uid="{00000000-0005-0000-0000-0000870B0000}"/>
    <cellStyle name="20% - Accent4 4 2 4 2 2 3" xfId="2958" xr:uid="{00000000-0005-0000-0000-0000880B0000}"/>
    <cellStyle name="20% - Accent4 4 2 4 2 2 3 2" xfId="2959" xr:uid="{00000000-0005-0000-0000-0000890B0000}"/>
    <cellStyle name="20% - Accent4 4 2 4 2 2 4" xfId="2960" xr:uid="{00000000-0005-0000-0000-00008A0B0000}"/>
    <cellStyle name="20% - Accent4 4 2 4 2 3" xfId="2961" xr:uid="{00000000-0005-0000-0000-00008B0B0000}"/>
    <cellStyle name="20% - Accent4 4 2 4 2 3 2" xfId="2962" xr:uid="{00000000-0005-0000-0000-00008C0B0000}"/>
    <cellStyle name="20% - Accent4 4 2 4 2 4" xfId="2963" xr:uid="{00000000-0005-0000-0000-00008D0B0000}"/>
    <cellStyle name="20% - Accent4 4 2 4 2 4 2" xfId="2964" xr:uid="{00000000-0005-0000-0000-00008E0B0000}"/>
    <cellStyle name="20% - Accent4 4 2 4 2 5" xfId="2965" xr:uid="{00000000-0005-0000-0000-00008F0B0000}"/>
    <cellStyle name="20% - Accent4 4 2 4 2 5 2" xfId="2966" xr:uid="{00000000-0005-0000-0000-0000900B0000}"/>
    <cellStyle name="20% - Accent4 4 2 4 2 6" xfId="2967" xr:uid="{00000000-0005-0000-0000-0000910B0000}"/>
    <cellStyle name="20% - Accent4 4 2 4 2 6 2" xfId="2968" xr:uid="{00000000-0005-0000-0000-0000920B0000}"/>
    <cellStyle name="20% - Accent4 4 2 4 2 7" xfId="2969" xr:uid="{00000000-0005-0000-0000-0000930B0000}"/>
    <cellStyle name="20% - Accent4 4 2 4 3" xfId="2970" xr:uid="{00000000-0005-0000-0000-0000940B0000}"/>
    <cellStyle name="20% - Accent4 4 2 4 3 2" xfId="2971" xr:uid="{00000000-0005-0000-0000-0000950B0000}"/>
    <cellStyle name="20% - Accent4 4 2 4 3 2 2" xfId="2972" xr:uid="{00000000-0005-0000-0000-0000960B0000}"/>
    <cellStyle name="20% - Accent4 4 2 4 3 3" xfId="2973" xr:uid="{00000000-0005-0000-0000-0000970B0000}"/>
    <cellStyle name="20% - Accent4 4 2 4 3 3 2" xfId="2974" xr:uid="{00000000-0005-0000-0000-0000980B0000}"/>
    <cellStyle name="20% - Accent4 4 2 4 3 4" xfId="2975" xr:uid="{00000000-0005-0000-0000-0000990B0000}"/>
    <cellStyle name="20% - Accent4 4 2 4 3 4 2" xfId="2976" xr:uid="{00000000-0005-0000-0000-00009A0B0000}"/>
    <cellStyle name="20% - Accent4 4 2 4 3 5" xfId="2977" xr:uid="{00000000-0005-0000-0000-00009B0B0000}"/>
    <cellStyle name="20% - Accent4 4 2 4 3 5 2" xfId="2978" xr:uid="{00000000-0005-0000-0000-00009C0B0000}"/>
    <cellStyle name="20% - Accent4 4 2 4 3 6" xfId="2979" xr:uid="{00000000-0005-0000-0000-00009D0B0000}"/>
    <cellStyle name="20% - Accent4 4 2 4 4" xfId="2980" xr:uid="{00000000-0005-0000-0000-00009E0B0000}"/>
    <cellStyle name="20% - Accent4 4 2 4 4 2" xfId="2981" xr:uid="{00000000-0005-0000-0000-00009F0B0000}"/>
    <cellStyle name="20% - Accent4 4 2 4 4 2 2" xfId="2982" xr:uid="{00000000-0005-0000-0000-0000A00B0000}"/>
    <cellStyle name="20% - Accent4 4 2 4 4 3" xfId="2983" xr:uid="{00000000-0005-0000-0000-0000A10B0000}"/>
    <cellStyle name="20% - Accent4 4 2 4 5" xfId="2984" xr:uid="{00000000-0005-0000-0000-0000A20B0000}"/>
    <cellStyle name="20% - Accent4 4 2 4 5 2" xfId="2985" xr:uid="{00000000-0005-0000-0000-0000A30B0000}"/>
    <cellStyle name="20% - Accent4 4 2 4 6" xfId="2986" xr:uid="{00000000-0005-0000-0000-0000A40B0000}"/>
    <cellStyle name="20% - Accent4 4 2 4 6 2" xfId="2987" xr:uid="{00000000-0005-0000-0000-0000A50B0000}"/>
    <cellStyle name="20% - Accent4 4 2 4 7" xfId="2988" xr:uid="{00000000-0005-0000-0000-0000A60B0000}"/>
    <cellStyle name="20% - Accent4 4 2 4 7 2" xfId="2989" xr:uid="{00000000-0005-0000-0000-0000A70B0000}"/>
    <cellStyle name="20% - Accent4 4 2 4 8" xfId="2990" xr:uid="{00000000-0005-0000-0000-0000A80B0000}"/>
    <cellStyle name="20% - Accent4 4 2 5" xfId="2991" xr:uid="{00000000-0005-0000-0000-0000A90B0000}"/>
    <cellStyle name="20% - Accent4 4 2 5 2" xfId="2992" xr:uid="{00000000-0005-0000-0000-0000AA0B0000}"/>
    <cellStyle name="20% - Accent4 4 2 5 2 2" xfId="2993" xr:uid="{00000000-0005-0000-0000-0000AB0B0000}"/>
    <cellStyle name="20% - Accent4 4 2 5 2 2 2" xfId="2994" xr:uid="{00000000-0005-0000-0000-0000AC0B0000}"/>
    <cellStyle name="20% - Accent4 4 2 5 2 3" xfId="2995" xr:uid="{00000000-0005-0000-0000-0000AD0B0000}"/>
    <cellStyle name="20% - Accent4 4 2 5 2 3 2" xfId="2996" xr:uid="{00000000-0005-0000-0000-0000AE0B0000}"/>
    <cellStyle name="20% - Accent4 4 2 5 2 4" xfId="2997" xr:uid="{00000000-0005-0000-0000-0000AF0B0000}"/>
    <cellStyle name="20% - Accent4 4 2 5 3" xfId="2998" xr:uid="{00000000-0005-0000-0000-0000B00B0000}"/>
    <cellStyle name="20% - Accent4 4 2 5 3 2" xfId="2999" xr:uid="{00000000-0005-0000-0000-0000B10B0000}"/>
    <cellStyle name="20% - Accent4 4 2 5 4" xfId="3000" xr:uid="{00000000-0005-0000-0000-0000B20B0000}"/>
    <cellStyle name="20% - Accent4 4 2 5 4 2" xfId="3001" xr:uid="{00000000-0005-0000-0000-0000B30B0000}"/>
    <cellStyle name="20% - Accent4 4 2 5 5" xfId="3002" xr:uid="{00000000-0005-0000-0000-0000B40B0000}"/>
    <cellStyle name="20% - Accent4 4 2 5 5 2" xfId="3003" xr:uid="{00000000-0005-0000-0000-0000B50B0000}"/>
    <cellStyle name="20% - Accent4 4 2 5 6" xfId="3004" xr:uid="{00000000-0005-0000-0000-0000B60B0000}"/>
    <cellStyle name="20% - Accent4 4 2 5 6 2" xfId="3005" xr:uid="{00000000-0005-0000-0000-0000B70B0000}"/>
    <cellStyle name="20% - Accent4 4 2 5 7" xfId="3006" xr:uid="{00000000-0005-0000-0000-0000B80B0000}"/>
    <cellStyle name="20% - Accent4 4 2 6" xfId="3007" xr:uid="{00000000-0005-0000-0000-0000B90B0000}"/>
    <cellStyle name="20% - Accent4 4 2 6 2" xfId="3008" xr:uid="{00000000-0005-0000-0000-0000BA0B0000}"/>
    <cellStyle name="20% - Accent4 4 2 6 2 2" xfId="3009" xr:uid="{00000000-0005-0000-0000-0000BB0B0000}"/>
    <cellStyle name="20% - Accent4 4 2 6 3" xfId="3010" xr:uid="{00000000-0005-0000-0000-0000BC0B0000}"/>
    <cellStyle name="20% - Accent4 4 2 6 3 2" xfId="3011" xr:uid="{00000000-0005-0000-0000-0000BD0B0000}"/>
    <cellStyle name="20% - Accent4 4 2 6 4" xfId="3012" xr:uid="{00000000-0005-0000-0000-0000BE0B0000}"/>
    <cellStyle name="20% - Accent4 4 2 6 4 2" xfId="3013" xr:uid="{00000000-0005-0000-0000-0000BF0B0000}"/>
    <cellStyle name="20% - Accent4 4 2 6 5" xfId="3014" xr:uid="{00000000-0005-0000-0000-0000C00B0000}"/>
    <cellStyle name="20% - Accent4 4 2 6 5 2" xfId="3015" xr:uid="{00000000-0005-0000-0000-0000C10B0000}"/>
    <cellStyle name="20% - Accent4 4 2 6 6" xfId="3016" xr:uid="{00000000-0005-0000-0000-0000C20B0000}"/>
    <cellStyle name="20% - Accent4 4 2 7" xfId="3017" xr:uid="{00000000-0005-0000-0000-0000C30B0000}"/>
    <cellStyle name="20% - Accent4 4 2 7 2" xfId="3018" xr:uid="{00000000-0005-0000-0000-0000C40B0000}"/>
    <cellStyle name="20% - Accent4 4 2 7 2 2" xfId="3019" xr:uid="{00000000-0005-0000-0000-0000C50B0000}"/>
    <cellStyle name="20% - Accent4 4 2 7 3" xfId="3020" xr:uid="{00000000-0005-0000-0000-0000C60B0000}"/>
    <cellStyle name="20% - Accent4 4 2 8" xfId="3021" xr:uid="{00000000-0005-0000-0000-0000C70B0000}"/>
    <cellStyle name="20% - Accent4 4 2 8 2" xfId="3022" xr:uid="{00000000-0005-0000-0000-0000C80B0000}"/>
    <cellStyle name="20% - Accent4 4 2 9" xfId="3023" xr:uid="{00000000-0005-0000-0000-0000C90B0000}"/>
    <cellStyle name="20% - Accent4 4 2 9 2" xfId="3024" xr:uid="{00000000-0005-0000-0000-0000CA0B0000}"/>
    <cellStyle name="20% - Accent4 4 3" xfId="3025" xr:uid="{00000000-0005-0000-0000-0000CB0B0000}"/>
    <cellStyle name="20% - Accent4 4 3 10" xfId="3026" xr:uid="{00000000-0005-0000-0000-0000CC0B0000}"/>
    <cellStyle name="20% - Accent4 4 3 2" xfId="3027" xr:uid="{00000000-0005-0000-0000-0000CD0B0000}"/>
    <cellStyle name="20% - Accent4 4 3 2 2" xfId="3028" xr:uid="{00000000-0005-0000-0000-0000CE0B0000}"/>
    <cellStyle name="20% - Accent4 4 3 2 2 2" xfId="3029" xr:uid="{00000000-0005-0000-0000-0000CF0B0000}"/>
    <cellStyle name="20% - Accent4 4 3 2 2 2 2" xfId="3030" xr:uid="{00000000-0005-0000-0000-0000D00B0000}"/>
    <cellStyle name="20% - Accent4 4 3 2 2 2 2 2" xfId="3031" xr:uid="{00000000-0005-0000-0000-0000D10B0000}"/>
    <cellStyle name="20% - Accent4 4 3 2 2 2 3" xfId="3032" xr:uid="{00000000-0005-0000-0000-0000D20B0000}"/>
    <cellStyle name="20% - Accent4 4 3 2 2 2 3 2" xfId="3033" xr:uid="{00000000-0005-0000-0000-0000D30B0000}"/>
    <cellStyle name="20% - Accent4 4 3 2 2 2 4" xfId="3034" xr:uid="{00000000-0005-0000-0000-0000D40B0000}"/>
    <cellStyle name="20% - Accent4 4 3 2 2 3" xfId="3035" xr:uid="{00000000-0005-0000-0000-0000D50B0000}"/>
    <cellStyle name="20% - Accent4 4 3 2 2 3 2" xfId="3036" xr:uid="{00000000-0005-0000-0000-0000D60B0000}"/>
    <cellStyle name="20% - Accent4 4 3 2 2 4" xfId="3037" xr:uid="{00000000-0005-0000-0000-0000D70B0000}"/>
    <cellStyle name="20% - Accent4 4 3 2 2 4 2" xfId="3038" xr:uid="{00000000-0005-0000-0000-0000D80B0000}"/>
    <cellStyle name="20% - Accent4 4 3 2 2 5" xfId="3039" xr:uid="{00000000-0005-0000-0000-0000D90B0000}"/>
    <cellStyle name="20% - Accent4 4 3 2 2 5 2" xfId="3040" xr:uid="{00000000-0005-0000-0000-0000DA0B0000}"/>
    <cellStyle name="20% - Accent4 4 3 2 2 6" xfId="3041" xr:uid="{00000000-0005-0000-0000-0000DB0B0000}"/>
    <cellStyle name="20% - Accent4 4 3 2 2 6 2" xfId="3042" xr:uid="{00000000-0005-0000-0000-0000DC0B0000}"/>
    <cellStyle name="20% - Accent4 4 3 2 2 7" xfId="3043" xr:uid="{00000000-0005-0000-0000-0000DD0B0000}"/>
    <cellStyle name="20% - Accent4 4 3 2 3" xfId="3044" xr:uid="{00000000-0005-0000-0000-0000DE0B0000}"/>
    <cellStyle name="20% - Accent4 4 3 2 3 2" xfId="3045" xr:uid="{00000000-0005-0000-0000-0000DF0B0000}"/>
    <cellStyle name="20% - Accent4 4 3 2 3 2 2" xfId="3046" xr:uid="{00000000-0005-0000-0000-0000E00B0000}"/>
    <cellStyle name="20% - Accent4 4 3 2 3 3" xfId="3047" xr:uid="{00000000-0005-0000-0000-0000E10B0000}"/>
    <cellStyle name="20% - Accent4 4 3 2 3 3 2" xfId="3048" xr:uid="{00000000-0005-0000-0000-0000E20B0000}"/>
    <cellStyle name="20% - Accent4 4 3 2 3 4" xfId="3049" xr:uid="{00000000-0005-0000-0000-0000E30B0000}"/>
    <cellStyle name="20% - Accent4 4 3 2 3 4 2" xfId="3050" xr:uid="{00000000-0005-0000-0000-0000E40B0000}"/>
    <cellStyle name="20% - Accent4 4 3 2 3 5" xfId="3051" xr:uid="{00000000-0005-0000-0000-0000E50B0000}"/>
    <cellStyle name="20% - Accent4 4 3 2 3 5 2" xfId="3052" xr:uid="{00000000-0005-0000-0000-0000E60B0000}"/>
    <cellStyle name="20% - Accent4 4 3 2 3 6" xfId="3053" xr:uid="{00000000-0005-0000-0000-0000E70B0000}"/>
    <cellStyle name="20% - Accent4 4 3 2 4" xfId="3054" xr:uid="{00000000-0005-0000-0000-0000E80B0000}"/>
    <cellStyle name="20% - Accent4 4 3 2 4 2" xfId="3055" xr:uid="{00000000-0005-0000-0000-0000E90B0000}"/>
    <cellStyle name="20% - Accent4 4 3 2 4 2 2" xfId="3056" xr:uid="{00000000-0005-0000-0000-0000EA0B0000}"/>
    <cellStyle name="20% - Accent4 4 3 2 4 3" xfId="3057" xr:uid="{00000000-0005-0000-0000-0000EB0B0000}"/>
    <cellStyle name="20% - Accent4 4 3 2 5" xfId="3058" xr:uid="{00000000-0005-0000-0000-0000EC0B0000}"/>
    <cellStyle name="20% - Accent4 4 3 2 5 2" xfId="3059" xr:uid="{00000000-0005-0000-0000-0000ED0B0000}"/>
    <cellStyle name="20% - Accent4 4 3 2 6" xfId="3060" xr:uid="{00000000-0005-0000-0000-0000EE0B0000}"/>
    <cellStyle name="20% - Accent4 4 3 2 6 2" xfId="3061" xr:uid="{00000000-0005-0000-0000-0000EF0B0000}"/>
    <cellStyle name="20% - Accent4 4 3 2 7" xfId="3062" xr:uid="{00000000-0005-0000-0000-0000F00B0000}"/>
    <cellStyle name="20% - Accent4 4 3 2 7 2" xfId="3063" xr:uid="{00000000-0005-0000-0000-0000F10B0000}"/>
    <cellStyle name="20% - Accent4 4 3 2 8" xfId="3064" xr:uid="{00000000-0005-0000-0000-0000F20B0000}"/>
    <cellStyle name="20% - Accent4 4 3 3" xfId="3065" xr:uid="{00000000-0005-0000-0000-0000F30B0000}"/>
    <cellStyle name="20% - Accent4 4 3 3 2" xfId="3066" xr:uid="{00000000-0005-0000-0000-0000F40B0000}"/>
    <cellStyle name="20% - Accent4 4 3 3 2 2" xfId="3067" xr:uid="{00000000-0005-0000-0000-0000F50B0000}"/>
    <cellStyle name="20% - Accent4 4 3 3 2 2 2" xfId="3068" xr:uid="{00000000-0005-0000-0000-0000F60B0000}"/>
    <cellStyle name="20% - Accent4 4 3 3 2 2 2 2" xfId="3069" xr:uid="{00000000-0005-0000-0000-0000F70B0000}"/>
    <cellStyle name="20% - Accent4 4 3 3 2 2 3" xfId="3070" xr:uid="{00000000-0005-0000-0000-0000F80B0000}"/>
    <cellStyle name="20% - Accent4 4 3 3 2 2 3 2" xfId="3071" xr:uid="{00000000-0005-0000-0000-0000F90B0000}"/>
    <cellStyle name="20% - Accent4 4 3 3 2 2 4" xfId="3072" xr:uid="{00000000-0005-0000-0000-0000FA0B0000}"/>
    <cellStyle name="20% - Accent4 4 3 3 2 3" xfId="3073" xr:uid="{00000000-0005-0000-0000-0000FB0B0000}"/>
    <cellStyle name="20% - Accent4 4 3 3 2 3 2" xfId="3074" xr:uid="{00000000-0005-0000-0000-0000FC0B0000}"/>
    <cellStyle name="20% - Accent4 4 3 3 2 4" xfId="3075" xr:uid="{00000000-0005-0000-0000-0000FD0B0000}"/>
    <cellStyle name="20% - Accent4 4 3 3 2 4 2" xfId="3076" xr:uid="{00000000-0005-0000-0000-0000FE0B0000}"/>
    <cellStyle name="20% - Accent4 4 3 3 2 5" xfId="3077" xr:uid="{00000000-0005-0000-0000-0000FF0B0000}"/>
    <cellStyle name="20% - Accent4 4 3 3 2 5 2" xfId="3078" xr:uid="{00000000-0005-0000-0000-0000000C0000}"/>
    <cellStyle name="20% - Accent4 4 3 3 2 6" xfId="3079" xr:uid="{00000000-0005-0000-0000-0000010C0000}"/>
    <cellStyle name="20% - Accent4 4 3 3 2 6 2" xfId="3080" xr:uid="{00000000-0005-0000-0000-0000020C0000}"/>
    <cellStyle name="20% - Accent4 4 3 3 2 7" xfId="3081" xr:uid="{00000000-0005-0000-0000-0000030C0000}"/>
    <cellStyle name="20% - Accent4 4 3 3 3" xfId="3082" xr:uid="{00000000-0005-0000-0000-0000040C0000}"/>
    <cellStyle name="20% - Accent4 4 3 3 3 2" xfId="3083" xr:uid="{00000000-0005-0000-0000-0000050C0000}"/>
    <cellStyle name="20% - Accent4 4 3 3 3 2 2" xfId="3084" xr:uid="{00000000-0005-0000-0000-0000060C0000}"/>
    <cellStyle name="20% - Accent4 4 3 3 3 3" xfId="3085" xr:uid="{00000000-0005-0000-0000-0000070C0000}"/>
    <cellStyle name="20% - Accent4 4 3 3 3 3 2" xfId="3086" xr:uid="{00000000-0005-0000-0000-0000080C0000}"/>
    <cellStyle name="20% - Accent4 4 3 3 3 4" xfId="3087" xr:uid="{00000000-0005-0000-0000-0000090C0000}"/>
    <cellStyle name="20% - Accent4 4 3 3 3 4 2" xfId="3088" xr:uid="{00000000-0005-0000-0000-00000A0C0000}"/>
    <cellStyle name="20% - Accent4 4 3 3 3 5" xfId="3089" xr:uid="{00000000-0005-0000-0000-00000B0C0000}"/>
    <cellStyle name="20% - Accent4 4 3 3 3 5 2" xfId="3090" xr:uid="{00000000-0005-0000-0000-00000C0C0000}"/>
    <cellStyle name="20% - Accent4 4 3 3 3 6" xfId="3091" xr:uid="{00000000-0005-0000-0000-00000D0C0000}"/>
    <cellStyle name="20% - Accent4 4 3 3 4" xfId="3092" xr:uid="{00000000-0005-0000-0000-00000E0C0000}"/>
    <cellStyle name="20% - Accent4 4 3 3 4 2" xfId="3093" xr:uid="{00000000-0005-0000-0000-00000F0C0000}"/>
    <cellStyle name="20% - Accent4 4 3 3 4 2 2" xfId="3094" xr:uid="{00000000-0005-0000-0000-0000100C0000}"/>
    <cellStyle name="20% - Accent4 4 3 3 4 3" xfId="3095" xr:uid="{00000000-0005-0000-0000-0000110C0000}"/>
    <cellStyle name="20% - Accent4 4 3 3 5" xfId="3096" xr:uid="{00000000-0005-0000-0000-0000120C0000}"/>
    <cellStyle name="20% - Accent4 4 3 3 5 2" xfId="3097" xr:uid="{00000000-0005-0000-0000-0000130C0000}"/>
    <cellStyle name="20% - Accent4 4 3 3 6" xfId="3098" xr:uid="{00000000-0005-0000-0000-0000140C0000}"/>
    <cellStyle name="20% - Accent4 4 3 3 6 2" xfId="3099" xr:uid="{00000000-0005-0000-0000-0000150C0000}"/>
    <cellStyle name="20% - Accent4 4 3 3 7" xfId="3100" xr:uid="{00000000-0005-0000-0000-0000160C0000}"/>
    <cellStyle name="20% - Accent4 4 3 3 7 2" xfId="3101" xr:uid="{00000000-0005-0000-0000-0000170C0000}"/>
    <cellStyle name="20% - Accent4 4 3 3 8" xfId="3102" xr:uid="{00000000-0005-0000-0000-0000180C0000}"/>
    <cellStyle name="20% - Accent4 4 3 4" xfId="3103" xr:uid="{00000000-0005-0000-0000-0000190C0000}"/>
    <cellStyle name="20% - Accent4 4 3 4 2" xfId="3104" xr:uid="{00000000-0005-0000-0000-00001A0C0000}"/>
    <cellStyle name="20% - Accent4 4 3 4 2 2" xfId="3105" xr:uid="{00000000-0005-0000-0000-00001B0C0000}"/>
    <cellStyle name="20% - Accent4 4 3 4 2 2 2" xfId="3106" xr:uid="{00000000-0005-0000-0000-00001C0C0000}"/>
    <cellStyle name="20% - Accent4 4 3 4 2 3" xfId="3107" xr:uid="{00000000-0005-0000-0000-00001D0C0000}"/>
    <cellStyle name="20% - Accent4 4 3 4 2 3 2" xfId="3108" xr:uid="{00000000-0005-0000-0000-00001E0C0000}"/>
    <cellStyle name="20% - Accent4 4 3 4 2 4" xfId="3109" xr:uid="{00000000-0005-0000-0000-00001F0C0000}"/>
    <cellStyle name="20% - Accent4 4 3 4 3" xfId="3110" xr:uid="{00000000-0005-0000-0000-0000200C0000}"/>
    <cellStyle name="20% - Accent4 4 3 4 3 2" xfId="3111" xr:uid="{00000000-0005-0000-0000-0000210C0000}"/>
    <cellStyle name="20% - Accent4 4 3 4 4" xfId="3112" xr:uid="{00000000-0005-0000-0000-0000220C0000}"/>
    <cellStyle name="20% - Accent4 4 3 4 4 2" xfId="3113" xr:uid="{00000000-0005-0000-0000-0000230C0000}"/>
    <cellStyle name="20% - Accent4 4 3 4 5" xfId="3114" xr:uid="{00000000-0005-0000-0000-0000240C0000}"/>
    <cellStyle name="20% - Accent4 4 3 4 5 2" xfId="3115" xr:uid="{00000000-0005-0000-0000-0000250C0000}"/>
    <cellStyle name="20% - Accent4 4 3 4 6" xfId="3116" xr:uid="{00000000-0005-0000-0000-0000260C0000}"/>
    <cellStyle name="20% - Accent4 4 3 4 6 2" xfId="3117" xr:uid="{00000000-0005-0000-0000-0000270C0000}"/>
    <cellStyle name="20% - Accent4 4 3 4 7" xfId="3118" xr:uid="{00000000-0005-0000-0000-0000280C0000}"/>
    <cellStyle name="20% - Accent4 4 3 5" xfId="3119" xr:uid="{00000000-0005-0000-0000-0000290C0000}"/>
    <cellStyle name="20% - Accent4 4 3 5 2" xfId="3120" xr:uid="{00000000-0005-0000-0000-00002A0C0000}"/>
    <cellStyle name="20% - Accent4 4 3 5 2 2" xfId="3121" xr:uid="{00000000-0005-0000-0000-00002B0C0000}"/>
    <cellStyle name="20% - Accent4 4 3 5 3" xfId="3122" xr:uid="{00000000-0005-0000-0000-00002C0C0000}"/>
    <cellStyle name="20% - Accent4 4 3 5 3 2" xfId="3123" xr:uid="{00000000-0005-0000-0000-00002D0C0000}"/>
    <cellStyle name="20% - Accent4 4 3 5 4" xfId="3124" xr:uid="{00000000-0005-0000-0000-00002E0C0000}"/>
    <cellStyle name="20% - Accent4 4 3 5 4 2" xfId="3125" xr:uid="{00000000-0005-0000-0000-00002F0C0000}"/>
    <cellStyle name="20% - Accent4 4 3 5 5" xfId="3126" xr:uid="{00000000-0005-0000-0000-0000300C0000}"/>
    <cellStyle name="20% - Accent4 4 3 5 5 2" xfId="3127" xr:uid="{00000000-0005-0000-0000-0000310C0000}"/>
    <cellStyle name="20% - Accent4 4 3 5 6" xfId="3128" xr:uid="{00000000-0005-0000-0000-0000320C0000}"/>
    <cellStyle name="20% - Accent4 4 3 6" xfId="3129" xr:uid="{00000000-0005-0000-0000-0000330C0000}"/>
    <cellStyle name="20% - Accent4 4 3 6 2" xfId="3130" xr:uid="{00000000-0005-0000-0000-0000340C0000}"/>
    <cellStyle name="20% - Accent4 4 3 6 2 2" xfId="3131" xr:uid="{00000000-0005-0000-0000-0000350C0000}"/>
    <cellStyle name="20% - Accent4 4 3 6 3" xfId="3132" xr:uid="{00000000-0005-0000-0000-0000360C0000}"/>
    <cellStyle name="20% - Accent4 4 3 7" xfId="3133" xr:uid="{00000000-0005-0000-0000-0000370C0000}"/>
    <cellStyle name="20% - Accent4 4 3 7 2" xfId="3134" xr:uid="{00000000-0005-0000-0000-0000380C0000}"/>
    <cellStyle name="20% - Accent4 4 3 8" xfId="3135" xr:uid="{00000000-0005-0000-0000-0000390C0000}"/>
    <cellStyle name="20% - Accent4 4 3 8 2" xfId="3136" xr:uid="{00000000-0005-0000-0000-00003A0C0000}"/>
    <cellStyle name="20% - Accent4 4 3 9" xfId="3137" xr:uid="{00000000-0005-0000-0000-00003B0C0000}"/>
    <cellStyle name="20% - Accent4 4 3 9 2" xfId="3138" xr:uid="{00000000-0005-0000-0000-00003C0C0000}"/>
    <cellStyle name="20% - Accent4 4 4" xfId="3139" xr:uid="{00000000-0005-0000-0000-00003D0C0000}"/>
    <cellStyle name="20% - Accent4 4 4 2" xfId="3140" xr:uid="{00000000-0005-0000-0000-00003E0C0000}"/>
    <cellStyle name="20% - Accent4 4 4 2 2" xfId="3141" xr:uid="{00000000-0005-0000-0000-00003F0C0000}"/>
    <cellStyle name="20% - Accent4 4 4 2 2 2" xfId="3142" xr:uid="{00000000-0005-0000-0000-0000400C0000}"/>
    <cellStyle name="20% - Accent4 4 4 2 2 2 2" xfId="3143" xr:uid="{00000000-0005-0000-0000-0000410C0000}"/>
    <cellStyle name="20% - Accent4 4 4 2 2 3" xfId="3144" xr:uid="{00000000-0005-0000-0000-0000420C0000}"/>
    <cellStyle name="20% - Accent4 4 4 2 2 3 2" xfId="3145" xr:uid="{00000000-0005-0000-0000-0000430C0000}"/>
    <cellStyle name="20% - Accent4 4 4 2 2 4" xfId="3146" xr:uid="{00000000-0005-0000-0000-0000440C0000}"/>
    <cellStyle name="20% - Accent4 4 4 2 3" xfId="3147" xr:uid="{00000000-0005-0000-0000-0000450C0000}"/>
    <cellStyle name="20% - Accent4 4 4 2 3 2" xfId="3148" xr:uid="{00000000-0005-0000-0000-0000460C0000}"/>
    <cellStyle name="20% - Accent4 4 4 2 4" xfId="3149" xr:uid="{00000000-0005-0000-0000-0000470C0000}"/>
    <cellStyle name="20% - Accent4 4 4 2 4 2" xfId="3150" xr:uid="{00000000-0005-0000-0000-0000480C0000}"/>
    <cellStyle name="20% - Accent4 4 4 2 5" xfId="3151" xr:uid="{00000000-0005-0000-0000-0000490C0000}"/>
    <cellStyle name="20% - Accent4 4 4 2 5 2" xfId="3152" xr:uid="{00000000-0005-0000-0000-00004A0C0000}"/>
    <cellStyle name="20% - Accent4 4 4 2 6" xfId="3153" xr:uid="{00000000-0005-0000-0000-00004B0C0000}"/>
    <cellStyle name="20% - Accent4 4 4 2 6 2" xfId="3154" xr:uid="{00000000-0005-0000-0000-00004C0C0000}"/>
    <cellStyle name="20% - Accent4 4 4 2 7" xfId="3155" xr:uid="{00000000-0005-0000-0000-00004D0C0000}"/>
    <cellStyle name="20% - Accent4 4 4 3" xfId="3156" xr:uid="{00000000-0005-0000-0000-00004E0C0000}"/>
    <cellStyle name="20% - Accent4 4 4 3 2" xfId="3157" xr:uid="{00000000-0005-0000-0000-00004F0C0000}"/>
    <cellStyle name="20% - Accent4 4 4 3 2 2" xfId="3158" xr:uid="{00000000-0005-0000-0000-0000500C0000}"/>
    <cellStyle name="20% - Accent4 4 4 3 3" xfId="3159" xr:uid="{00000000-0005-0000-0000-0000510C0000}"/>
    <cellStyle name="20% - Accent4 4 4 3 3 2" xfId="3160" xr:uid="{00000000-0005-0000-0000-0000520C0000}"/>
    <cellStyle name="20% - Accent4 4 4 3 4" xfId="3161" xr:uid="{00000000-0005-0000-0000-0000530C0000}"/>
    <cellStyle name="20% - Accent4 4 4 3 4 2" xfId="3162" xr:uid="{00000000-0005-0000-0000-0000540C0000}"/>
    <cellStyle name="20% - Accent4 4 4 3 5" xfId="3163" xr:uid="{00000000-0005-0000-0000-0000550C0000}"/>
    <cellStyle name="20% - Accent4 4 4 3 5 2" xfId="3164" xr:uid="{00000000-0005-0000-0000-0000560C0000}"/>
    <cellStyle name="20% - Accent4 4 4 3 6" xfId="3165" xr:uid="{00000000-0005-0000-0000-0000570C0000}"/>
    <cellStyle name="20% - Accent4 4 4 4" xfId="3166" xr:uid="{00000000-0005-0000-0000-0000580C0000}"/>
    <cellStyle name="20% - Accent4 4 4 4 2" xfId="3167" xr:uid="{00000000-0005-0000-0000-0000590C0000}"/>
    <cellStyle name="20% - Accent4 4 4 4 2 2" xfId="3168" xr:uid="{00000000-0005-0000-0000-00005A0C0000}"/>
    <cellStyle name="20% - Accent4 4 4 4 3" xfId="3169" xr:uid="{00000000-0005-0000-0000-00005B0C0000}"/>
    <cellStyle name="20% - Accent4 4 4 5" xfId="3170" xr:uid="{00000000-0005-0000-0000-00005C0C0000}"/>
    <cellStyle name="20% - Accent4 4 4 5 2" xfId="3171" xr:uid="{00000000-0005-0000-0000-00005D0C0000}"/>
    <cellStyle name="20% - Accent4 4 4 6" xfId="3172" xr:uid="{00000000-0005-0000-0000-00005E0C0000}"/>
    <cellStyle name="20% - Accent4 4 4 6 2" xfId="3173" xr:uid="{00000000-0005-0000-0000-00005F0C0000}"/>
    <cellStyle name="20% - Accent4 4 4 7" xfId="3174" xr:uid="{00000000-0005-0000-0000-0000600C0000}"/>
    <cellStyle name="20% - Accent4 4 4 7 2" xfId="3175" xr:uid="{00000000-0005-0000-0000-0000610C0000}"/>
    <cellStyle name="20% - Accent4 4 4 8" xfId="3176" xr:uid="{00000000-0005-0000-0000-0000620C0000}"/>
    <cellStyle name="20% - Accent4 4 5" xfId="3177" xr:uid="{00000000-0005-0000-0000-0000630C0000}"/>
    <cellStyle name="20% - Accent4 4 5 2" xfId="3178" xr:uid="{00000000-0005-0000-0000-0000640C0000}"/>
    <cellStyle name="20% - Accent4 4 5 2 2" xfId="3179" xr:uid="{00000000-0005-0000-0000-0000650C0000}"/>
    <cellStyle name="20% - Accent4 4 5 2 2 2" xfId="3180" xr:uid="{00000000-0005-0000-0000-0000660C0000}"/>
    <cellStyle name="20% - Accent4 4 5 2 2 2 2" xfId="3181" xr:uid="{00000000-0005-0000-0000-0000670C0000}"/>
    <cellStyle name="20% - Accent4 4 5 2 2 3" xfId="3182" xr:uid="{00000000-0005-0000-0000-0000680C0000}"/>
    <cellStyle name="20% - Accent4 4 5 2 2 3 2" xfId="3183" xr:uid="{00000000-0005-0000-0000-0000690C0000}"/>
    <cellStyle name="20% - Accent4 4 5 2 2 4" xfId="3184" xr:uid="{00000000-0005-0000-0000-00006A0C0000}"/>
    <cellStyle name="20% - Accent4 4 5 2 3" xfId="3185" xr:uid="{00000000-0005-0000-0000-00006B0C0000}"/>
    <cellStyle name="20% - Accent4 4 5 2 3 2" xfId="3186" xr:uid="{00000000-0005-0000-0000-00006C0C0000}"/>
    <cellStyle name="20% - Accent4 4 5 2 4" xfId="3187" xr:uid="{00000000-0005-0000-0000-00006D0C0000}"/>
    <cellStyle name="20% - Accent4 4 5 2 4 2" xfId="3188" xr:uid="{00000000-0005-0000-0000-00006E0C0000}"/>
    <cellStyle name="20% - Accent4 4 5 2 5" xfId="3189" xr:uid="{00000000-0005-0000-0000-00006F0C0000}"/>
    <cellStyle name="20% - Accent4 4 5 2 5 2" xfId="3190" xr:uid="{00000000-0005-0000-0000-0000700C0000}"/>
    <cellStyle name="20% - Accent4 4 5 2 6" xfId="3191" xr:uid="{00000000-0005-0000-0000-0000710C0000}"/>
    <cellStyle name="20% - Accent4 4 5 2 6 2" xfId="3192" xr:uid="{00000000-0005-0000-0000-0000720C0000}"/>
    <cellStyle name="20% - Accent4 4 5 2 7" xfId="3193" xr:uid="{00000000-0005-0000-0000-0000730C0000}"/>
    <cellStyle name="20% - Accent4 4 5 3" xfId="3194" xr:uid="{00000000-0005-0000-0000-0000740C0000}"/>
    <cellStyle name="20% - Accent4 4 5 3 2" xfId="3195" xr:uid="{00000000-0005-0000-0000-0000750C0000}"/>
    <cellStyle name="20% - Accent4 4 5 3 2 2" xfId="3196" xr:uid="{00000000-0005-0000-0000-0000760C0000}"/>
    <cellStyle name="20% - Accent4 4 5 3 3" xfId="3197" xr:uid="{00000000-0005-0000-0000-0000770C0000}"/>
    <cellStyle name="20% - Accent4 4 5 3 3 2" xfId="3198" xr:uid="{00000000-0005-0000-0000-0000780C0000}"/>
    <cellStyle name="20% - Accent4 4 5 3 4" xfId="3199" xr:uid="{00000000-0005-0000-0000-0000790C0000}"/>
    <cellStyle name="20% - Accent4 4 5 3 4 2" xfId="3200" xr:uid="{00000000-0005-0000-0000-00007A0C0000}"/>
    <cellStyle name="20% - Accent4 4 5 3 5" xfId="3201" xr:uid="{00000000-0005-0000-0000-00007B0C0000}"/>
    <cellStyle name="20% - Accent4 4 5 3 5 2" xfId="3202" xr:uid="{00000000-0005-0000-0000-00007C0C0000}"/>
    <cellStyle name="20% - Accent4 4 5 3 6" xfId="3203" xr:uid="{00000000-0005-0000-0000-00007D0C0000}"/>
    <cellStyle name="20% - Accent4 4 5 4" xfId="3204" xr:uid="{00000000-0005-0000-0000-00007E0C0000}"/>
    <cellStyle name="20% - Accent4 4 5 4 2" xfId="3205" xr:uid="{00000000-0005-0000-0000-00007F0C0000}"/>
    <cellStyle name="20% - Accent4 4 5 4 2 2" xfId="3206" xr:uid="{00000000-0005-0000-0000-0000800C0000}"/>
    <cellStyle name="20% - Accent4 4 5 4 3" xfId="3207" xr:uid="{00000000-0005-0000-0000-0000810C0000}"/>
    <cellStyle name="20% - Accent4 4 5 5" xfId="3208" xr:uid="{00000000-0005-0000-0000-0000820C0000}"/>
    <cellStyle name="20% - Accent4 4 5 5 2" xfId="3209" xr:uid="{00000000-0005-0000-0000-0000830C0000}"/>
    <cellStyle name="20% - Accent4 4 5 6" xfId="3210" xr:uid="{00000000-0005-0000-0000-0000840C0000}"/>
    <cellStyle name="20% - Accent4 4 5 6 2" xfId="3211" xr:uid="{00000000-0005-0000-0000-0000850C0000}"/>
    <cellStyle name="20% - Accent4 4 5 7" xfId="3212" xr:uid="{00000000-0005-0000-0000-0000860C0000}"/>
    <cellStyle name="20% - Accent4 4 5 7 2" xfId="3213" xr:uid="{00000000-0005-0000-0000-0000870C0000}"/>
    <cellStyle name="20% - Accent4 4 5 8" xfId="3214" xr:uid="{00000000-0005-0000-0000-0000880C0000}"/>
    <cellStyle name="20% - Accent4 4 6" xfId="3215" xr:uid="{00000000-0005-0000-0000-0000890C0000}"/>
    <cellStyle name="20% - Accent4 4 6 2" xfId="3216" xr:uid="{00000000-0005-0000-0000-00008A0C0000}"/>
    <cellStyle name="20% - Accent4 4 6 2 2" xfId="3217" xr:uid="{00000000-0005-0000-0000-00008B0C0000}"/>
    <cellStyle name="20% - Accent4 4 6 2 2 2" xfId="3218" xr:uid="{00000000-0005-0000-0000-00008C0C0000}"/>
    <cellStyle name="20% - Accent4 4 6 2 3" xfId="3219" xr:uid="{00000000-0005-0000-0000-00008D0C0000}"/>
    <cellStyle name="20% - Accent4 4 6 2 3 2" xfId="3220" xr:uid="{00000000-0005-0000-0000-00008E0C0000}"/>
    <cellStyle name="20% - Accent4 4 6 2 4" xfId="3221" xr:uid="{00000000-0005-0000-0000-00008F0C0000}"/>
    <cellStyle name="20% - Accent4 4 6 3" xfId="3222" xr:uid="{00000000-0005-0000-0000-0000900C0000}"/>
    <cellStyle name="20% - Accent4 4 6 3 2" xfId="3223" xr:uid="{00000000-0005-0000-0000-0000910C0000}"/>
    <cellStyle name="20% - Accent4 4 6 4" xfId="3224" xr:uid="{00000000-0005-0000-0000-0000920C0000}"/>
    <cellStyle name="20% - Accent4 4 6 4 2" xfId="3225" xr:uid="{00000000-0005-0000-0000-0000930C0000}"/>
    <cellStyle name="20% - Accent4 4 6 5" xfId="3226" xr:uid="{00000000-0005-0000-0000-0000940C0000}"/>
    <cellStyle name="20% - Accent4 4 6 5 2" xfId="3227" xr:uid="{00000000-0005-0000-0000-0000950C0000}"/>
    <cellStyle name="20% - Accent4 4 6 6" xfId="3228" xr:uid="{00000000-0005-0000-0000-0000960C0000}"/>
    <cellStyle name="20% - Accent4 4 6 6 2" xfId="3229" xr:uid="{00000000-0005-0000-0000-0000970C0000}"/>
    <cellStyle name="20% - Accent4 4 6 7" xfId="3230" xr:uid="{00000000-0005-0000-0000-0000980C0000}"/>
    <cellStyle name="20% - Accent4 4 7" xfId="3231" xr:uid="{00000000-0005-0000-0000-0000990C0000}"/>
    <cellStyle name="20% - Accent4 4 7 2" xfId="3232" xr:uid="{00000000-0005-0000-0000-00009A0C0000}"/>
    <cellStyle name="20% - Accent4 4 7 2 2" xfId="3233" xr:uid="{00000000-0005-0000-0000-00009B0C0000}"/>
    <cellStyle name="20% - Accent4 4 7 3" xfId="3234" xr:uid="{00000000-0005-0000-0000-00009C0C0000}"/>
    <cellStyle name="20% - Accent4 4 7 3 2" xfId="3235" xr:uid="{00000000-0005-0000-0000-00009D0C0000}"/>
    <cellStyle name="20% - Accent4 4 7 4" xfId="3236" xr:uid="{00000000-0005-0000-0000-00009E0C0000}"/>
    <cellStyle name="20% - Accent4 4 7 4 2" xfId="3237" xr:uid="{00000000-0005-0000-0000-00009F0C0000}"/>
    <cellStyle name="20% - Accent4 4 7 5" xfId="3238" xr:uid="{00000000-0005-0000-0000-0000A00C0000}"/>
    <cellStyle name="20% - Accent4 4 7 5 2" xfId="3239" xr:uid="{00000000-0005-0000-0000-0000A10C0000}"/>
    <cellStyle name="20% - Accent4 4 7 6" xfId="3240" xr:uid="{00000000-0005-0000-0000-0000A20C0000}"/>
    <cellStyle name="20% - Accent4 4 8" xfId="3241" xr:uid="{00000000-0005-0000-0000-0000A30C0000}"/>
    <cellStyle name="20% - Accent4 4 8 2" xfId="3242" xr:uid="{00000000-0005-0000-0000-0000A40C0000}"/>
    <cellStyle name="20% - Accent4 4 8 2 2" xfId="3243" xr:uid="{00000000-0005-0000-0000-0000A50C0000}"/>
    <cellStyle name="20% - Accent4 4 8 3" xfId="3244" xr:uid="{00000000-0005-0000-0000-0000A60C0000}"/>
    <cellStyle name="20% - Accent4 4 8 3 2" xfId="3245" xr:uid="{00000000-0005-0000-0000-0000A70C0000}"/>
    <cellStyle name="20% - Accent4 4 8 4" xfId="3246" xr:uid="{00000000-0005-0000-0000-0000A80C0000}"/>
    <cellStyle name="20% - Accent4 4 9" xfId="3247" xr:uid="{00000000-0005-0000-0000-0000A90C0000}"/>
    <cellStyle name="20% - Accent4 4 9 2" xfId="3248" xr:uid="{00000000-0005-0000-0000-0000AA0C0000}"/>
    <cellStyle name="20% - Accent4 4 9 2 2" xfId="3249" xr:uid="{00000000-0005-0000-0000-0000AB0C0000}"/>
    <cellStyle name="20% - Accent4 4 9 3" xfId="3250" xr:uid="{00000000-0005-0000-0000-0000AC0C0000}"/>
    <cellStyle name="20% - Accent4 5" xfId="3251" xr:uid="{00000000-0005-0000-0000-0000AD0C0000}"/>
    <cellStyle name="20% - Accent4 5 2" xfId="3252" xr:uid="{00000000-0005-0000-0000-0000AE0C0000}"/>
    <cellStyle name="20% - Accent4 5 2 2" xfId="3253" xr:uid="{00000000-0005-0000-0000-0000AF0C0000}"/>
    <cellStyle name="20% - Accent4 5 2 2 2" xfId="3254" xr:uid="{00000000-0005-0000-0000-0000B00C0000}"/>
    <cellStyle name="20% - Accent4 5 2 3" xfId="3255" xr:uid="{00000000-0005-0000-0000-0000B10C0000}"/>
    <cellStyle name="20% - Accent4 5 3" xfId="3256" xr:uid="{00000000-0005-0000-0000-0000B20C0000}"/>
    <cellStyle name="20% - Accent4 5 3 2" xfId="3257" xr:uid="{00000000-0005-0000-0000-0000B30C0000}"/>
    <cellStyle name="20% - Accent4 5 3 2 2" xfId="3258" xr:uid="{00000000-0005-0000-0000-0000B40C0000}"/>
    <cellStyle name="20% - Accent4 5 3 3" xfId="3259" xr:uid="{00000000-0005-0000-0000-0000B50C0000}"/>
    <cellStyle name="20% - Accent4 5 4" xfId="3260" xr:uid="{00000000-0005-0000-0000-0000B60C0000}"/>
    <cellStyle name="20% - Accent4 6" xfId="3261" xr:uid="{00000000-0005-0000-0000-0000B70C0000}"/>
    <cellStyle name="20% - Accent4 6 10" xfId="3262" xr:uid="{00000000-0005-0000-0000-0000B80C0000}"/>
    <cellStyle name="20% - Accent4 6 10 2" xfId="3263" xr:uid="{00000000-0005-0000-0000-0000B90C0000}"/>
    <cellStyle name="20% - Accent4 6 11" xfId="3264" xr:uid="{00000000-0005-0000-0000-0000BA0C0000}"/>
    <cellStyle name="20% - Accent4 6 2" xfId="3265" xr:uid="{00000000-0005-0000-0000-0000BB0C0000}"/>
    <cellStyle name="20% - Accent4 6 2 10" xfId="3266" xr:uid="{00000000-0005-0000-0000-0000BC0C0000}"/>
    <cellStyle name="20% - Accent4 6 2 2" xfId="3267" xr:uid="{00000000-0005-0000-0000-0000BD0C0000}"/>
    <cellStyle name="20% - Accent4 6 2 2 2" xfId="3268" xr:uid="{00000000-0005-0000-0000-0000BE0C0000}"/>
    <cellStyle name="20% - Accent4 6 2 2 2 2" xfId="3269" xr:uid="{00000000-0005-0000-0000-0000BF0C0000}"/>
    <cellStyle name="20% - Accent4 6 2 2 2 2 2" xfId="3270" xr:uid="{00000000-0005-0000-0000-0000C00C0000}"/>
    <cellStyle name="20% - Accent4 6 2 2 2 2 2 2" xfId="3271" xr:uid="{00000000-0005-0000-0000-0000C10C0000}"/>
    <cellStyle name="20% - Accent4 6 2 2 2 2 3" xfId="3272" xr:uid="{00000000-0005-0000-0000-0000C20C0000}"/>
    <cellStyle name="20% - Accent4 6 2 2 2 2 3 2" xfId="3273" xr:uid="{00000000-0005-0000-0000-0000C30C0000}"/>
    <cellStyle name="20% - Accent4 6 2 2 2 2 4" xfId="3274" xr:uid="{00000000-0005-0000-0000-0000C40C0000}"/>
    <cellStyle name="20% - Accent4 6 2 2 2 3" xfId="3275" xr:uid="{00000000-0005-0000-0000-0000C50C0000}"/>
    <cellStyle name="20% - Accent4 6 2 2 2 3 2" xfId="3276" xr:uid="{00000000-0005-0000-0000-0000C60C0000}"/>
    <cellStyle name="20% - Accent4 6 2 2 2 4" xfId="3277" xr:uid="{00000000-0005-0000-0000-0000C70C0000}"/>
    <cellStyle name="20% - Accent4 6 2 2 2 4 2" xfId="3278" xr:uid="{00000000-0005-0000-0000-0000C80C0000}"/>
    <cellStyle name="20% - Accent4 6 2 2 2 5" xfId="3279" xr:uid="{00000000-0005-0000-0000-0000C90C0000}"/>
    <cellStyle name="20% - Accent4 6 2 2 2 5 2" xfId="3280" xr:uid="{00000000-0005-0000-0000-0000CA0C0000}"/>
    <cellStyle name="20% - Accent4 6 2 2 2 6" xfId="3281" xr:uid="{00000000-0005-0000-0000-0000CB0C0000}"/>
    <cellStyle name="20% - Accent4 6 2 2 2 6 2" xfId="3282" xr:uid="{00000000-0005-0000-0000-0000CC0C0000}"/>
    <cellStyle name="20% - Accent4 6 2 2 2 7" xfId="3283" xr:uid="{00000000-0005-0000-0000-0000CD0C0000}"/>
    <cellStyle name="20% - Accent4 6 2 2 3" xfId="3284" xr:uid="{00000000-0005-0000-0000-0000CE0C0000}"/>
    <cellStyle name="20% - Accent4 6 2 2 3 2" xfId="3285" xr:uid="{00000000-0005-0000-0000-0000CF0C0000}"/>
    <cellStyle name="20% - Accent4 6 2 2 3 2 2" xfId="3286" xr:uid="{00000000-0005-0000-0000-0000D00C0000}"/>
    <cellStyle name="20% - Accent4 6 2 2 3 3" xfId="3287" xr:uid="{00000000-0005-0000-0000-0000D10C0000}"/>
    <cellStyle name="20% - Accent4 6 2 2 3 3 2" xfId="3288" xr:uid="{00000000-0005-0000-0000-0000D20C0000}"/>
    <cellStyle name="20% - Accent4 6 2 2 3 4" xfId="3289" xr:uid="{00000000-0005-0000-0000-0000D30C0000}"/>
    <cellStyle name="20% - Accent4 6 2 2 3 4 2" xfId="3290" xr:uid="{00000000-0005-0000-0000-0000D40C0000}"/>
    <cellStyle name="20% - Accent4 6 2 2 3 5" xfId="3291" xr:uid="{00000000-0005-0000-0000-0000D50C0000}"/>
    <cellStyle name="20% - Accent4 6 2 2 3 5 2" xfId="3292" xr:uid="{00000000-0005-0000-0000-0000D60C0000}"/>
    <cellStyle name="20% - Accent4 6 2 2 3 6" xfId="3293" xr:uid="{00000000-0005-0000-0000-0000D70C0000}"/>
    <cellStyle name="20% - Accent4 6 2 2 4" xfId="3294" xr:uid="{00000000-0005-0000-0000-0000D80C0000}"/>
    <cellStyle name="20% - Accent4 6 2 2 4 2" xfId="3295" xr:uid="{00000000-0005-0000-0000-0000D90C0000}"/>
    <cellStyle name="20% - Accent4 6 2 2 4 2 2" xfId="3296" xr:uid="{00000000-0005-0000-0000-0000DA0C0000}"/>
    <cellStyle name="20% - Accent4 6 2 2 4 3" xfId="3297" xr:uid="{00000000-0005-0000-0000-0000DB0C0000}"/>
    <cellStyle name="20% - Accent4 6 2 2 5" xfId="3298" xr:uid="{00000000-0005-0000-0000-0000DC0C0000}"/>
    <cellStyle name="20% - Accent4 6 2 2 5 2" xfId="3299" xr:uid="{00000000-0005-0000-0000-0000DD0C0000}"/>
    <cellStyle name="20% - Accent4 6 2 2 6" xfId="3300" xr:uid="{00000000-0005-0000-0000-0000DE0C0000}"/>
    <cellStyle name="20% - Accent4 6 2 2 6 2" xfId="3301" xr:uid="{00000000-0005-0000-0000-0000DF0C0000}"/>
    <cellStyle name="20% - Accent4 6 2 2 7" xfId="3302" xr:uid="{00000000-0005-0000-0000-0000E00C0000}"/>
    <cellStyle name="20% - Accent4 6 2 2 7 2" xfId="3303" xr:uid="{00000000-0005-0000-0000-0000E10C0000}"/>
    <cellStyle name="20% - Accent4 6 2 2 8" xfId="3304" xr:uid="{00000000-0005-0000-0000-0000E20C0000}"/>
    <cellStyle name="20% - Accent4 6 2 3" xfId="3305" xr:uid="{00000000-0005-0000-0000-0000E30C0000}"/>
    <cellStyle name="20% - Accent4 6 2 3 2" xfId="3306" xr:uid="{00000000-0005-0000-0000-0000E40C0000}"/>
    <cellStyle name="20% - Accent4 6 2 3 2 2" xfId="3307" xr:uid="{00000000-0005-0000-0000-0000E50C0000}"/>
    <cellStyle name="20% - Accent4 6 2 3 2 2 2" xfId="3308" xr:uid="{00000000-0005-0000-0000-0000E60C0000}"/>
    <cellStyle name="20% - Accent4 6 2 3 2 2 2 2" xfId="3309" xr:uid="{00000000-0005-0000-0000-0000E70C0000}"/>
    <cellStyle name="20% - Accent4 6 2 3 2 2 3" xfId="3310" xr:uid="{00000000-0005-0000-0000-0000E80C0000}"/>
    <cellStyle name="20% - Accent4 6 2 3 2 2 3 2" xfId="3311" xr:uid="{00000000-0005-0000-0000-0000E90C0000}"/>
    <cellStyle name="20% - Accent4 6 2 3 2 2 4" xfId="3312" xr:uid="{00000000-0005-0000-0000-0000EA0C0000}"/>
    <cellStyle name="20% - Accent4 6 2 3 2 3" xfId="3313" xr:uid="{00000000-0005-0000-0000-0000EB0C0000}"/>
    <cellStyle name="20% - Accent4 6 2 3 2 3 2" xfId="3314" xr:uid="{00000000-0005-0000-0000-0000EC0C0000}"/>
    <cellStyle name="20% - Accent4 6 2 3 2 4" xfId="3315" xr:uid="{00000000-0005-0000-0000-0000ED0C0000}"/>
    <cellStyle name="20% - Accent4 6 2 3 2 4 2" xfId="3316" xr:uid="{00000000-0005-0000-0000-0000EE0C0000}"/>
    <cellStyle name="20% - Accent4 6 2 3 2 5" xfId="3317" xr:uid="{00000000-0005-0000-0000-0000EF0C0000}"/>
    <cellStyle name="20% - Accent4 6 2 3 2 5 2" xfId="3318" xr:uid="{00000000-0005-0000-0000-0000F00C0000}"/>
    <cellStyle name="20% - Accent4 6 2 3 2 6" xfId="3319" xr:uid="{00000000-0005-0000-0000-0000F10C0000}"/>
    <cellStyle name="20% - Accent4 6 2 3 2 6 2" xfId="3320" xr:uid="{00000000-0005-0000-0000-0000F20C0000}"/>
    <cellStyle name="20% - Accent4 6 2 3 2 7" xfId="3321" xr:uid="{00000000-0005-0000-0000-0000F30C0000}"/>
    <cellStyle name="20% - Accent4 6 2 3 3" xfId="3322" xr:uid="{00000000-0005-0000-0000-0000F40C0000}"/>
    <cellStyle name="20% - Accent4 6 2 3 3 2" xfId="3323" xr:uid="{00000000-0005-0000-0000-0000F50C0000}"/>
    <cellStyle name="20% - Accent4 6 2 3 3 2 2" xfId="3324" xr:uid="{00000000-0005-0000-0000-0000F60C0000}"/>
    <cellStyle name="20% - Accent4 6 2 3 3 3" xfId="3325" xr:uid="{00000000-0005-0000-0000-0000F70C0000}"/>
    <cellStyle name="20% - Accent4 6 2 3 3 3 2" xfId="3326" xr:uid="{00000000-0005-0000-0000-0000F80C0000}"/>
    <cellStyle name="20% - Accent4 6 2 3 3 4" xfId="3327" xr:uid="{00000000-0005-0000-0000-0000F90C0000}"/>
    <cellStyle name="20% - Accent4 6 2 3 3 4 2" xfId="3328" xr:uid="{00000000-0005-0000-0000-0000FA0C0000}"/>
    <cellStyle name="20% - Accent4 6 2 3 3 5" xfId="3329" xr:uid="{00000000-0005-0000-0000-0000FB0C0000}"/>
    <cellStyle name="20% - Accent4 6 2 3 3 5 2" xfId="3330" xr:uid="{00000000-0005-0000-0000-0000FC0C0000}"/>
    <cellStyle name="20% - Accent4 6 2 3 3 6" xfId="3331" xr:uid="{00000000-0005-0000-0000-0000FD0C0000}"/>
    <cellStyle name="20% - Accent4 6 2 3 4" xfId="3332" xr:uid="{00000000-0005-0000-0000-0000FE0C0000}"/>
    <cellStyle name="20% - Accent4 6 2 3 4 2" xfId="3333" xr:uid="{00000000-0005-0000-0000-0000FF0C0000}"/>
    <cellStyle name="20% - Accent4 6 2 3 4 2 2" xfId="3334" xr:uid="{00000000-0005-0000-0000-0000000D0000}"/>
    <cellStyle name="20% - Accent4 6 2 3 4 3" xfId="3335" xr:uid="{00000000-0005-0000-0000-0000010D0000}"/>
    <cellStyle name="20% - Accent4 6 2 3 5" xfId="3336" xr:uid="{00000000-0005-0000-0000-0000020D0000}"/>
    <cellStyle name="20% - Accent4 6 2 3 5 2" xfId="3337" xr:uid="{00000000-0005-0000-0000-0000030D0000}"/>
    <cellStyle name="20% - Accent4 6 2 3 6" xfId="3338" xr:uid="{00000000-0005-0000-0000-0000040D0000}"/>
    <cellStyle name="20% - Accent4 6 2 3 6 2" xfId="3339" xr:uid="{00000000-0005-0000-0000-0000050D0000}"/>
    <cellStyle name="20% - Accent4 6 2 3 7" xfId="3340" xr:uid="{00000000-0005-0000-0000-0000060D0000}"/>
    <cellStyle name="20% - Accent4 6 2 3 7 2" xfId="3341" xr:uid="{00000000-0005-0000-0000-0000070D0000}"/>
    <cellStyle name="20% - Accent4 6 2 3 8" xfId="3342" xr:uid="{00000000-0005-0000-0000-0000080D0000}"/>
    <cellStyle name="20% - Accent4 6 2 4" xfId="3343" xr:uid="{00000000-0005-0000-0000-0000090D0000}"/>
    <cellStyle name="20% - Accent4 6 2 4 2" xfId="3344" xr:uid="{00000000-0005-0000-0000-00000A0D0000}"/>
    <cellStyle name="20% - Accent4 6 2 4 2 2" xfId="3345" xr:uid="{00000000-0005-0000-0000-00000B0D0000}"/>
    <cellStyle name="20% - Accent4 6 2 4 2 2 2" xfId="3346" xr:uid="{00000000-0005-0000-0000-00000C0D0000}"/>
    <cellStyle name="20% - Accent4 6 2 4 2 3" xfId="3347" xr:uid="{00000000-0005-0000-0000-00000D0D0000}"/>
    <cellStyle name="20% - Accent4 6 2 4 2 3 2" xfId="3348" xr:uid="{00000000-0005-0000-0000-00000E0D0000}"/>
    <cellStyle name="20% - Accent4 6 2 4 2 4" xfId="3349" xr:uid="{00000000-0005-0000-0000-00000F0D0000}"/>
    <cellStyle name="20% - Accent4 6 2 4 3" xfId="3350" xr:uid="{00000000-0005-0000-0000-0000100D0000}"/>
    <cellStyle name="20% - Accent4 6 2 4 3 2" xfId="3351" xr:uid="{00000000-0005-0000-0000-0000110D0000}"/>
    <cellStyle name="20% - Accent4 6 2 4 4" xfId="3352" xr:uid="{00000000-0005-0000-0000-0000120D0000}"/>
    <cellStyle name="20% - Accent4 6 2 4 4 2" xfId="3353" xr:uid="{00000000-0005-0000-0000-0000130D0000}"/>
    <cellStyle name="20% - Accent4 6 2 4 5" xfId="3354" xr:uid="{00000000-0005-0000-0000-0000140D0000}"/>
    <cellStyle name="20% - Accent4 6 2 4 5 2" xfId="3355" xr:uid="{00000000-0005-0000-0000-0000150D0000}"/>
    <cellStyle name="20% - Accent4 6 2 4 6" xfId="3356" xr:uid="{00000000-0005-0000-0000-0000160D0000}"/>
    <cellStyle name="20% - Accent4 6 2 4 6 2" xfId="3357" xr:uid="{00000000-0005-0000-0000-0000170D0000}"/>
    <cellStyle name="20% - Accent4 6 2 4 7" xfId="3358" xr:uid="{00000000-0005-0000-0000-0000180D0000}"/>
    <cellStyle name="20% - Accent4 6 2 5" xfId="3359" xr:uid="{00000000-0005-0000-0000-0000190D0000}"/>
    <cellStyle name="20% - Accent4 6 2 5 2" xfId="3360" xr:uid="{00000000-0005-0000-0000-00001A0D0000}"/>
    <cellStyle name="20% - Accent4 6 2 5 2 2" xfId="3361" xr:uid="{00000000-0005-0000-0000-00001B0D0000}"/>
    <cellStyle name="20% - Accent4 6 2 5 3" xfId="3362" xr:uid="{00000000-0005-0000-0000-00001C0D0000}"/>
    <cellStyle name="20% - Accent4 6 2 5 3 2" xfId="3363" xr:uid="{00000000-0005-0000-0000-00001D0D0000}"/>
    <cellStyle name="20% - Accent4 6 2 5 4" xfId="3364" xr:uid="{00000000-0005-0000-0000-00001E0D0000}"/>
    <cellStyle name="20% - Accent4 6 2 5 4 2" xfId="3365" xr:uid="{00000000-0005-0000-0000-00001F0D0000}"/>
    <cellStyle name="20% - Accent4 6 2 5 5" xfId="3366" xr:uid="{00000000-0005-0000-0000-0000200D0000}"/>
    <cellStyle name="20% - Accent4 6 2 5 5 2" xfId="3367" xr:uid="{00000000-0005-0000-0000-0000210D0000}"/>
    <cellStyle name="20% - Accent4 6 2 5 6" xfId="3368" xr:uid="{00000000-0005-0000-0000-0000220D0000}"/>
    <cellStyle name="20% - Accent4 6 2 6" xfId="3369" xr:uid="{00000000-0005-0000-0000-0000230D0000}"/>
    <cellStyle name="20% - Accent4 6 2 6 2" xfId="3370" xr:uid="{00000000-0005-0000-0000-0000240D0000}"/>
    <cellStyle name="20% - Accent4 6 2 6 2 2" xfId="3371" xr:uid="{00000000-0005-0000-0000-0000250D0000}"/>
    <cellStyle name="20% - Accent4 6 2 6 3" xfId="3372" xr:uid="{00000000-0005-0000-0000-0000260D0000}"/>
    <cellStyle name="20% - Accent4 6 2 7" xfId="3373" xr:uid="{00000000-0005-0000-0000-0000270D0000}"/>
    <cellStyle name="20% - Accent4 6 2 7 2" xfId="3374" xr:uid="{00000000-0005-0000-0000-0000280D0000}"/>
    <cellStyle name="20% - Accent4 6 2 8" xfId="3375" xr:uid="{00000000-0005-0000-0000-0000290D0000}"/>
    <cellStyle name="20% - Accent4 6 2 8 2" xfId="3376" xr:uid="{00000000-0005-0000-0000-00002A0D0000}"/>
    <cellStyle name="20% - Accent4 6 2 9" xfId="3377" xr:uid="{00000000-0005-0000-0000-00002B0D0000}"/>
    <cellStyle name="20% - Accent4 6 2 9 2" xfId="3378" xr:uid="{00000000-0005-0000-0000-00002C0D0000}"/>
    <cellStyle name="20% - Accent4 6 3" xfId="3379" xr:uid="{00000000-0005-0000-0000-00002D0D0000}"/>
    <cellStyle name="20% - Accent4 6 3 2" xfId="3380" xr:uid="{00000000-0005-0000-0000-00002E0D0000}"/>
    <cellStyle name="20% - Accent4 6 3 2 2" xfId="3381" xr:uid="{00000000-0005-0000-0000-00002F0D0000}"/>
    <cellStyle name="20% - Accent4 6 3 2 2 2" xfId="3382" xr:uid="{00000000-0005-0000-0000-0000300D0000}"/>
    <cellStyle name="20% - Accent4 6 3 2 2 2 2" xfId="3383" xr:uid="{00000000-0005-0000-0000-0000310D0000}"/>
    <cellStyle name="20% - Accent4 6 3 2 2 3" xfId="3384" xr:uid="{00000000-0005-0000-0000-0000320D0000}"/>
    <cellStyle name="20% - Accent4 6 3 2 2 3 2" xfId="3385" xr:uid="{00000000-0005-0000-0000-0000330D0000}"/>
    <cellStyle name="20% - Accent4 6 3 2 2 4" xfId="3386" xr:uid="{00000000-0005-0000-0000-0000340D0000}"/>
    <cellStyle name="20% - Accent4 6 3 2 3" xfId="3387" xr:uid="{00000000-0005-0000-0000-0000350D0000}"/>
    <cellStyle name="20% - Accent4 6 3 2 3 2" xfId="3388" xr:uid="{00000000-0005-0000-0000-0000360D0000}"/>
    <cellStyle name="20% - Accent4 6 3 2 4" xfId="3389" xr:uid="{00000000-0005-0000-0000-0000370D0000}"/>
    <cellStyle name="20% - Accent4 6 3 2 4 2" xfId="3390" xr:uid="{00000000-0005-0000-0000-0000380D0000}"/>
    <cellStyle name="20% - Accent4 6 3 2 5" xfId="3391" xr:uid="{00000000-0005-0000-0000-0000390D0000}"/>
    <cellStyle name="20% - Accent4 6 3 2 5 2" xfId="3392" xr:uid="{00000000-0005-0000-0000-00003A0D0000}"/>
    <cellStyle name="20% - Accent4 6 3 2 6" xfId="3393" xr:uid="{00000000-0005-0000-0000-00003B0D0000}"/>
    <cellStyle name="20% - Accent4 6 3 2 6 2" xfId="3394" xr:uid="{00000000-0005-0000-0000-00003C0D0000}"/>
    <cellStyle name="20% - Accent4 6 3 2 7" xfId="3395" xr:uid="{00000000-0005-0000-0000-00003D0D0000}"/>
    <cellStyle name="20% - Accent4 6 3 3" xfId="3396" xr:uid="{00000000-0005-0000-0000-00003E0D0000}"/>
    <cellStyle name="20% - Accent4 6 3 3 2" xfId="3397" xr:uid="{00000000-0005-0000-0000-00003F0D0000}"/>
    <cellStyle name="20% - Accent4 6 3 3 2 2" xfId="3398" xr:uid="{00000000-0005-0000-0000-0000400D0000}"/>
    <cellStyle name="20% - Accent4 6 3 3 3" xfId="3399" xr:uid="{00000000-0005-0000-0000-0000410D0000}"/>
    <cellStyle name="20% - Accent4 6 3 3 3 2" xfId="3400" xr:uid="{00000000-0005-0000-0000-0000420D0000}"/>
    <cellStyle name="20% - Accent4 6 3 3 4" xfId="3401" xr:uid="{00000000-0005-0000-0000-0000430D0000}"/>
    <cellStyle name="20% - Accent4 6 3 3 4 2" xfId="3402" xr:uid="{00000000-0005-0000-0000-0000440D0000}"/>
    <cellStyle name="20% - Accent4 6 3 3 5" xfId="3403" xr:uid="{00000000-0005-0000-0000-0000450D0000}"/>
    <cellStyle name="20% - Accent4 6 3 3 5 2" xfId="3404" xr:uid="{00000000-0005-0000-0000-0000460D0000}"/>
    <cellStyle name="20% - Accent4 6 3 3 6" xfId="3405" xr:uid="{00000000-0005-0000-0000-0000470D0000}"/>
    <cellStyle name="20% - Accent4 6 3 4" xfId="3406" xr:uid="{00000000-0005-0000-0000-0000480D0000}"/>
    <cellStyle name="20% - Accent4 6 3 4 2" xfId="3407" xr:uid="{00000000-0005-0000-0000-0000490D0000}"/>
    <cellStyle name="20% - Accent4 6 3 4 2 2" xfId="3408" xr:uid="{00000000-0005-0000-0000-00004A0D0000}"/>
    <cellStyle name="20% - Accent4 6 3 4 3" xfId="3409" xr:uid="{00000000-0005-0000-0000-00004B0D0000}"/>
    <cellStyle name="20% - Accent4 6 3 5" xfId="3410" xr:uid="{00000000-0005-0000-0000-00004C0D0000}"/>
    <cellStyle name="20% - Accent4 6 3 5 2" xfId="3411" xr:uid="{00000000-0005-0000-0000-00004D0D0000}"/>
    <cellStyle name="20% - Accent4 6 3 6" xfId="3412" xr:uid="{00000000-0005-0000-0000-00004E0D0000}"/>
    <cellStyle name="20% - Accent4 6 3 6 2" xfId="3413" xr:uid="{00000000-0005-0000-0000-00004F0D0000}"/>
    <cellStyle name="20% - Accent4 6 3 7" xfId="3414" xr:uid="{00000000-0005-0000-0000-0000500D0000}"/>
    <cellStyle name="20% - Accent4 6 3 7 2" xfId="3415" xr:uid="{00000000-0005-0000-0000-0000510D0000}"/>
    <cellStyle name="20% - Accent4 6 3 8" xfId="3416" xr:uid="{00000000-0005-0000-0000-0000520D0000}"/>
    <cellStyle name="20% - Accent4 6 4" xfId="3417" xr:uid="{00000000-0005-0000-0000-0000530D0000}"/>
    <cellStyle name="20% - Accent4 6 4 2" xfId="3418" xr:uid="{00000000-0005-0000-0000-0000540D0000}"/>
    <cellStyle name="20% - Accent4 6 4 2 2" xfId="3419" xr:uid="{00000000-0005-0000-0000-0000550D0000}"/>
    <cellStyle name="20% - Accent4 6 4 2 2 2" xfId="3420" xr:uid="{00000000-0005-0000-0000-0000560D0000}"/>
    <cellStyle name="20% - Accent4 6 4 2 2 2 2" xfId="3421" xr:uid="{00000000-0005-0000-0000-0000570D0000}"/>
    <cellStyle name="20% - Accent4 6 4 2 2 3" xfId="3422" xr:uid="{00000000-0005-0000-0000-0000580D0000}"/>
    <cellStyle name="20% - Accent4 6 4 2 2 3 2" xfId="3423" xr:uid="{00000000-0005-0000-0000-0000590D0000}"/>
    <cellStyle name="20% - Accent4 6 4 2 2 4" xfId="3424" xr:uid="{00000000-0005-0000-0000-00005A0D0000}"/>
    <cellStyle name="20% - Accent4 6 4 2 3" xfId="3425" xr:uid="{00000000-0005-0000-0000-00005B0D0000}"/>
    <cellStyle name="20% - Accent4 6 4 2 3 2" xfId="3426" xr:uid="{00000000-0005-0000-0000-00005C0D0000}"/>
    <cellStyle name="20% - Accent4 6 4 2 4" xfId="3427" xr:uid="{00000000-0005-0000-0000-00005D0D0000}"/>
    <cellStyle name="20% - Accent4 6 4 2 4 2" xfId="3428" xr:uid="{00000000-0005-0000-0000-00005E0D0000}"/>
    <cellStyle name="20% - Accent4 6 4 2 5" xfId="3429" xr:uid="{00000000-0005-0000-0000-00005F0D0000}"/>
    <cellStyle name="20% - Accent4 6 4 2 5 2" xfId="3430" xr:uid="{00000000-0005-0000-0000-0000600D0000}"/>
    <cellStyle name="20% - Accent4 6 4 2 6" xfId="3431" xr:uid="{00000000-0005-0000-0000-0000610D0000}"/>
    <cellStyle name="20% - Accent4 6 4 2 6 2" xfId="3432" xr:uid="{00000000-0005-0000-0000-0000620D0000}"/>
    <cellStyle name="20% - Accent4 6 4 2 7" xfId="3433" xr:uid="{00000000-0005-0000-0000-0000630D0000}"/>
    <cellStyle name="20% - Accent4 6 4 3" xfId="3434" xr:uid="{00000000-0005-0000-0000-0000640D0000}"/>
    <cellStyle name="20% - Accent4 6 4 3 2" xfId="3435" xr:uid="{00000000-0005-0000-0000-0000650D0000}"/>
    <cellStyle name="20% - Accent4 6 4 3 2 2" xfId="3436" xr:uid="{00000000-0005-0000-0000-0000660D0000}"/>
    <cellStyle name="20% - Accent4 6 4 3 3" xfId="3437" xr:uid="{00000000-0005-0000-0000-0000670D0000}"/>
    <cellStyle name="20% - Accent4 6 4 3 3 2" xfId="3438" xr:uid="{00000000-0005-0000-0000-0000680D0000}"/>
    <cellStyle name="20% - Accent4 6 4 3 4" xfId="3439" xr:uid="{00000000-0005-0000-0000-0000690D0000}"/>
    <cellStyle name="20% - Accent4 6 4 3 4 2" xfId="3440" xr:uid="{00000000-0005-0000-0000-00006A0D0000}"/>
    <cellStyle name="20% - Accent4 6 4 3 5" xfId="3441" xr:uid="{00000000-0005-0000-0000-00006B0D0000}"/>
    <cellStyle name="20% - Accent4 6 4 3 5 2" xfId="3442" xr:uid="{00000000-0005-0000-0000-00006C0D0000}"/>
    <cellStyle name="20% - Accent4 6 4 3 6" xfId="3443" xr:uid="{00000000-0005-0000-0000-00006D0D0000}"/>
    <cellStyle name="20% - Accent4 6 4 4" xfId="3444" xr:uid="{00000000-0005-0000-0000-00006E0D0000}"/>
    <cellStyle name="20% - Accent4 6 4 4 2" xfId="3445" xr:uid="{00000000-0005-0000-0000-00006F0D0000}"/>
    <cellStyle name="20% - Accent4 6 4 4 2 2" xfId="3446" xr:uid="{00000000-0005-0000-0000-0000700D0000}"/>
    <cellStyle name="20% - Accent4 6 4 4 3" xfId="3447" xr:uid="{00000000-0005-0000-0000-0000710D0000}"/>
    <cellStyle name="20% - Accent4 6 4 5" xfId="3448" xr:uid="{00000000-0005-0000-0000-0000720D0000}"/>
    <cellStyle name="20% - Accent4 6 4 5 2" xfId="3449" xr:uid="{00000000-0005-0000-0000-0000730D0000}"/>
    <cellStyle name="20% - Accent4 6 4 6" xfId="3450" xr:uid="{00000000-0005-0000-0000-0000740D0000}"/>
    <cellStyle name="20% - Accent4 6 4 6 2" xfId="3451" xr:uid="{00000000-0005-0000-0000-0000750D0000}"/>
    <cellStyle name="20% - Accent4 6 4 7" xfId="3452" xr:uid="{00000000-0005-0000-0000-0000760D0000}"/>
    <cellStyle name="20% - Accent4 6 4 7 2" xfId="3453" xr:uid="{00000000-0005-0000-0000-0000770D0000}"/>
    <cellStyle name="20% - Accent4 6 4 8" xfId="3454" xr:uid="{00000000-0005-0000-0000-0000780D0000}"/>
    <cellStyle name="20% - Accent4 6 5" xfId="3455" xr:uid="{00000000-0005-0000-0000-0000790D0000}"/>
    <cellStyle name="20% - Accent4 6 5 2" xfId="3456" xr:uid="{00000000-0005-0000-0000-00007A0D0000}"/>
    <cellStyle name="20% - Accent4 6 5 2 2" xfId="3457" xr:uid="{00000000-0005-0000-0000-00007B0D0000}"/>
    <cellStyle name="20% - Accent4 6 5 2 2 2" xfId="3458" xr:uid="{00000000-0005-0000-0000-00007C0D0000}"/>
    <cellStyle name="20% - Accent4 6 5 2 3" xfId="3459" xr:uid="{00000000-0005-0000-0000-00007D0D0000}"/>
    <cellStyle name="20% - Accent4 6 5 2 3 2" xfId="3460" xr:uid="{00000000-0005-0000-0000-00007E0D0000}"/>
    <cellStyle name="20% - Accent4 6 5 2 4" xfId="3461" xr:uid="{00000000-0005-0000-0000-00007F0D0000}"/>
    <cellStyle name="20% - Accent4 6 5 3" xfId="3462" xr:uid="{00000000-0005-0000-0000-0000800D0000}"/>
    <cellStyle name="20% - Accent4 6 5 3 2" xfId="3463" xr:uid="{00000000-0005-0000-0000-0000810D0000}"/>
    <cellStyle name="20% - Accent4 6 5 4" xfId="3464" xr:uid="{00000000-0005-0000-0000-0000820D0000}"/>
    <cellStyle name="20% - Accent4 6 5 4 2" xfId="3465" xr:uid="{00000000-0005-0000-0000-0000830D0000}"/>
    <cellStyle name="20% - Accent4 6 5 5" xfId="3466" xr:uid="{00000000-0005-0000-0000-0000840D0000}"/>
    <cellStyle name="20% - Accent4 6 5 5 2" xfId="3467" xr:uid="{00000000-0005-0000-0000-0000850D0000}"/>
    <cellStyle name="20% - Accent4 6 5 6" xfId="3468" xr:uid="{00000000-0005-0000-0000-0000860D0000}"/>
    <cellStyle name="20% - Accent4 6 5 6 2" xfId="3469" xr:uid="{00000000-0005-0000-0000-0000870D0000}"/>
    <cellStyle name="20% - Accent4 6 5 7" xfId="3470" xr:uid="{00000000-0005-0000-0000-0000880D0000}"/>
    <cellStyle name="20% - Accent4 6 6" xfId="3471" xr:uid="{00000000-0005-0000-0000-0000890D0000}"/>
    <cellStyle name="20% - Accent4 6 6 2" xfId="3472" xr:uid="{00000000-0005-0000-0000-00008A0D0000}"/>
    <cellStyle name="20% - Accent4 6 6 2 2" xfId="3473" xr:uid="{00000000-0005-0000-0000-00008B0D0000}"/>
    <cellStyle name="20% - Accent4 6 6 3" xfId="3474" xr:uid="{00000000-0005-0000-0000-00008C0D0000}"/>
    <cellStyle name="20% - Accent4 6 6 3 2" xfId="3475" xr:uid="{00000000-0005-0000-0000-00008D0D0000}"/>
    <cellStyle name="20% - Accent4 6 6 4" xfId="3476" xr:uid="{00000000-0005-0000-0000-00008E0D0000}"/>
    <cellStyle name="20% - Accent4 6 6 4 2" xfId="3477" xr:uid="{00000000-0005-0000-0000-00008F0D0000}"/>
    <cellStyle name="20% - Accent4 6 6 5" xfId="3478" xr:uid="{00000000-0005-0000-0000-0000900D0000}"/>
    <cellStyle name="20% - Accent4 6 6 5 2" xfId="3479" xr:uid="{00000000-0005-0000-0000-0000910D0000}"/>
    <cellStyle name="20% - Accent4 6 6 6" xfId="3480" xr:uid="{00000000-0005-0000-0000-0000920D0000}"/>
    <cellStyle name="20% - Accent4 6 7" xfId="3481" xr:uid="{00000000-0005-0000-0000-0000930D0000}"/>
    <cellStyle name="20% - Accent4 6 7 2" xfId="3482" xr:uid="{00000000-0005-0000-0000-0000940D0000}"/>
    <cellStyle name="20% - Accent4 6 7 2 2" xfId="3483" xr:uid="{00000000-0005-0000-0000-0000950D0000}"/>
    <cellStyle name="20% - Accent4 6 7 3" xfId="3484" xr:uid="{00000000-0005-0000-0000-0000960D0000}"/>
    <cellStyle name="20% - Accent4 6 8" xfId="3485" xr:uid="{00000000-0005-0000-0000-0000970D0000}"/>
    <cellStyle name="20% - Accent4 6 8 2" xfId="3486" xr:uid="{00000000-0005-0000-0000-0000980D0000}"/>
    <cellStyle name="20% - Accent4 6 9" xfId="3487" xr:uid="{00000000-0005-0000-0000-0000990D0000}"/>
    <cellStyle name="20% - Accent4 6 9 2" xfId="3488" xr:uid="{00000000-0005-0000-0000-00009A0D0000}"/>
    <cellStyle name="20% - Accent4 7" xfId="3489" xr:uid="{00000000-0005-0000-0000-00009B0D0000}"/>
    <cellStyle name="20% - Accent4 7 2" xfId="3490" xr:uid="{00000000-0005-0000-0000-00009C0D0000}"/>
    <cellStyle name="20% - Accent4 8" xfId="3491" xr:uid="{00000000-0005-0000-0000-00009D0D0000}"/>
    <cellStyle name="20% - Accent4 8 2" xfId="3492" xr:uid="{00000000-0005-0000-0000-00009E0D0000}"/>
    <cellStyle name="20% - Accent4 8 2 2" xfId="3493" xr:uid="{00000000-0005-0000-0000-00009F0D0000}"/>
    <cellStyle name="20% - Accent4 8 2 2 2" xfId="3494" xr:uid="{00000000-0005-0000-0000-0000A00D0000}"/>
    <cellStyle name="20% - Accent4 8 2 2 2 2" xfId="3495" xr:uid="{00000000-0005-0000-0000-0000A10D0000}"/>
    <cellStyle name="20% - Accent4 8 2 2 2 2 2" xfId="3496" xr:uid="{00000000-0005-0000-0000-0000A20D0000}"/>
    <cellStyle name="20% - Accent4 8 2 2 2 3" xfId="3497" xr:uid="{00000000-0005-0000-0000-0000A30D0000}"/>
    <cellStyle name="20% - Accent4 8 2 2 2 3 2" xfId="3498" xr:uid="{00000000-0005-0000-0000-0000A40D0000}"/>
    <cellStyle name="20% - Accent4 8 2 2 2 4" xfId="3499" xr:uid="{00000000-0005-0000-0000-0000A50D0000}"/>
    <cellStyle name="20% - Accent4 8 2 2 3" xfId="3500" xr:uid="{00000000-0005-0000-0000-0000A60D0000}"/>
    <cellStyle name="20% - Accent4 8 2 2 3 2" xfId="3501" xr:uid="{00000000-0005-0000-0000-0000A70D0000}"/>
    <cellStyle name="20% - Accent4 8 2 2 4" xfId="3502" xr:uid="{00000000-0005-0000-0000-0000A80D0000}"/>
    <cellStyle name="20% - Accent4 8 2 2 4 2" xfId="3503" xr:uid="{00000000-0005-0000-0000-0000A90D0000}"/>
    <cellStyle name="20% - Accent4 8 2 2 5" xfId="3504" xr:uid="{00000000-0005-0000-0000-0000AA0D0000}"/>
    <cellStyle name="20% - Accent4 8 2 2 5 2" xfId="3505" xr:uid="{00000000-0005-0000-0000-0000AB0D0000}"/>
    <cellStyle name="20% - Accent4 8 2 2 6" xfId="3506" xr:uid="{00000000-0005-0000-0000-0000AC0D0000}"/>
    <cellStyle name="20% - Accent4 8 2 2 6 2" xfId="3507" xr:uid="{00000000-0005-0000-0000-0000AD0D0000}"/>
    <cellStyle name="20% - Accent4 8 2 2 7" xfId="3508" xr:uid="{00000000-0005-0000-0000-0000AE0D0000}"/>
    <cellStyle name="20% - Accent4 8 2 3" xfId="3509" xr:uid="{00000000-0005-0000-0000-0000AF0D0000}"/>
    <cellStyle name="20% - Accent4 8 2 3 2" xfId="3510" xr:uid="{00000000-0005-0000-0000-0000B00D0000}"/>
    <cellStyle name="20% - Accent4 8 2 3 2 2" xfId="3511" xr:uid="{00000000-0005-0000-0000-0000B10D0000}"/>
    <cellStyle name="20% - Accent4 8 2 3 3" xfId="3512" xr:uid="{00000000-0005-0000-0000-0000B20D0000}"/>
    <cellStyle name="20% - Accent4 8 2 3 3 2" xfId="3513" xr:uid="{00000000-0005-0000-0000-0000B30D0000}"/>
    <cellStyle name="20% - Accent4 8 2 3 4" xfId="3514" xr:uid="{00000000-0005-0000-0000-0000B40D0000}"/>
    <cellStyle name="20% - Accent4 8 2 3 4 2" xfId="3515" xr:uid="{00000000-0005-0000-0000-0000B50D0000}"/>
    <cellStyle name="20% - Accent4 8 2 3 5" xfId="3516" xr:uid="{00000000-0005-0000-0000-0000B60D0000}"/>
    <cellStyle name="20% - Accent4 8 2 3 5 2" xfId="3517" xr:uid="{00000000-0005-0000-0000-0000B70D0000}"/>
    <cellStyle name="20% - Accent4 8 2 3 6" xfId="3518" xr:uid="{00000000-0005-0000-0000-0000B80D0000}"/>
    <cellStyle name="20% - Accent4 8 2 4" xfId="3519" xr:uid="{00000000-0005-0000-0000-0000B90D0000}"/>
    <cellStyle name="20% - Accent4 8 2 4 2" xfId="3520" xr:uid="{00000000-0005-0000-0000-0000BA0D0000}"/>
    <cellStyle name="20% - Accent4 8 2 4 2 2" xfId="3521" xr:uid="{00000000-0005-0000-0000-0000BB0D0000}"/>
    <cellStyle name="20% - Accent4 8 2 4 3" xfId="3522" xr:uid="{00000000-0005-0000-0000-0000BC0D0000}"/>
    <cellStyle name="20% - Accent4 8 2 5" xfId="3523" xr:uid="{00000000-0005-0000-0000-0000BD0D0000}"/>
    <cellStyle name="20% - Accent4 8 2 5 2" xfId="3524" xr:uid="{00000000-0005-0000-0000-0000BE0D0000}"/>
    <cellStyle name="20% - Accent4 8 2 6" xfId="3525" xr:uid="{00000000-0005-0000-0000-0000BF0D0000}"/>
    <cellStyle name="20% - Accent4 8 2 6 2" xfId="3526" xr:uid="{00000000-0005-0000-0000-0000C00D0000}"/>
    <cellStyle name="20% - Accent4 8 2 7" xfId="3527" xr:uid="{00000000-0005-0000-0000-0000C10D0000}"/>
    <cellStyle name="20% - Accent4 8 2 7 2" xfId="3528" xr:uid="{00000000-0005-0000-0000-0000C20D0000}"/>
    <cellStyle name="20% - Accent4 8 2 8" xfId="3529" xr:uid="{00000000-0005-0000-0000-0000C30D0000}"/>
    <cellStyle name="20% - Accent4 8 3" xfId="3530" xr:uid="{00000000-0005-0000-0000-0000C40D0000}"/>
    <cellStyle name="20% - Accent4 8 3 2" xfId="3531" xr:uid="{00000000-0005-0000-0000-0000C50D0000}"/>
    <cellStyle name="20% - Accent4 8 3 2 2" xfId="3532" xr:uid="{00000000-0005-0000-0000-0000C60D0000}"/>
    <cellStyle name="20% - Accent4 8 3 2 2 2" xfId="3533" xr:uid="{00000000-0005-0000-0000-0000C70D0000}"/>
    <cellStyle name="20% - Accent4 8 3 2 3" xfId="3534" xr:uid="{00000000-0005-0000-0000-0000C80D0000}"/>
    <cellStyle name="20% - Accent4 8 3 2 3 2" xfId="3535" xr:uid="{00000000-0005-0000-0000-0000C90D0000}"/>
    <cellStyle name="20% - Accent4 8 3 2 4" xfId="3536" xr:uid="{00000000-0005-0000-0000-0000CA0D0000}"/>
    <cellStyle name="20% - Accent4 8 3 3" xfId="3537" xr:uid="{00000000-0005-0000-0000-0000CB0D0000}"/>
    <cellStyle name="20% - Accent4 8 3 3 2" xfId="3538" xr:uid="{00000000-0005-0000-0000-0000CC0D0000}"/>
    <cellStyle name="20% - Accent4 8 3 4" xfId="3539" xr:uid="{00000000-0005-0000-0000-0000CD0D0000}"/>
    <cellStyle name="20% - Accent4 8 3 4 2" xfId="3540" xr:uid="{00000000-0005-0000-0000-0000CE0D0000}"/>
    <cellStyle name="20% - Accent4 8 3 5" xfId="3541" xr:uid="{00000000-0005-0000-0000-0000CF0D0000}"/>
    <cellStyle name="20% - Accent4 8 3 5 2" xfId="3542" xr:uid="{00000000-0005-0000-0000-0000D00D0000}"/>
    <cellStyle name="20% - Accent4 8 3 6" xfId="3543" xr:uid="{00000000-0005-0000-0000-0000D10D0000}"/>
    <cellStyle name="20% - Accent4 8 3 6 2" xfId="3544" xr:uid="{00000000-0005-0000-0000-0000D20D0000}"/>
    <cellStyle name="20% - Accent4 8 3 7" xfId="3545" xr:uid="{00000000-0005-0000-0000-0000D30D0000}"/>
    <cellStyle name="20% - Accent4 8 4" xfId="3546" xr:uid="{00000000-0005-0000-0000-0000D40D0000}"/>
    <cellStyle name="20% - Accent4 8 4 2" xfId="3547" xr:uid="{00000000-0005-0000-0000-0000D50D0000}"/>
    <cellStyle name="20% - Accent4 8 4 2 2" xfId="3548" xr:uid="{00000000-0005-0000-0000-0000D60D0000}"/>
    <cellStyle name="20% - Accent4 8 4 3" xfId="3549" xr:uid="{00000000-0005-0000-0000-0000D70D0000}"/>
    <cellStyle name="20% - Accent4 8 4 3 2" xfId="3550" xr:uid="{00000000-0005-0000-0000-0000D80D0000}"/>
    <cellStyle name="20% - Accent4 8 4 4" xfId="3551" xr:uid="{00000000-0005-0000-0000-0000D90D0000}"/>
    <cellStyle name="20% - Accent4 8 4 4 2" xfId="3552" xr:uid="{00000000-0005-0000-0000-0000DA0D0000}"/>
    <cellStyle name="20% - Accent4 8 4 5" xfId="3553" xr:uid="{00000000-0005-0000-0000-0000DB0D0000}"/>
    <cellStyle name="20% - Accent4 8 4 5 2" xfId="3554" xr:uid="{00000000-0005-0000-0000-0000DC0D0000}"/>
    <cellStyle name="20% - Accent4 8 4 6" xfId="3555" xr:uid="{00000000-0005-0000-0000-0000DD0D0000}"/>
    <cellStyle name="20% - Accent4 8 5" xfId="3556" xr:uid="{00000000-0005-0000-0000-0000DE0D0000}"/>
    <cellStyle name="20% - Accent4 8 5 2" xfId="3557" xr:uid="{00000000-0005-0000-0000-0000DF0D0000}"/>
    <cellStyle name="20% - Accent4 8 5 2 2" xfId="3558" xr:uid="{00000000-0005-0000-0000-0000E00D0000}"/>
    <cellStyle name="20% - Accent4 8 5 3" xfId="3559" xr:uid="{00000000-0005-0000-0000-0000E10D0000}"/>
    <cellStyle name="20% - Accent4 8 6" xfId="3560" xr:uid="{00000000-0005-0000-0000-0000E20D0000}"/>
    <cellStyle name="20% - Accent4 8 6 2" xfId="3561" xr:uid="{00000000-0005-0000-0000-0000E30D0000}"/>
    <cellStyle name="20% - Accent4 8 7" xfId="3562" xr:uid="{00000000-0005-0000-0000-0000E40D0000}"/>
    <cellStyle name="20% - Accent4 8 7 2" xfId="3563" xr:uid="{00000000-0005-0000-0000-0000E50D0000}"/>
    <cellStyle name="20% - Accent4 8 8" xfId="3564" xr:uid="{00000000-0005-0000-0000-0000E60D0000}"/>
    <cellStyle name="20% - Accent4 8 8 2" xfId="3565" xr:uid="{00000000-0005-0000-0000-0000E70D0000}"/>
    <cellStyle name="20% - Accent4 8 9" xfId="3566" xr:uid="{00000000-0005-0000-0000-0000E80D0000}"/>
    <cellStyle name="20% - Accent4 9" xfId="3567" xr:uid="{00000000-0005-0000-0000-0000E90D0000}"/>
    <cellStyle name="20% - Accent4 9 2" xfId="3568" xr:uid="{00000000-0005-0000-0000-0000EA0D0000}"/>
    <cellStyle name="20% - Accent4 9 2 2" xfId="3569" xr:uid="{00000000-0005-0000-0000-0000EB0D0000}"/>
    <cellStyle name="20% - Accent4 9 2 2 2" xfId="3570" xr:uid="{00000000-0005-0000-0000-0000EC0D0000}"/>
    <cellStyle name="20% - Accent4 9 2 2 2 2" xfId="3571" xr:uid="{00000000-0005-0000-0000-0000ED0D0000}"/>
    <cellStyle name="20% - Accent4 9 2 2 3" xfId="3572" xr:uid="{00000000-0005-0000-0000-0000EE0D0000}"/>
    <cellStyle name="20% - Accent4 9 2 3" xfId="3573" xr:uid="{00000000-0005-0000-0000-0000EF0D0000}"/>
    <cellStyle name="20% - Accent4 9 2 3 2" xfId="3574" xr:uid="{00000000-0005-0000-0000-0000F00D0000}"/>
    <cellStyle name="20% - Accent4 9 2 4" xfId="3575" xr:uid="{00000000-0005-0000-0000-0000F10D0000}"/>
    <cellStyle name="20% - Accent4 9 3" xfId="3576" xr:uid="{00000000-0005-0000-0000-0000F20D0000}"/>
    <cellStyle name="20% - Accent4 9 3 2" xfId="3577" xr:uid="{00000000-0005-0000-0000-0000F30D0000}"/>
    <cellStyle name="20% - Accent4 9 3 2 2" xfId="3578" xr:uid="{00000000-0005-0000-0000-0000F40D0000}"/>
    <cellStyle name="20% - Accent4 9 3 3" xfId="3579" xr:uid="{00000000-0005-0000-0000-0000F50D0000}"/>
    <cellStyle name="20% - Accent4 9 4" xfId="3580" xr:uid="{00000000-0005-0000-0000-0000F60D0000}"/>
    <cellStyle name="20% - Accent4 9 4 2" xfId="3581" xr:uid="{00000000-0005-0000-0000-0000F70D0000}"/>
    <cellStyle name="20% - Accent4 9 5" xfId="3582" xr:uid="{00000000-0005-0000-0000-0000F80D0000}"/>
    <cellStyle name="20% - Accent4 9 5 2" xfId="3583" xr:uid="{00000000-0005-0000-0000-0000F90D0000}"/>
    <cellStyle name="20% - Accent4 9 6" xfId="3584" xr:uid="{00000000-0005-0000-0000-0000FA0D0000}"/>
    <cellStyle name="20% - Accent4 9 6 2" xfId="3585" xr:uid="{00000000-0005-0000-0000-0000FB0D0000}"/>
    <cellStyle name="20% - Accent4 9 7" xfId="3586" xr:uid="{00000000-0005-0000-0000-0000FC0D0000}"/>
    <cellStyle name="20% - Accent5 10" xfId="3587" xr:uid="{00000000-0005-0000-0000-0000FD0D0000}"/>
    <cellStyle name="20% - Accent5 10 2" xfId="3588" xr:uid="{00000000-0005-0000-0000-0000FE0D0000}"/>
    <cellStyle name="20% - Accent5 10 2 2" xfId="3589" xr:uid="{00000000-0005-0000-0000-0000FF0D0000}"/>
    <cellStyle name="20% - Accent5 10 2 2 2" xfId="3590" xr:uid="{00000000-0005-0000-0000-0000000E0000}"/>
    <cellStyle name="20% - Accent5 10 2 2 2 2" xfId="3591" xr:uid="{00000000-0005-0000-0000-0000010E0000}"/>
    <cellStyle name="20% - Accent5 10 2 2 3" xfId="3592" xr:uid="{00000000-0005-0000-0000-0000020E0000}"/>
    <cellStyle name="20% - Accent5 10 2 3" xfId="3593" xr:uid="{00000000-0005-0000-0000-0000030E0000}"/>
    <cellStyle name="20% - Accent5 10 2 3 2" xfId="3594" xr:uid="{00000000-0005-0000-0000-0000040E0000}"/>
    <cellStyle name="20% - Accent5 10 2 4" xfId="3595" xr:uid="{00000000-0005-0000-0000-0000050E0000}"/>
    <cellStyle name="20% - Accent5 10 3" xfId="3596" xr:uid="{00000000-0005-0000-0000-0000060E0000}"/>
    <cellStyle name="20% - Accent5 10 3 2" xfId="3597" xr:uid="{00000000-0005-0000-0000-0000070E0000}"/>
    <cellStyle name="20% - Accent5 10 3 2 2" xfId="3598" xr:uid="{00000000-0005-0000-0000-0000080E0000}"/>
    <cellStyle name="20% - Accent5 10 3 3" xfId="3599" xr:uid="{00000000-0005-0000-0000-0000090E0000}"/>
    <cellStyle name="20% - Accent5 10 4" xfId="3600" xr:uid="{00000000-0005-0000-0000-00000A0E0000}"/>
    <cellStyle name="20% - Accent5 10 4 2" xfId="3601" xr:uid="{00000000-0005-0000-0000-00000B0E0000}"/>
    <cellStyle name="20% - Accent5 10 5" xfId="3602" xr:uid="{00000000-0005-0000-0000-00000C0E0000}"/>
    <cellStyle name="20% - Accent5 11" xfId="3603" xr:uid="{00000000-0005-0000-0000-00000D0E0000}"/>
    <cellStyle name="20% - Accent5 11 2" xfId="3604" xr:uid="{00000000-0005-0000-0000-00000E0E0000}"/>
    <cellStyle name="20% - Accent5 11 2 2" xfId="3605" xr:uid="{00000000-0005-0000-0000-00000F0E0000}"/>
    <cellStyle name="20% - Accent5 11 2 2 2" xfId="3606" xr:uid="{00000000-0005-0000-0000-0000100E0000}"/>
    <cellStyle name="20% - Accent5 11 2 2 2 2" xfId="3607" xr:uid="{00000000-0005-0000-0000-0000110E0000}"/>
    <cellStyle name="20% - Accent5 11 2 2 3" xfId="3608" xr:uid="{00000000-0005-0000-0000-0000120E0000}"/>
    <cellStyle name="20% - Accent5 11 2 3" xfId="3609" xr:uid="{00000000-0005-0000-0000-0000130E0000}"/>
    <cellStyle name="20% - Accent5 11 2 3 2" xfId="3610" xr:uid="{00000000-0005-0000-0000-0000140E0000}"/>
    <cellStyle name="20% - Accent5 11 2 4" xfId="3611" xr:uid="{00000000-0005-0000-0000-0000150E0000}"/>
    <cellStyle name="20% - Accent5 11 3" xfId="3612" xr:uid="{00000000-0005-0000-0000-0000160E0000}"/>
    <cellStyle name="20% - Accent5 11 3 2" xfId="3613" xr:uid="{00000000-0005-0000-0000-0000170E0000}"/>
    <cellStyle name="20% - Accent5 11 3 2 2" xfId="3614" xr:uid="{00000000-0005-0000-0000-0000180E0000}"/>
    <cellStyle name="20% - Accent5 11 3 3" xfId="3615" xr:uid="{00000000-0005-0000-0000-0000190E0000}"/>
    <cellStyle name="20% - Accent5 11 4" xfId="3616" xr:uid="{00000000-0005-0000-0000-00001A0E0000}"/>
    <cellStyle name="20% - Accent5 11 4 2" xfId="3617" xr:uid="{00000000-0005-0000-0000-00001B0E0000}"/>
    <cellStyle name="20% - Accent5 11 5" xfId="3618" xr:uid="{00000000-0005-0000-0000-00001C0E0000}"/>
    <cellStyle name="20% - Accent5 12" xfId="3619" xr:uid="{00000000-0005-0000-0000-00001D0E0000}"/>
    <cellStyle name="20% - Accent5 12 2" xfId="3620" xr:uid="{00000000-0005-0000-0000-00001E0E0000}"/>
    <cellStyle name="20% - Accent5 13" xfId="3621" xr:uid="{00000000-0005-0000-0000-00001F0E0000}"/>
    <cellStyle name="20% - Accent5 13 2" xfId="3622" xr:uid="{00000000-0005-0000-0000-0000200E0000}"/>
    <cellStyle name="20% - Accent5 13 2 2" xfId="3623" xr:uid="{00000000-0005-0000-0000-0000210E0000}"/>
    <cellStyle name="20% - Accent5 13 2 2 2" xfId="3624" xr:uid="{00000000-0005-0000-0000-0000220E0000}"/>
    <cellStyle name="20% - Accent5 13 2 3" xfId="3625" xr:uid="{00000000-0005-0000-0000-0000230E0000}"/>
    <cellStyle name="20% - Accent5 13 3" xfId="3626" xr:uid="{00000000-0005-0000-0000-0000240E0000}"/>
    <cellStyle name="20% - Accent5 13 3 2" xfId="3627" xr:uid="{00000000-0005-0000-0000-0000250E0000}"/>
    <cellStyle name="20% - Accent5 13 4" xfId="3628" xr:uid="{00000000-0005-0000-0000-0000260E0000}"/>
    <cellStyle name="20% - Accent5 14" xfId="3629" xr:uid="{00000000-0005-0000-0000-0000270E0000}"/>
    <cellStyle name="20% - Accent5 14 2" xfId="3630" xr:uid="{00000000-0005-0000-0000-0000280E0000}"/>
    <cellStyle name="20% - Accent5 2" xfId="3631" xr:uid="{00000000-0005-0000-0000-0000290E0000}"/>
    <cellStyle name="20% - Accent5 2 2" xfId="3632" xr:uid="{00000000-0005-0000-0000-00002A0E0000}"/>
    <cellStyle name="20% - Accent5 2 2 2" xfId="3633" xr:uid="{00000000-0005-0000-0000-00002B0E0000}"/>
    <cellStyle name="20% - Accent5 2 2 3" xfId="3634" xr:uid="{00000000-0005-0000-0000-00002C0E0000}"/>
    <cellStyle name="20% - Accent5 2 3" xfId="3635" xr:uid="{00000000-0005-0000-0000-00002D0E0000}"/>
    <cellStyle name="20% - Accent5 2 3 2" xfId="3636" xr:uid="{00000000-0005-0000-0000-00002E0E0000}"/>
    <cellStyle name="20% - Accent5 2 4" xfId="3637" xr:uid="{00000000-0005-0000-0000-00002F0E0000}"/>
    <cellStyle name="20% - Accent5 2 4 2" xfId="3638" xr:uid="{00000000-0005-0000-0000-0000300E0000}"/>
    <cellStyle name="20% - Accent5 2 4 3" xfId="3639" xr:uid="{00000000-0005-0000-0000-0000310E0000}"/>
    <cellStyle name="20% - Accent5 3" xfId="3640" xr:uid="{00000000-0005-0000-0000-0000320E0000}"/>
    <cellStyle name="20% - Accent5 3 2" xfId="3641" xr:uid="{00000000-0005-0000-0000-0000330E0000}"/>
    <cellStyle name="20% - Accent5 3 2 2" xfId="3642" xr:uid="{00000000-0005-0000-0000-0000340E0000}"/>
    <cellStyle name="20% - Accent5 3 2 2 2" xfId="3643" xr:uid="{00000000-0005-0000-0000-0000350E0000}"/>
    <cellStyle name="20% - Accent5 3 2 2 2 2" xfId="3644" xr:uid="{00000000-0005-0000-0000-0000360E0000}"/>
    <cellStyle name="20% - Accent5 3 2 2 3" xfId="3645" xr:uid="{00000000-0005-0000-0000-0000370E0000}"/>
    <cellStyle name="20% - Accent5 3 2 2 3 2" xfId="3646" xr:uid="{00000000-0005-0000-0000-0000380E0000}"/>
    <cellStyle name="20% - Accent5 3 2 2 4" xfId="3647" xr:uid="{00000000-0005-0000-0000-0000390E0000}"/>
    <cellStyle name="20% - Accent5 3 2 3" xfId="3648" xr:uid="{00000000-0005-0000-0000-00003A0E0000}"/>
    <cellStyle name="20% - Accent5 3 2 3 2" xfId="3649" xr:uid="{00000000-0005-0000-0000-00003B0E0000}"/>
    <cellStyle name="20% - Accent5 3 2 4" xfId="3650" xr:uid="{00000000-0005-0000-0000-00003C0E0000}"/>
    <cellStyle name="20% - Accent5 3 2 4 2" xfId="3651" xr:uid="{00000000-0005-0000-0000-00003D0E0000}"/>
    <cellStyle name="20% - Accent5 3 2 5" xfId="3652" xr:uid="{00000000-0005-0000-0000-00003E0E0000}"/>
    <cellStyle name="20% - Accent5 3 3" xfId="3653" xr:uid="{00000000-0005-0000-0000-00003F0E0000}"/>
    <cellStyle name="20% - Accent5 3 3 2" xfId="3654" xr:uid="{00000000-0005-0000-0000-0000400E0000}"/>
    <cellStyle name="20% - Accent5 3 3 2 2" xfId="3655" xr:uid="{00000000-0005-0000-0000-0000410E0000}"/>
    <cellStyle name="20% - Accent5 3 3 3" xfId="3656" xr:uid="{00000000-0005-0000-0000-0000420E0000}"/>
    <cellStyle name="20% - Accent5 3 3 3 2" xfId="3657" xr:uid="{00000000-0005-0000-0000-0000430E0000}"/>
    <cellStyle name="20% - Accent5 3 3 4" xfId="3658" xr:uid="{00000000-0005-0000-0000-0000440E0000}"/>
    <cellStyle name="20% - Accent5 3 3 4 2" xfId="3659" xr:uid="{00000000-0005-0000-0000-0000450E0000}"/>
    <cellStyle name="20% - Accent5 3 3 5" xfId="3660" xr:uid="{00000000-0005-0000-0000-0000460E0000}"/>
    <cellStyle name="20% - Accent5 3 4" xfId="3661" xr:uid="{00000000-0005-0000-0000-0000470E0000}"/>
    <cellStyle name="20% - Accent5 3 4 2" xfId="3662" xr:uid="{00000000-0005-0000-0000-0000480E0000}"/>
    <cellStyle name="20% - Accent5 3 4 2 2" xfId="3663" xr:uid="{00000000-0005-0000-0000-0000490E0000}"/>
    <cellStyle name="20% - Accent5 3 4 3" xfId="3664" xr:uid="{00000000-0005-0000-0000-00004A0E0000}"/>
    <cellStyle name="20% - Accent5 3 4 3 2" xfId="3665" xr:uid="{00000000-0005-0000-0000-00004B0E0000}"/>
    <cellStyle name="20% - Accent5 3 4 4" xfId="3666" xr:uid="{00000000-0005-0000-0000-00004C0E0000}"/>
    <cellStyle name="20% - Accent5 3 5" xfId="3667" xr:uid="{00000000-0005-0000-0000-00004D0E0000}"/>
    <cellStyle name="20% - Accent5 3 5 2" xfId="3668" xr:uid="{00000000-0005-0000-0000-00004E0E0000}"/>
    <cellStyle name="20% - Accent5 3 6" xfId="3669" xr:uid="{00000000-0005-0000-0000-00004F0E0000}"/>
    <cellStyle name="20% - Accent5 3 6 2" xfId="3670" xr:uid="{00000000-0005-0000-0000-0000500E0000}"/>
    <cellStyle name="20% - Accent5 3 7" xfId="3671" xr:uid="{00000000-0005-0000-0000-0000510E0000}"/>
    <cellStyle name="20% - Accent5 3 7 2" xfId="3672" xr:uid="{00000000-0005-0000-0000-0000520E0000}"/>
    <cellStyle name="20% - Accent5 3 8" xfId="3673" xr:uid="{00000000-0005-0000-0000-0000530E0000}"/>
    <cellStyle name="20% - Accent5 4" xfId="3674" xr:uid="{00000000-0005-0000-0000-0000540E0000}"/>
    <cellStyle name="20% - Accent5 4 10" xfId="3675" xr:uid="{00000000-0005-0000-0000-0000550E0000}"/>
    <cellStyle name="20% - Accent5 4 10 2" xfId="3676" xr:uid="{00000000-0005-0000-0000-0000560E0000}"/>
    <cellStyle name="20% - Accent5 4 11" xfId="3677" xr:uid="{00000000-0005-0000-0000-0000570E0000}"/>
    <cellStyle name="20% - Accent5 4 11 2" xfId="3678" xr:uid="{00000000-0005-0000-0000-0000580E0000}"/>
    <cellStyle name="20% - Accent5 4 12" xfId="3679" xr:uid="{00000000-0005-0000-0000-0000590E0000}"/>
    <cellStyle name="20% - Accent5 4 12 2" xfId="3680" xr:uid="{00000000-0005-0000-0000-00005A0E0000}"/>
    <cellStyle name="20% - Accent5 4 13" xfId="3681" xr:uid="{00000000-0005-0000-0000-00005B0E0000}"/>
    <cellStyle name="20% - Accent5 4 2" xfId="3682" xr:uid="{00000000-0005-0000-0000-00005C0E0000}"/>
    <cellStyle name="20% - Accent5 4 2 10" xfId="3683" xr:uid="{00000000-0005-0000-0000-00005D0E0000}"/>
    <cellStyle name="20% - Accent5 4 2 10 2" xfId="3684" xr:uid="{00000000-0005-0000-0000-00005E0E0000}"/>
    <cellStyle name="20% - Accent5 4 2 11" xfId="3685" xr:uid="{00000000-0005-0000-0000-00005F0E0000}"/>
    <cellStyle name="20% - Accent5 4 2 2" xfId="3686" xr:uid="{00000000-0005-0000-0000-0000600E0000}"/>
    <cellStyle name="20% - Accent5 4 2 2 10" xfId="3687" xr:uid="{00000000-0005-0000-0000-0000610E0000}"/>
    <cellStyle name="20% - Accent5 4 2 2 2" xfId="3688" xr:uid="{00000000-0005-0000-0000-0000620E0000}"/>
    <cellStyle name="20% - Accent5 4 2 2 2 2" xfId="3689" xr:uid="{00000000-0005-0000-0000-0000630E0000}"/>
    <cellStyle name="20% - Accent5 4 2 2 2 2 2" xfId="3690" xr:uid="{00000000-0005-0000-0000-0000640E0000}"/>
    <cellStyle name="20% - Accent5 4 2 2 2 2 2 2" xfId="3691" xr:uid="{00000000-0005-0000-0000-0000650E0000}"/>
    <cellStyle name="20% - Accent5 4 2 2 2 2 2 2 2" xfId="3692" xr:uid="{00000000-0005-0000-0000-0000660E0000}"/>
    <cellStyle name="20% - Accent5 4 2 2 2 2 2 3" xfId="3693" xr:uid="{00000000-0005-0000-0000-0000670E0000}"/>
    <cellStyle name="20% - Accent5 4 2 2 2 2 2 3 2" xfId="3694" xr:uid="{00000000-0005-0000-0000-0000680E0000}"/>
    <cellStyle name="20% - Accent5 4 2 2 2 2 2 4" xfId="3695" xr:uid="{00000000-0005-0000-0000-0000690E0000}"/>
    <cellStyle name="20% - Accent5 4 2 2 2 2 3" xfId="3696" xr:uid="{00000000-0005-0000-0000-00006A0E0000}"/>
    <cellStyle name="20% - Accent5 4 2 2 2 2 3 2" xfId="3697" xr:uid="{00000000-0005-0000-0000-00006B0E0000}"/>
    <cellStyle name="20% - Accent5 4 2 2 2 2 4" xfId="3698" xr:uid="{00000000-0005-0000-0000-00006C0E0000}"/>
    <cellStyle name="20% - Accent5 4 2 2 2 2 4 2" xfId="3699" xr:uid="{00000000-0005-0000-0000-00006D0E0000}"/>
    <cellStyle name="20% - Accent5 4 2 2 2 2 5" xfId="3700" xr:uid="{00000000-0005-0000-0000-00006E0E0000}"/>
    <cellStyle name="20% - Accent5 4 2 2 2 2 5 2" xfId="3701" xr:uid="{00000000-0005-0000-0000-00006F0E0000}"/>
    <cellStyle name="20% - Accent5 4 2 2 2 2 6" xfId="3702" xr:uid="{00000000-0005-0000-0000-0000700E0000}"/>
    <cellStyle name="20% - Accent5 4 2 2 2 2 6 2" xfId="3703" xr:uid="{00000000-0005-0000-0000-0000710E0000}"/>
    <cellStyle name="20% - Accent5 4 2 2 2 2 7" xfId="3704" xr:uid="{00000000-0005-0000-0000-0000720E0000}"/>
    <cellStyle name="20% - Accent5 4 2 2 2 3" xfId="3705" xr:uid="{00000000-0005-0000-0000-0000730E0000}"/>
    <cellStyle name="20% - Accent5 4 2 2 2 3 2" xfId="3706" xr:uid="{00000000-0005-0000-0000-0000740E0000}"/>
    <cellStyle name="20% - Accent5 4 2 2 2 3 2 2" xfId="3707" xr:uid="{00000000-0005-0000-0000-0000750E0000}"/>
    <cellStyle name="20% - Accent5 4 2 2 2 3 3" xfId="3708" xr:uid="{00000000-0005-0000-0000-0000760E0000}"/>
    <cellStyle name="20% - Accent5 4 2 2 2 3 3 2" xfId="3709" xr:uid="{00000000-0005-0000-0000-0000770E0000}"/>
    <cellStyle name="20% - Accent5 4 2 2 2 3 4" xfId="3710" xr:uid="{00000000-0005-0000-0000-0000780E0000}"/>
    <cellStyle name="20% - Accent5 4 2 2 2 3 4 2" xfId="3711" xr:uid="{00000000-0005-0000-0000-0000790E0000}"/>
    <cellStyle name="20% - Accent5 4 2 2 2 3 5" xfId="3712" xr:uid="{00000000-0005-0000-0000-00007A0E0000}"/>
    <cellStyle name="20% - Accent5 4 2 2 2 3 5 2" xfId="3713" xr:uid="{00000000-0005-0000-0000-00007B0E0000}"/>
    <cellStyle name="20% - Accent5 4 2 2 2 3 6" xfId="3714" xr:uid="{00000000-0005-0000-0000-00007C0E0000}"/>
    <cellStyle name="20% - Accent5 4 2 2 2 4" xfId="3715" xr:uid="{00000000-0005-0000-0000-00007D0E0000}"/>
    <cellStyle name="20% - Accent5 4 2 2 2 4 2" xfId="3716" xr:uid="{00000000-0005-0000-0000-00007E0E0000}"/>
    <cellStyle name="20% - Accent5 4 2 2 2 4 2 2" xfId="3717" xr:uid="{00000000-0005-0000-0000-00007F0E0000}"/>
    <cellStyle name="20% - Accent5 4 2 2 2 4 3" xfId="3718" xr:uid="{00000000-0005-0000-0000-0000800E0000}"/>
    <cellStyle name="20% - Accent5 4 2 2 2 5" xfId="3719" xr:uid="{00000000-0005-0000-0000-0000810E0000}"/>
    <cellStyle name="20% - Accent5 4 2 2 2 5 2" xfId="3720" xr:uid="{00000000-0005-0000-0000-0000820E0000}"/>
    <cellStyle name="20% - Accent5 4 2 2 2 6" xfId="3721" xr:uid="{00000000-0005-0000-0000-0000830E0000}"/>
    <cellStyle name="20% - Accent5 4 2 2 2 6 2" xfId="3722" xr:uid="{00000000-0005-0000-0000-0000840E0000}"/>
    <cellStyle name="20% - Accent5 4 2 2 2 7" xfId="3723" xr:uid="{00000000-0005-0000-0000-0000850E0000}"/>
    <cellStyle name="20% - Accent5 4 2 2 2 7 2" xfId="3724" xr:uid="{00000000-0005-0000-0000-0000860E0000}"/>
    <cellStyle name="20% - Accent5 4 2 2 2 8" xfId="3725" xr:uid="{00000000-0005-0000-0000-0000870E0000}"/>
    <cellStyle name="20% - Accent5 4 2 2 3" xfId="3726" xr:uid="{00000000-0005-0000-0000-0000880E0000}"/>
    <cellStyle name="20% - Accent5 4 2 2 3 2" xfId="3727" xr:uid="{00000000-0005-0000-0000-0000890E0000}"/>
    <cellStyle name="20% - Accent5 4 2 2 3 2 2" xfId="3728" xr:uid="{00000000-0005-0000-0000-00008A0E0000}"/>
    <cellStyle name="20% - Accent5 4 2 2 3 2 2 2" xfId="3729" xr:uid="{00000000-0005-0000-0000-00008B0E0000}"/>
    <cellStyle name="20% - Accent5 4 2 2 3 2 2 2 2" xfId="3730" xr:uid="{00000000-0005-0000-0000-00008C0E0000}"/>
    <cellStyle name="20% - Accent5 4 2 2 3 2 2 3" xfId="3731" xr:uid="{00000000-0005-0000-0000-00008D0E0000}"/>
    <cellStyle name="20% - Accent5 4 2 2 3 2 2 3 2" xfId="3732" xr:uid="{00000000-0005-0000-0000-00008E0E0000}"/>
    <cellStyle name="20% - Accent5 4 2 2 3 2 2 4" xfId="3733" xr:uid="{00000000-0005-0000-0000-00008F0E0000}"/>
    <cellStyle name="20% - Accent5 4 2 2 3 2 3" xfId="3734" xr:uid="{00000000-0005-0000-0000-0000900E0000}"/>
    <cellStyle name="20% - Accent5 4 2 2 3 2 3 2" xfId="3735" xr:uid="{00000000-0005-0000-0000-0000910E0000}"/>
    <cellStyle name="20% - Accent5 4 2 2 3 2 4" xfId="3736" xr:uid="{00000000-0005-0000-0000-0000920E0000}"/>
    <cellStyle name="20% - Accent5 4 2 2 3 2 4 2" xfId="3737" xr:uid="{00000000-0005-0000-0000-0000930E0000}"/>
    <cellStyle name="20% - Accent5 4 2 2 3 2 5" xfId="3738" xr:uid="{00000000-0005-0000-0000-0000940E0000}"/>
    <cellStyle name="20% - Accent5 4 2 2 3 2 5 2" xfId="3739" xr:uid="{00000000-0005-0000-0000-0000950E0000}"/>
    <cellStyle name="20% - Accent5 4 2 2 3 2 6" xfId="3740" xr:uid="{00000000-0005-0000-0000-0000960E0000}"/>
    <cellStyle name="20% - Accent5 4 2 2 3 2 6 2" xfId="3741" xr:uid="{00000000-0005-0000-0000-0000970E0000}"/>
    <cellStyle name="20% - Accent5 4 2 2 3 2 7" xfId="3742" xr:uid="{00000000-0005-0000-0000-0000980E0000}"/>
    <cellStyle name="20% - Accent5 4 2 2 3 3" xfId="3743" xr:uid="{00000000-0005-0000-0000-0000990E0000}"/>
    <cellStyle name="20% - Accent5 4 2 2 3 3 2" xfId="3744" xr:uid="{00000000-0005-0000-0000-00009A0E0000}"/>
    <cellStyle name="20% - Accent5 4 2 2 3 3 2 2" xfId="3745" xr:uid="{00000000-0005-0000-0000-00009B0E0000}"/>
    <cellStyle name="20% - Accent5 4 2 2 3 3 3" xfId="3746" xr:uid="{00000000-0005-0000-0000-00009C0E0000}"/>
    <cellStyle name="20% - Accent5 4 2 2 3 3 3 2" xfId="3747" xr:uid="{00000000-0005-0000-0000-00009D0E0000}"/>
    <cellStyle name="20% - Accent5 4 2 2 3 3 4" xfId="3748" xr:uid="{00000000-0005-0000-0000-00009E0E0000}"/>
    <cellStyle name="20% - Accent5 4 2 2 3 3 4 2" xfId="3749" xr:uid="{00000000-0005-0000-0000-00009F0E0000}"/>
    <cellStyle name="20% - Accent5 4 2 2 3 3 5" xfId="3750" xr:uid="{00000000-0005-0000-0000-0000A00E0000}"/>
    <cellStyle name="20% - Accent5 4 2 2 3 3 5 2" xfId="3751" xr:uid="{00000000-0005-0000-0000-0000A10E0000}"/>
    <cellStyle name="20% - Accent5 4 2 2 3 3 6" xfId="3752" xr:uid="{00000000-0005-0000-0000-0000A20E0000}"/>
    <cellStyle name="20% - Accent5 4 2 2 3 4" xfId="3753" xr:uid="{00000000-0005-0000-0000-0000A30E0000}"/>
    <cellStyle name="20% - Accent5 4 2 2 3 4 2" xfId="3754" xr:uid="{00000000-0005-0000-0000-0000A40E0000}"/>
    <cellStyle name="20% - Accent5 4 2 2 3 4 2 2" xfId="3755" xr:uid="{00000000-0005-0000-0000-0000A50E0000}"/>
    <cellStyle name="20% - Accent5 4 2 2 3 4 3" xfId="3756" xr:uid="{00000000-0005-0000-0000-0000A60E0000}"/>
    <cellStyle name="20% - Accent5 4 2 2 3 5" xfId="3757" xr:uid="{00000000-0005-0000-0000-0000A70E0000}"/>
    <cellStyle name="20% - Accent5 4 2 2 3 5 2" xfId="3758" xr:uid="{00000000-0005-0000-0000-0000A80E0000}"/>
    <cellStyle name="20% - Accent5 4 2 2 3 6" xfId="3759" xr:uid="{00000000-0005-0000-0000-0000A90E0000}"/>
    <cellStyle name="20% - Accent5 4 2 2 3 6 2" xfId="3760" xr:uid="{00000000-0005-0000-0000-0000AA0E0000}"/>
    <cellStyle name="20% - Accent5 4 2 2 3 7" xfId="3761" xr:uid="{00000000-0005-0000-0000-0000AB0E0000}"/>
    <cellStyle name="20% - Accent5 4 2 2 3 7 2" xfId="3762" xr:uid="{00000000-0005-0000-0000-0000AC0E0000}"/>
    <cellStyle name="20% - Accent5 4 2 2 3 8" xfId="3763" xr:uid="{00000000-0005-0000-0000-0000AD0E0000}"/>
    <cellStyle name="20% - Accent5 4 2 2 4" xfId="3764" xr:uid="{00000000-0005-0000-0000-0000AE0E0000}"/>
    <cellStyle name="20% - Accent5 4 2 2 4 2" xfId="3765" xr:uid="{00000000-0005-0000-0000-0000AF0E0000}"/>
    <cellStyle name="20% - Accent5 4 2 2 4 2 2" xfId="3766" xr:uid="{00000000-0005-0000-0000-0000B00E0000}"/>
    <cellStyle name="20% - Accent5 4 2 2 4 2 2 2" xfId="3767" xr:uid="{00000000-0005-0000-0000-0000B10E0000}"/>
    <cellStyle name="20% - Accent5 4 2 2 4 2 3" xfId="3768" xr:uid="{00000000-0005-0000-0000-0000B20E0000}"/>
    <cellStyle name="20% - Accent5 4 2 2 4 2 3 2" xfId="3769" xr:uid="{00000000-0005-0000-0000-0000B30E0000}"/>
    <cellStyle name="20% - Accent5 4 2 2 4 2 4" xfId="3770" xr:uid="{00000000-0005-0000-0000-0000B40E0000}"/>
    <cellStyle name="20% - Accent5 4 2 2 4 3" xfId="3771" xr:uid="{00000000-0005-0000-0000-0000B50E0000}"/>
    <cellStyle name="20% - Accent5 4 2 2 4 3 2" xfId="3772" xr:uid="{00000000-0005-0000-0000-0000B60E0000}"/>
    <cellStyle name="20% - Accent5 4 2 2 4 4" xfId="3773" xr:uid="{00000000-0005-0000-0000-0000B70E0000}"/>
    <cellStyle name="20% - Accent5 4 2 2 4 4 2" xfId="3774" xr:uid="{00000000-0005-0000-0000-0000B80E0000}"/>
    <cellStyle name="20% - Accent5 4 2 2 4 5" xfId="3775" xr:uid="{00000000-0005-0000-0000-0000B90E0000}"/>
    <cellStyle name="20% - Accent5 4 2 2 4 5 2" xfId="3776" xr:uid="{00000000-0005-0000-0000-0000BA0E0000}"/>
    <cellStyle name="20% - Accent5 4 2 2 4 6" xfId="3777" xr:uid="{00000000-0005-0000-0000-0000BB0E0000}"/>
    <cellStyle name="20% - Accent5 4 2 2 4 6 2" xfId="3778" xr:uid="{00000000-0005-0000-0000-0000BC0E0000}"/>
    <cellStyle name="20% - Accent5 4 2 2 4 7" xfId="3779" xr:uid="{00000000-0005-0000-0000-0000BD0E0000}"/>
    <cellStyle name="20% - Accent5 4 2 2 5" xfId="3780" xr:uid="{00000000-0005-0000-0000-0000BE0E0000}"/>
    <cellStyle name="20% - Accent5 4 2 2 5 2" xfId="3781" xr:uid="{00000000-0005-0000-0000-0000BF0E0000}"/>
    <cellStyle name="20% - Accent5 4 2 2 5 2 2" xfId="3782" xr:uid="{00000000-0005-0000-0000-0000C00E0000}"/>
    <cellStyle name="20% - Accent5 4 2 2 5 3" xfId="3783" xr:uid="{00000000-0005-0000-0000-0000C10E0000}"/>
    <cellStyle name="20% - Accent5 4 2 2 5 3 2" xfId="3784" xr:uid="{00000000-0005-0000-0000-0000C20E0000}"/>
    <cellStyle name="20% - Accent5 4 2 2 5 4" xfId="3785" xr:uid="{00000000-0005-0000-0000-0000C30E0000}"/>
    <cellStyle name="20% - Accent5 4 2 2 5 4 2" xfId="3786" xr:uid="{00000000-0005-0000-0000-0000C40E0000}"/>
    <cellStyle name="20% - Accent5 4 2 2 5 5" xfId="3787" xr:uid="{00000000-0005-0000-0000-0000C50E0000}"/>
    <cellStyle name="20% - Accent5 4 2 2 5 5 2" xfId="3788" xr:uid="{00000000-0005-0000-0000-0000C60E0000}"/>
    <cellStyle name="20% - Accent5 4 2 2 5 6" xfId="3789" xr:uid="{00000000-0005-0000-0000-0000C70E0000}"/>
    <cellStyle name="20% - Accent5 4 2 2 6" xfId="3790" xr:uid="{00000000-0005-0000-0000-0000C80E0000}"/>
    <cellStyle name="20% - Accent5 4 2 2 6 2" xfId="3791" xr:uid="{00000000-0005-0000-0000-0000C90E0000}"/>
    <cellStyle name="20% - Accent5 4 2 2 6 2 2" xfId="3792" xr:uid="{00000000-0005-0000-0000-0000CA0E0000}"/>
    <cellStyle name="20% - Accent5 4 2 2 6 3" xfId="3793" xr:uid="{00000000-0005-0000-0000-0000CB0E0000}"/>
    <cellStyle name="20% - Accent5 4 2 2 7" xfId="3794" xr:uid="{00000000-0005-0000-0000-0000CC0E0000}"/>
    <cellStyle name="20% - Accent5 4 2 2 7 2" xfId="3795" xr:uid="{00000000-0005-0000-0000-0000CD0E0000}"/>
    <cellStyle name="20% - Accent5 4 2 2 8" xfId="3796" xr:uid="{00000000-0005-0000-0000-0000CE0E0000}"/>
    <cellStyle name="20% - Accent5 4 2 2 8 2" xfId="3797" xr:uid="{00000000-0005-0000-0000-0000CF0E0000}"/>
    <cellStyle name="20% - Accent5 4 2 2 9" xfId="3798" xr:uid="{00000000-0005-0000-0000-0000D00E0000}"/>
    <cellStyle name="20% - Accent5 4 2 2 9 2" xfId="3799" xr:uid="{00000000-0005-0000-0000-0000D10E0000}"/>
    <cellStyle name="20% - Accent5 4 2 3" xfId="3800" xr:uid="{00000000-0005-0000-0000-0000D20E0000}"/>
    <cellStyle name="20% - Accent5 4 2 3 2" xfId="3801" xr:uid="{00000000-0005-0000-0000-0000D30E0000}"/>
    <cellStyle name="20% - Accent5 4 2 3 2 2" xfId="3802" xr:uid="{00000000-0005-0000-0000-0000D40E0000}"/>
    <cellStyle name="20% - Accent5 4 2 3 2 2 2" xfId="3803" xr:uid="{00000000-0005-0000-0000-0000D50E0000}"/>
    <cellStyle name="20% - Accent5 4 2 3 2 2 2 2" xfId="3804" xr:uid="{00000000-0005-0000-0000-0000D60E0000}"/>
    <cellStyle name="20% - Accent5 4 2 3 2 2 3" xfId="3805" xr:uid="{00000000-0005-0000-0000-0000D70E0000}"/>
    <cellStyle name="20% - Accent5 4 2 3 2 2 3 2" xfId="3806" xr:uid="{00000000-0005-0000-0000-0000D80E0000}"/>
    <cellStyle name="20% - Accent5 4 2 3 2 2 4" xfId="3807" xr:uid="{00000000-0005-0000-0000-0000D90E0000}"/>
    <cellStyle name="20% - Accent5 4 2 3 2 3" xfId="3808" xr:uid="{00000000-0005-0000-0000-0000DA0E0000}"/>
    <cellStyle name="20% - Accent5 4 2 3 2 3 2" xfId="3809" xr:uid="{00000000-0005-0000-0000-0000DB0E0000}"/>
    <cellStyle name="20% - Accent5 4 2 3 2 4" xfId="3810" xr:uid="{00000000-0005-0000-0000-0000DC0E0000}"/>
    <cellStyle name="20% - Accent5 4 2 3 2 4 2" xfId="3811" xr:uid="{00000000-0005-0000-0000-0000DD0E0000}"/>
    <cellStyle name="20% - Accent5 4 2 3 2 5" xfId="3812" xr:uid="{00000000-0005-0000-0000-0000DE0E0000}"/>
    <cellStyle name="20% - Accent5 4 2 3 2 5 2" xfId="3813" xr:uid="{00000000-0005-0000-0000-0000DF0E0000}"/>
    <cellStyle name="20% - Accent5 4 2 3 2 6" xfId="3814" xr:uid="{00000000-0005-0000-0000-0000E00E0000}"/>
    <cellStyle name="20% - Accent5 4 2 3 2 6 2" xfId="3815" xr:uid="{00000000-0005-0000-0000-0000E10E0000}"/>
    <cellStyle name="20% - Accent5 4 2 3 2 7" xfId="3816" xr:uid="{00000000-0005-0000-0000-0000E20E0000}"/>
    <cellStyle name="20% - Accent5 4 2 3 3" xfId="3817" xr:uid="{00000000-0005-0000-0000-0000E30E0000}"/>
    <cellStyle name="20% - Accent5 4 2 3 3 2" xfId="3818" xr:uid="{00000000-0005-0000-0000-0000E40E0000}"/>
    <cellStyle name="20% - Accent5 4 2 3 3 2 2" xfId="3819" xr:uid="{00000000-0005-0000-0000-0000E50E0000}"/>
    <cellStyle name="20% - Accent5 4 2 3 3 3" xfId="3820" xr:uid="{00000000-0005-0000-0000-0000E60E0000}"/>
    <cellStyle name="20% - Accent5 4 2 3 3 3 2" xfId="3821" xr:uid="{00000000-0005-0000-0000-0000E70E0000}"/>
    <cellStyle name="20% - Accent5 4 2 3 3 4" xfId="3822" xr:uid="{00000000-0005-0000-0000-0000E80E0000}"/>
    <cellStyle name="20% - Accent5 4 2 3 3 4 2" xfId="3823" xr:uid="{00000000-0005-0000-0000-0000E90E0000}"/>
    <cellStyle name="20% - Accent5 4 2 3 3 5" xfId="3824" xr:uid="{00000000-0005-0000-0000-0000EA0E0000}"/>
    <cellStyle name="20% - Accent5 4 2 3 3 5 2" xfId="3825" xr:uid="{00000000-0005-0000-0000-0000EB0E0000}"/>
    <cellStyle name="20% - Accent5 4 2 3 3 6" xfId="3826" xr:uid="{00000000-0005-0000-0000-0000EC0E0000}"/>
    <cellStyle name="20% - Accent5 4 2 3 4" xfId="3827" xr:uid="{00000000-0005-0000-0000-0000ED0E0000}"/>
    <cellStyle name="20% - Accent5 4 2 3 4 2" xfId="3828" xr:uid="{00000000-0005-0000-0000-0000EE0E0000}"/>
    <cellStyle name="20% - Accent5 4 2 3 4 2 2" xfId="3829" xr:uid="{00000000-0005-0000-0000-0000EF0E0000}"/>
    <cellStyle name="20% - Accent5 4 2 3 4 3" xfId="3830" xr:uid="{00000000-0005-0000-0000-0000F00E0000}"/>
    <cellStyle name="20% - Accent5 4 2 3 5" xfId="3831" xr:uid="{00000000-0005-0000-0000-0000F10E0000}"/>
    <cellStyle name="20% - Accent5 4 2 3 5 2" xfId="3832" xr:uid="{00000000-0005-0000-0000-0000F20E0000}"/>
    <cellStyle name="20% - Accent5 4 2 3 6" xfId="3833" xr:uid="{00000000-0005-0000-0000-0000F30E0000}"/>
    <cellStyle name="20% - Accent5 4 2 3 6 2" xfId="3834" xr:uid="{00000000-0005-0000-0000-0000F40E0000}"/>
    <cellStyle name="20% - Accent5 4 2 3 7" xfId="3835" xr:uid="{00000000-0005-0000-0000-0000F50E0000}"/>
    <cellStyle name="20% - Accent5 4 2 3 7 2" xfId="3836" xr:uid="{00000000-0005-0000-0000-0000F60E0000}"/>
    <cellStyle name="20% - Accent5 4 2 3 8" xfId="3837" xr:uid="{00000000-0005-0000-0000-0000F70E0000}"/>
    <cellStyle name="20% - Accent5 4 2 4" xfId="3838" xr:uid="{00000000-0005-0000-0000-0000F80E0000}"/>
    <cellStyle name="20% - Accent5 4 2 4 2" xfId="3839" xr:uid="{00000000-0005-0000-0000-0000F90E0000}"/>
    <cellStyle name="20% - Accent5 4 2 4 2 2" xfId="3840" xr:uid="{00000000-0005-0000-0000-0000FA0E0000}"/>
    <cellStyle name="20% - Accent5 4 2 4 2 2 2" xfId="3841" xr:uid="{00000000-0005-0000-0000-0000FB0E0000}"/>
    <cellStyle name="20% - Accent5 4 2 4 2 2 2 2" xfId="3842" xr:uid="{00000000-0005-0000-0000-0000FC0E0000}"/>
    <cellStyle name="20% - Accent5 4 2 4 2 2 3" xfId="3843" xr:uid="{00000000-0005-0000-0000-0000FD0E0000}"/>
    <cellStyle name="20% - Accent5 4 2 4 2 2 3 2" xfId="3844" xr:uid="{00000000-0005-0000-0000-0000FE0E0000}"/>
    <cellStyle name="20% - Accent5 4 2 4 2 2 4" xfId="3845" xr:uid="{00000000-0005-0000-0000-0000FF0E0000}"/>
    <cellStyle name="20% - Accent5 4 2 4 2 3" xfId="3846" xr:uid="{00000000-0005-0000-0000-0000000F0000}"/>
    <cellStyle name="20% - Accent5 4 2 4 2 3 2" xfId="3847" xr:uid="{00000000-0005-0000-0000-0000010F0000}"/>
    <cellStyle name="20% - Accent5 4 2 4 2 4" xfId="3848" xr:uid="{00000000-0005-0000-0000-0000020F0000}"/>
    <cellStyle name="20% - Accent5 4 2 4 2 4 2" xfId="3849" xr:uid="{00000000-0005-0000-0000-0000030F0000}"/>
    <cellStyle name="20% - Accent5 4 2 4 2 5" xfId="3850" xr:uid="{00000000-0005-0000-0000-0000040F0000}"/>
    <cellStyle name="20% - Accent5 4 2 4 2 5 2" xfId="3851" xr:uid="{00000000-0005-0000-0000-0000050F0000}"/>
    <cellStyle name="20% - Accent5 4 2 4 2 6" xfId="3852" xr:uid="{00000000-0005-0000-0000-0000060F0000}"/>
    <cellStyle name="20% - Accent5 4 2 4 2 6 2" xfId="3853" xr:uid="{00000000-0005-0000-0000-0000070F0000}"/>
    <cellStyle name="20% - Accent5 4 2 4 2 7" xfId="3854" xr:uid="{00000000-0005-0000-0000-0000080F0000}"/>
    <cellStyle name="20% - Accent5 4 2 4 3" xfId="3855" xr:uid="{00000000-0005-0000-0000-0000090F0000}"/>
    <cellStyle name="20% - Accent5 4 2 4 3 2" xfId="3856" xr:uid="{00000000-0005-0000-0000-00000A0F0000}"/>
    <cellStyle name="20% - Accent5 4 2 4 3 2 2" xfId="3857" xr:uid="{00000000-0005-0000-0000-00000B0F0000}"/>
    <cellStyle name="20% - Accent5 4 2 4 3 3" xfId="3858" xr:uid="{00000000-0005-0000-0000-00000C0F0000}"/>
    <cellStyle name="20% - Accent5 4 2 4 3 3 2" xfId="3859" xr:uid="{00000000-0005-0000-0000-00000D0F0000}"/>
    <cellStyle name="20% - Accent5 4 2 4 3 4" xfId="3860" xr:uid="{00000000-0005-0000-0000-00000E0F0000}"/>
    <cellStyle name="20% - Accent5 4 2 4 3 4 2" xfId="3861" xr:uid="{00000000-0005-0000-0000-00000F0F0000}"/>
    <cellStyle name="20% - Accent5 4 2 4 3 5" xfId="3862" xr:uid="{00000000-0005-0000-0000-0000100F0000}"/>
    <cellStyle name="20% - Accent5 4 2 4 3 5 2" xfId="3863" xr:uid="{00000000-0005-0000-0000-0000110F0000}"/>
    <cellStyle name="20% - Accent5 4 2 4 3 6" xfId="3864" xr:uid="{00000000-0005-0000-0000-0000120F0000}"/>
    <cellStyle name="20% - Accent5 4 2 4 4" xfId="3865" xr:uid="{00000000-0005-0000-0000-0000130F0000}"/>
    <cellStyle name="20% - Accent5 4 2 4 4 2" xfId="3866" xr:uid="{00000000-0005-0000-0000-0000140F0000}"/>
    <cellStyle name="20% - Accent5 4 2 4 4 2 2" xfId="3867" xr:uid="{00000000-0005-0000-0000-0000150F0000}"/>
    <cellStyle name="20% - Accent5 4 2 4 4 3" xfId="3868" xr:uid="{00000000-0005-0000-0000-0000160F0000}"/>
    <cellStyle name="20% - Accent5 4 2 4 5" xfId="3869" xr:uid="{00000000-0005-0000-0000-0000170F0000}"/>
    <cellStyle name="20% - Accent5 4 2 4 5 2" xfId="3870" xr:uid="{00000000-0005-0000-0000-0000180F0000}"/>
    <cellStyle name="20% - Accent5 4 2 4 6" xfId="3871" xr:uid="{00000000-0005-0000-0000-0000190F0000}"/>
    <cellStyle name="20% - Accent5 4 2 4 6 2" xfId="3872" xr:uid="{00000000-0005-0000-0000-00001A0F0000}"/>
    <cellStyle name="20% - Accent5 4 2 4 7" xfId="3873" xr:uid="{00000000-0005-0000-0000-00001B0F0000}"/>
    <cellStyle name="20% - Accent5 4 2 4 7 2" xfId="3874" xr:uid="{00000000-0005-0000-0000-00001C0F0000}"/>
    <cellStyle name="20% - Accent5 4 2 4 8" xfId="3875" xr:uid="{00000000-0005-0000-0000-00001D0F0000}"/>
    <cellStyle name="20% - Accent5 4 2 5" xfId="3876" xr:uid="{00000000-0005-0000-0000-00001E0F0000}"/>
    <cellStyle name="20% - Accent5 4 2 5 2" xfId="3877" xr:uid="{00000000-0005-0000-0000-00001F0F0000}"/>
    <cellStyle name="20% - Accent5 4 2 5 2 2" xfId="3878" xr:uid="{00000000-0005-0000-0000-0000200F0000}"/>
    <cellStyle name="20% - Accent5 4 2 5 2 2 2" xfId="3879" xr:uid="{00000000-0005-0000-0000-0000210F0000}"/>
    <cellStyle name="20% - Accent5 4 2 5 2 3" xfId="3880" xr:uid="{00000000-0005-0000-0000-0000220F0000}"/>
    <cellStyle name="20% - Accent5 4 2 5 2 3 2" xfId="3881" xr:uid="{00000000-0005-0000-0000-0000230F0000}"/>
    <cellStyle name="20% - Accent5 4 2 5 2 4" xfId="3882" xr:uid="{00000000-0005-0000-0000-0000240F0000}"/>
    <cellStyle name="20% - Accent5 4 2 5 3" xfId="3883" xr:uid="{00000000-0005-0000-0000-0000250F0000}"/>
    <cellStyle name="20% - Accent5 4 2 5 3 2" xfId="3884" xr:uid="{00000000-0005-0000-0000-0000260F0000}"/>
    <cellStyle name="20% - Accent5 4 2 5 4" xfId="3885" xr:uid="{00000000-0005-0000-0000-0000270F0000}"/>
    <cellStyle name="20% - Accent5 4 2 5 4 2" xfId="3886" xr:uid="{00000000-0005-0000-0000-0000280F0000}"/>
    <cellStyle name="20% - Accent5 4 2 5 5" xfId="3887" xr:uid="{00000000-0005-0000-0000-0000290F0000}"/>
    <cellStyle name="20% - Accent5 4 2 5 5 2" xfId="3888" xr:uid="{00000000-0005-0000-0000-00002A0F0000}"/>
    <cellStyle name="20% - Accent5 4 2 5 6" xfId="3889" xr:uid="{00000000-0005-0000-0000-00002B0F0000}"/>
    <cellStyle name="20% - Accent5 4 2 5 6 2" xfId="3890" xr:uid="{00000000-0005-0000-0000-00002C0F0000}"/>
    <cellStyle name="20% - Accent5 4 2 5 7" xfId="3891" xr:uid="{00000000-0005-0000-0000-00002D0F0000}"/>
    <cellStyle name="20% - Accent5 4 2 6" xfId="3892" xr:uid="{00000000-0005-0000-0000-00002E0F0000}"/>
    <cellStyle name="20% - Accent5 4 2 6 2" xfId="3893" xr:uid="{00000000-0005-0000-0000-00002F0F0000}"/>
    <cellStyle name="20% - Accent5 4 2 6 2 2" xfId="3894" xr:uid="{00000000-0005-0000-0000-0000300F0000}"/>
    <cellStyle name="20% - Accent5 4 2 6 3" xfId="3895" xr:uid="{00000000-0005-0000-0000-0000310F0000}"/>
    <cellStyle name="20% - Accent5 4 2 6 3 2" xfId="3896" xr:uid="{00000000-0005-0000-0000-0000320F0000}"/>
    <cellStyle name="20% - Accent5 4 2 6 4" xfId="3897" xr:uid="{00000000-0005-0000-0000-0000330F0000}"/>
    <cellStyle name="20% - Accent5 4 2 6 4 2" xfId="3898" xr:uid="{00000000-0005-0000-0000-0000340F0000}"/>
    <cellStyle name="20% - Accent5 4 2 6 5" xfId="3899" xr:uid="{00000000-0005-0000-0000-0000350F0000}"/>
    <cellStyle name="20% - Accent5 4 2 6 5 2" xfId="3900" xr:uid="{00000000-0005-0000-0000-0000360F0000}"/>
    <cellStyle name="20% - Accent5 4 2 6 6" xfId="3901" xr:uid="{00000000-0005-0000-0000-0000370F0000}"/>
    <cellStyle name="20% - Accent5 4 2 7" xfId="3902" xr:uid="{00000000-0005-0000-0000-0000380F0000}"/>
    <cellStyle name="20% - Accent5 4 2 7 2" xfId="3903" xr:uid="{00000000-0005-0000-0000-0000390F0000}"/>
    <cellStyle name="20% - Accent5 4 2 7 2 2" xfId="3904" xr:uid="{00000000-0005-0000-0000-00003A0F0000}"/>
    <cellStyle name="20% - Accent5 4 2 7 3" xfId="3905" xr:uid="{00000000-0005-0000-0000-00003B0F0000}"/>
    <cellStyle name="20% - Accent5 4 2 8" xfId="3906" xr:uid="{00000000-0005-0000-0000-00003C0F0000}"/>
    <cellStyle name="20% - Accent5 4 2 8 2" xfId="3907" xr:uid="{00000000-0005-0000-0000-00003D0F0000}"/>
    <cellStyle name="20% - Accent5 4 2 9" xfId="3908" xr:uid="{00000000-0005-0000-0000-00003E0F0000}"/>
    <cellStyle name="20% - Accent5 4 2 9 2" xfId="3909" xr:uid="{00000000-0005-0000-0000-00003F0F0000}"/>
    <cellStyle name="20% - Accent5 4 3" xfId="3910" xr:uid="{00000000-0005-0000-0000-0000400F0000}"/>
    <cellStyle name="20% - Accent5 4 3 10" xfId="3911" xr:uid="{00000000-0005-0000-0000-0000410F0000}"/>
    <cellStyle name="20% - Accent5 4 3 2" xfId="3912" xr:uid="{00000000-0005-0000-0000-0000420F0000}"/>
    <cellStyle name="20% - Accent5 4 3 2 2" xfId="3913" xr:uid="{00000000-0005-0000-0000-0000430F0000}"/>
    <cellStyle name="20% - Accent5 4 3 2 2 2" xfId="3914" xr:uid="{00000000-0005-0000-0000-0000440F0000}"/>
    <cellStyle name="20% - Accent5 4 3 2 2 2 2" xfId="3915" xr:uid="{00000000-0005-0000-0000-0000450F0000}"/>
    <cellStyle name="20% - Accent5 4 3 2 2 2 2 2" xfId="3916" xr:uid="{00000000-0005-0000-0000-0000460F0000}"/>
    <cellStyle name="20% - Accent5 4 3 2 2 2 3" xfId="3917" xr:uid="{00000000-0005-0000-0000-0000470F0000}"/>
    <cellStyle name="20% - Accent5 4 3 2 2 2 3 2" xfId="3918" xr:uid="{00000000-0005-0000-0000-0000480F0000}"/>
    <cellStyle name="20% - Accent5 4 3 2 2 2 4" xfId="3919" xr:uid="{00000000-0005-0000-0000-0000490F0000}"/>
    <cellStyle name="20% - Accent5 4 3 2 2 3" xfId="3920" xr:uid="{00000000-0005-0000-0000-00004A0F0000}"/>
    <cellStyle name="20% - Accent5 4 3 2 2 3 2" xfId="3921" xr:uid="{00000000-0005-0000-0000-00004B0F0000}"/>
    <cellStyle name="20% - Accent5 4 3 2 2 4" xfId="3922" xr:uid="{00000000-0005-0000-0000-00004C0F0000}"/>
    <cellStyle name="20% - Accent5 4 3 2 2 4 2" xfId="3923" xr:uid="{00000000-0005-0000-0000-00004D0F0000}"/>
    <cellStyle name="20% - Accent5 4 3 2 2 5" xfId="3924" xr:uid="{00000000-0005-0000-0000-00004E0F0000}"/>
    <cellStyle name="20% - Accent5 4 3 2 2 5 2" xfId="3925" xr:uid="{00000000-0005-0000-0000-00004F0F0000}"/>
    <cellStyle name="20% - Accent5 4 3 2 2 6" xfId="3926" xr:uid="{00000000-0005-0000-0000-0000500F0000}"/>
    <cellStyle name="20% - Accent5 4 3 2 2 6 2" xfId="3927" xr:uid="{00000000-0005-0000-0000-0000510F0000}"/>
    <cellStyle name="20% - Accent5 4 3 2 2 7" xfId="3928" xr:uid="{00000000-0005-0000-0000-0000520F0000}"/>
    <cellStyle name="20% - Accent5 4 3 2 3" xfId="3929" xr:uid="{00000000-0005-0000-0000-0000530F0000}"/>
    <cellStyle name="20% - Accent5 4 3 2 3 2" xfId="3930" xr:uid="{00000000-0005-0000-0000-0000540F0000}"/>
    <cellStyle name="20% - Accent5 4 3 2 3 2 2" xfId="3931" xr:uid="{00000000-0005-0000-0000-0000550F0000}"/>
    <cellStyle name="20% - Accent5 4 3 2 3 3" xfId="3932" xr:uid="{00000000-0005-0000-0000-0000560F0000}"/>
    <cellStyle name="20% - Accent5 4 3 2 3 3 2" xfId="3933" xr:uid="{00000000-0005-0000-0000-0000570F0000}"/>
    <cellStyle name="20% - Accent5 4 3 2 3 4" xfId="3934" xr:uid="{00000000-0005-0000-0000-0000580F0000}"/>
    <cellStyle name="20% - Accent5 4 3 2 3 4 2" xfId="3935" xr:uid="{00000000-0005-0000-0000-0000590F0000}"/>
    <cellStyle name="20% - Accent5 4 3 2 3 5" xfId="3936" xr:uid="{00000000-0005-0000-0000-00005A0F0000}"/>
    <cellStyle name="20% - Accent5 4 3 2 3 5 2" xfId="3937" xr:uid="{00000000-0005-0000-0000-00005B0F0000}"/>
    <cellStyle name="20% - Accent5 4 3 2 3 6" xfId="3938" xr:uid="{00000000-0005-0000-0000-00005C0F0000}"/>
    <cellStyle name="20% - Accent5 4 3 2 4" xfId="3939" xr:uid="{00000000-0005-0000-0000-00005D0F0000}"/>
    <cellStyle name="20% - Accent5 4 3 2 4 2" xfId="3940" xr:uid="{00000000-0005-0000-0000-00005E0F0000}"/>
    <cellStyle name="20% - Accent5 4 3 2 4 2 2" xfId="3941" xr:uid="{00000000-0005-0000-0000-00005F0F0000}"/>
    <cellStyle name="20% - Accent5 4 3 2 4 3" xfId="3942" xr:uid="{00000000-0005-0000-0000-0000600F0000}"/>
    <cellStyle name="20% - Accent5 4 3 2 5" xfId="3943" xr:uid="{00000000-0005-0000-0000-0000610F0000}"/>
    <cellStyle name="20% - Accent5 4 3 2 5 2" xfId="3944" xr:uid="{00000000-0005-0000-0000-0000620F0000}"/>
    <cellStyle name="20% - Accent5 4 3 2 6" xfId="3945" xr:uid="{00000000-0005-0000-0000-0000630F0000}"/>
    <cellStyle name="20% - Accent5 4 3 2 6 2" xfId="3946" xr:uid="{00000000-0005-0000-0000-0000640F0000}"/>
    <cellStyle name="20% - Accent5 4 3 2 7" xfId="3947" xr:uid="{00000000-0005-0000-0000-0000650F0000}"/>
    <cellStyle name="20% - Accent5 4 3 2 7 2" xfId="3948" xr:uid="{00000000-0005-0000-0000-0000660F0000}"/>
    <cellStyle name="20% - Accent5 4 3 2 8" xfId="3949" xr:uid="{00000000-0005-0000-0000-0000670F0000}"/>
    <cellStyle name="20% - Accent5 4 3 3" xfId="3950" xr:uid="{00000000-0005-0000-0000-0000680F0000}"/>
    <cellStyle name="20% - Accent5 4 3 3 2" xfId="3951" xr:uid="{00000000-0005-0000-0000-0000690F0000}"/>
    <cellStyle name="20% - Accent5 4 3 3 2 2" xfId="3952" xr:uid="{00000000-0005-0000-0000-00006A0F0000}"/>
    <cellStyle name="20% - Accent5 4 3 3 2 2 2" xfId="3953" xr:uid="{00000000-0005-0000-0000-00006B0F0000}"/>
    <cellStyle name="20% - Accent5 4 3 3 2 2 2 2" xfId="3954" xr:uid="{00000000-0005-0000-0000-00006C0F0000}"/>
    <cellStyle name="20% - Accent5 4 3 3 2 2 3" xfId="3955" xr:uid="{00000000-0005-0000-0000-00006D0F0000}"/>
    <cellStyle name="20% - Accent5 4 3 3 2 2 3 2" xfId="3956" xr:uid="{00000000-0005-0000-0000-00006E0F0000}"/>
    <cellStyle name="20% - Accent5 4 3 3 2 2 4" xfId="3957" xr:uid="{00000000-0005-0000-0000-00006F0F0000}"/>
    <cellStyle name="20% - Accent5 4 3 3 2 3" xfId="3958" xr:uid="{00000000-0005-0000-0000-0000700F0000}"/>
    <cellStyle name="20% - Accent5 4 3 3 2 3 2" xfId="3959" xr:uid="{00000000-0005-0000-0000-0000710F0000}"/>
    <cellStyle name="20% - Accent5 4 3 3 2 4" xfId="3960" xr:uid="{00000000-0005-0000-0000-0000720F0000}"/>
    <cellStyle name="20% - Accent5 4 3 3 2 4 2" xfId="3961" xr:uid="{00000000-0005-0000-0000-0000730F0000}"/>
    <cellStyle name="20% - Accent5 4 3 3 2 5" xfId="3962" xr:uid="{00000000-0005-0000-0000-0000740F0000}"/>
    <cellStyle name="20% - Accent5 4 3 3 2 5 2" xfId="3963" xr:uid="{00000000-0005-0000-0000-0000750F0000}"/>
    <cellStyle name="20% - Accent5 4 3 3 2 6" xfId="3964" xr:uid="{00000000-0005-0000-0000-0000760F0000}"/>
    <cellStyle name="20% - Accent5 4 3 3 2 6 2" xfId="3965" xr:uid="{00000000-0005-0000-0000-0000770F0000}"/>
    <cellStyle name="20% - Accent5 4 3 3 2 7" xfId="3966" xr:uid="{00000000-0005-0000-0000-0000780F0000}"/>
    <cellStyle name="20% - Accent5 4 3 3 3" xfId="3967" xr:uid="{00000000-0005-0000-0000-0000790F0000}"/>
    <cellStyle name="20% - Accent5 4 3 3 3 2" xfId="3968" xr:uid="{00000000-0005-0000-0000-00007A0F0000}"/>
    <cellStyle name="20% - Accent5 4 3 3 3 2 2" xfId="3969" xr:uid="{00000000-0005-0000-0000-00007B0F0000}"/>
    <cellStyle name="20% - Accent5 4 3 3 3 3" xfId="3970" xr:uid="{00000000-0005-0000-0000-00007C0F0000}"/>
    <cellStyle name="20% - Accent5 4 3 3 3 3 2" xfId="3971" xr:uid="{00000000-0005-0000-0000-00007D0F0000}"/>
    <cellStyle name="20% - Accent5 4 3 3 3 4" xfId="3972" xr:uid="{00000000-0005-0000-0000-00007E0F0000}"/>
    <cellStyle name="20% - Accent5 4 3 3 3 4 2" xfId="3973" xr:uid="{00000000-0005-0000-0000-00007F0F0000}"/>
    <cellStyle name="20% - Accent5 4 3 3 3 5" xfId="3974" xr:uid="{00000000-0005-0000-0000-0000800F0000}"/>
    <cellStyle name="20% - Accent5 4 3 3 3 5 2" xfId="3975" xr:uid="{00000000-0005-0000-0000-0000810F0000}"/>
    <cellStyle name="20% - Accent5 4 3 3 3 6" xfId="3976" xr:uid="{00000000-0005-0000-0000-0000820F0000}"/>
    <cellStyle name="20% - Accent5 4 3 3 4" xfId="3977" xr:uid="{00000000-0005-0000-0000-0000830F0000}"/>
    <cellStyle name="20% - Accent5 4 3 3 4 2" xfId="3978" xr:uid="{00000000-0005-0000-0000-0000840F0000}"/>
    <cellStyle name="20% - Accent5 4 3 3 4 2 2" xfId="3979" xr:uid="{00000000-0005-0000-0000-0000850F0000}"/>
    <cellStyle name="20% - Accent5 4 3 3 4 3" xfId="3980" xr:uid="{00000000-0005-0000-0000-0000860F0000}"/>
    <cellStyle name="20% - Accent5 4 3 3 5" xfId="3981" xr:uid="{00000000-0005-0000-0000-0000870F0000}"/>
    <cellStyle name="20% - Accent5 4 3 3 5 2" xfId="3982" xr:uid="{00000000-0005-0000-0000-0000880F0000}"/>
    <cellStyle name="20% - Accent5 4 3 3 6" xfId="3983" xr:uid="{00000000-0005-0000-0000-0000890F0000}"/>
    <cellStyle name="20% - Accent5 4 3 3 6 2" xfId="3984" xr:uid="{00000000-0005-0000-0000-00008A0F0000}"/>
    <cellStyle name="20% - Accent5 4 3 3 7" xfId="3985" xr:uid="{00000000-0005-0000-0000-00008B0F0000}"/>
    <cellStyle name="20% - Accent5 4 3 3 7 2" xfId="3986" xr:uid="{00000000-0005-0000-0000-00008C0F0000}"/>
    <cellStyle name="20% - Accent5 4 3 3 8" xfId="3987" xr:uid="{00000000-0005-0000-0000-00008D0F0000}"/>
    <cellStyle name="20% - Accent5 4 3 4" xfId="3988" xr:uid="{00000000-0005-0000-0000-00008E0F0000}"/>
    <cellStyle name="20% - Accent5 4 3 4 2" xfId="3989" xr:uid="{00000000-0005-0000-0000-00008F0F0000}"/>
    <cellStyle name="20% - Accent5 4 3 4 2 2" xfId="3990" xr:uid="{00000000-0005-0000-0000-0000900F0000}"/>
    <cellStyle name="20% - Accent5 4 3 4 2 2 2" xfId="3991" xr:uid="{00000000-0005-0000-0000-0000910F0000}"/>
    <cellStyle name="20% - Accent5 4 3 4 2 3" xfId="3992" xr:uid="{00000000-0005-0000-0000-0000920F0000}"/>
    <cellStyle name="20% - Accent5 4 3 4 2 3 2" xfId="3993" xr:uid="{00000000-0005-0000-0000-0000930F0000}"/>
    <cellStyle name="20% - Accent5 4 3 4 2 4" xfId="3994" xr:uid="{00000000-0005-0000-0000-0000940F0000}"/>
    <cellStyle name="20% - Accent5 4 3 4 3" xfId="3995" xr:uid="{00000000-0005-0000-0000-0000950F0000}"/>
    <cellStyle name="20% - Accent5 4 3 4 3 2" xfId="3996" xr:uid="{00000000-0005-0000-0000-0000960F0000}"/>
    <cellStyle name="20% - Accent5 4 3 4 4" xfId="3997" xr:uid="{00000000-0005-0000-0000-0000970F0000}"/>
    <cellStyle name="20% - Accent5 4 3 4 4 2" xfId="3998" xr:uid="{00000000-0005-0000-0000-0000980F0000}"/>
    <cellStyle name="20% - Accent5 4 3 4 5" xfId="3999" xr:uid="{00000000-0005-0000-0000-0000990F0000}"/>
    <cellStyle name="20% - Accent5 4 3 4 5 2" xfId="4000" xr:uid="{00000000-0005-0000-0000-00009A0F0000}"/>
    <cellStyle name="20% - Accent5 4 3 4 6" xfId="4001" xr:uid="{00000000-0005-0000-0000-00009B0F0000}"/>
    <cellStyle name="20% - Accent5 4 3 4 6 2" xfId="4002" xr:uid="{00000000-0005-0000-0000-00009C0F0000}"/>
    <cellStyle name="20% - Accent5 4 3 4 7" xfId="4003" xr:uid="{00000000-0005-0000-0000-00009D0F0000}"/>
    <cellStyle name="20% - Accent5 4 3 5" xfId="4004" xr:uid="{00000000-0005-0000-0000-00009E0F0000}"/>
    <cellStyle name="20% - Accent5 4 3 5 2" xfId="4005" xr:uid="{00000000-0005-0000-0000-00009F0F0000}"/>
    <cellStyle name="20% - Accent5 4 3 5 2 2" xfId="4006" xr:uid="{00000000-0005-0000-0000-0000A00F0000}"/>
    <cellStyle name="20% - Accent5 4 3 5 3" xfId="4007" xr:uid="{00000000-0005-0000-0000-0000A10F0000}"/>
    <cellStyle name="20% - Accent5 4 3 5 3 2" xfId="4008" xr:uid="{00000000-0005-0000-0000-0000A20F0000}"/>
    <cellStyle name="20% - Accent5 4 3 5 4" xfId="4009" xr:uid="{00000000-0005-0000-0000-0000A30F0000}"/>
    <cellStyle name="20% - Accent5 4 3 5 4 2" xfId="4010" xr:uid="{00000000-0005-0000-0000-0000A40F0000}"/>
    <cellStyle name="20% - Accent5 4 3 5 5" xfId="4011" xr:uid="{00000000-0005-0000-0000-0000A50F0000}"/>
    <cellStyle name="20% - Accent5 4 3 5 5 2" xfId="4012" xr:uid="{00000000-0005-0000-0000-0000A60F0000}"/>
    <cellStyle name="20% - Accent5 4 3 5 6" xfId="4013" xr:uid="{00000000-0005-0000-0000-0000A70F0000}"/>
    <cellStyle name="20% - Accent5 4 3 6" xfId="4014" xr:uid="{00000000-0005-0000-0000-0000A80F0000}"/>
    <cellStyle name="20% - Accent5 4 3 6 2" xfId="4015" xr:uid="{00000000-0005-0000-0000-0000A90F0000}"/>
    <cellStyle name="20% - Accent5 4 3 6 2 2" xfId="4016" xr:uid="{00000000-0005-0000-0000-0000AA0F0000}"/>
    <cellStyle name="20% - Accent5 4 3 6 3" xfId="4017" xr:uid="{00000000-0005-0000-0000-0000AB0F0000}"/>
    <cellStyle name="20% - Accent5 4 3 7" xfId="4018" xr:uid="{00000000-0005-0000-0000-0000AC0F0000}"/>
    <cellStyle name="20% - Accent5 4 3 7 2" xfId="4019" xr:uid="{00000000-0005-0000-0000-0000AD0F0000}"/>
    <cellStyle name="20% - Accent5 4 3 8" xfId="4020" xr:uid="{00000000-0005-0000-0000-0000AE0F0000}"/>
    <cellStyle name="20% - Accent5 4 3 8 2" xfId="4021" xr:uid="{00000000-0005-0000-0000-0000AF0F0000}"/>
    <cellStyle name="20% - Accent5 4 3 9" xfId="4022" xr:uid="{00000000-0005-0000-0000-0000B00F0000}"/>
    <cellStyle name="20% - Accent5 4 3 9 2" xfId="4023" xr:uid="{00000000-0005-0000-0000-0000B10F0000}"/>
    <cellStyle name="20% - Accent5 4 4" xfId="4024" xr:uid="{00000000-0005-0000-0000-0000B20F0000}"/>
    <cellStyle name="20% - Accent5 4 4 2" xfId="4025" xr:uid="{00000000-0005-0000-0000-0000B30F0000}"/>
    <cellStyle name="20% - Accent5 4 4 2 2" xfId="4026" xr:uid="{00000000-0005-0000-0000-0000B40F0000}"/>
    <cellStyle name="20% - Accent5 4 4 2 2 2" xfId="4027" xr:uid="{00000000-0005-0000-0000-0000B50F0000}"/>
    <cellStyle name="20% - Accent5 4 4 2 2 2 2" xfId="4028" xr:uid="{00000000-0005-0000-0000-0000B60F0000}"/>
    <cellStyle name="20% - Accent5 4 4 2 2 3" xfId="4029" xr:uid="{00000000-0005-0000-0000-0000B70F0000}"/>
    <cellStyle name="20% - Accent5 4 4 2 2 3 2" xfId="4030" xr:uid="{00000000-0005-0000-0000-0000B80F0000}"/>
    <cellStyle name="20% - Accent5 4 4 2 2 4" xfId="4031" xr:uid="{00000000-0005-0000-0000-0000B90F0000}"/>
    <cellStyle name="20% - Accent5 4 4 2 3" xfId="4032" xr:uid="{00000000-0005-0000-0000-0000BA0F0000}"/>
    <cellStyle name="20% - Accent5 4 4 2 3 2" xfId="4033" xr:uid="{00000000-0005-0000-0000-0000BB0F0000}"/>
    <cellStyle name="20% - Accent5 4 4 2 4" xfId="4034" xr:uid="{00000000-0005-0000-0000-0000BC0F0000}"/>
    <cellStyle name="20% - Accent5 4 4 2 4 2" xfId="4035" xr:uid="{00000000-0005-0000-0000-0000BD0F0000}"/>
    <cellStyle name="20% - Accent5 4 4 2 5" xfId="4036" xr:uid="{00000000-0005-0000-0000-0000BE0F0000}"/>
    <cellStyle name="20% - Accent5 4 4 2 5 2" xfId="4037" xr:uid="{00000000-0005-0000-0000-0000BF0F0000}"/>
    <cellStyle name="20% - Accent5 4 4 2 6" xfId="4038" xr:uid="{00000000-0005-0000-0000-0000C00F0000}"/>
    <cellStyle name="20% - Accent5 4 4 2 6 2" xfId="4039" xr:uid="{00000000-0005-0000-0000-0000C10F0000}"/>
    <cellStyle name="20% - Accent5 4 4 2 7" xfId="4040" xr:uid="{00000000-0005-0000-0000-0000C20F0000}"/>
    <cellStyle name="20% - Accent5 4 4 3" xfId="4041" xr:uid="{00000000-0005-0000-0000-0000C30F0000}"/>
    <cellStyle name="20% - Accent5 4 4 3 2" xfId="4042" xr:uid="{00000000-0005-0000-0000-0000C40F0000}"/>
    <cellStyle name="20% - Accent5 4 4 3 2 2" xfId="4043" xr:uid="{00000000-0005-0000-0000-0000C50F0000}"/>
    <cellStyle name="20% - Accent5 4 4 3 3" xfId="4044" xr:uid="{00000000-0005-0000-0000-0000C60F0000}"/>
    <cellStyle name="20% - Accent5 4 4 3 3 2" xfId="4045" xr:uid="{00000000-0005-0000-0000-0000C70F0000}"/>
    <cellStyle name="20% - Accent5 4 4 3 4" xfId="4046" xr:uid="{00000000-0005-0000-0000-0000C80F0000}"/>
    <cellStyle name="20% - Accent5 4 4 3 4 2" xfId="4047" xr:uid="{00000000-0005-0000-0000-0000C90F0000}"/>
    <cellStyle name="20% - Accent5 4 4 3 5" xfId="4048" xr:uid="{00000000-0005-0000-0000-0000CA0F0000}"/>
    <cellStyle name="20% - Accent5 4 4 3 5 2" xfId="4049" xr:uid="{00000000-0005-0000-0000-0000CB0F0000}"/>
    <cellStyle name="20% - Accent5 4 4 3 6" xfId="4050" xr:uid="{00000000-0005-0000-0000-0000CC0F0000}"/>
    <cellStyle name="20% - Accent5 4 4 4" xfId="4051" xr:uid="{00000000-0005-0000-0000-0000CD0F0000}"/>
    <cellStyle name="20% - Accent5 4 4 4 2" xfId="4052" xr:uid="{00000000-0005-0000-0000-0000CE0F0000}"/>
    <cellStyle name="20% - Accent5 4 4 4 2 2" xfId="4053" xr:uid="{00000000-0005-0000-0000-0000CF0F0000}"/>
    <cellStyle name="20% - Accent5 4 4 4 3" xfId="4054" xr:uid="{00000000-0005-0000-0000-0000D00F0000}"/>
    <cellStyle name="20% - Accent5 4 4 5" xfId="4055" xr:uid="{00000000-0005-0000-0000-0000D10F0000}"/>
    <cellStyle name="20% - Accent5 4 4 5 2" xfId="4056" xr:uid="{00000000-0005-0000-0000-0000D20F0000}"/>
    <cellStyle name="20% - Accent5 4 4 6" xfId="4057" xr:uid="{00000000-0005-0000-0000-0000D30F0000}"/>
    <cellStyle name="20% - Accent5 4 4 6 2" xfId="4058" xr:uid="{00000000-0005-0000-0000-0000D40F0000}"/>
    <cellStyle name="20% - Accent5 4 4 7" xfId="4059" xr:uid="{00000000-0005-0000-0000-0000D50F0000}"/>
    <cellStyle name="20% - Accent5 4 4 7 2" xfId="4060" xr:uid="{00000000-0005-0000-0000-0000D60F0000}"/>
    <cellStyle name="20% - Accent5 4 4 8" xfId="4061" xr:uid="{00000000-0005-0000-0000-0000D70F0000}"/>
    <cellStyle name="20% - Accent5 4 5" xfId="4062" xr:uid="{00000000-0005-0000-0000-0000D80F0000}"/>
    <cellStyle name="20% - Accent5 4 5 2" xfId="4063" xr:uid="{00000000-0005-0000-0000-0000D90F0000}"/>
    <cellStyle name="20% - Accent5 4 5 2 2" xfId="4064" xr:uid="{00000000-0005-0000-0000-0000DA0F0000}"/>
    <cellStyle name="20% - Accent5 4 5 2 2 2" xfId="4065" xr:uid="{00000000-0005-0000-0000-0000DB0F0000}"/>
    <cellStyle name="20% - Accent5 4 5 2 2 2 2" xfId="4066" xr:uid="{00000000-0005-0000-0000-0000DC0F0000}"/>
    <cellStyle name="20% - Accent5 4 5 2 2 3" xfId="4067" xr:uid="{00000000-0005-0000-0000-0000DD0F0000}"/>
    <cellStyle name="20% - Accent5 4 5 2 2 3 2" xfId="4068" xr:uid="{00000000-0005-0000-0000-0000DE0F0000}"/>
    <cellStyle name="20% - Accent5 4 5 2 2 4" xfId="4069" xr:uid="{00000000-0005-0000-0000-0000DF0F0000}"/>
    <cellStyle name="20% - Accent5 4 5 2 3" xfId="4070" xr:uid="{00000000-0005-0000-0000-0000E00F0000}"/>
    <cellStyle name="20% - Accent5 4 5 2 3 2" xfId="4071" xr:uid="{00000000-0005-0000-0000-0000E10F0000}"/>
    <cellStyle name="20% - Accent5 4 5 2 4" xfId="4072" xr:uid="{00000000-0005-0000-0000-0000E20F0000}"/>
    <cellStyle name="20% - Accent5 4 5 2 4 2" xfId="4073" xr:uid="{00000000-0005-0000-0000-0000E30F0000}"/>
    <cellStyle name="20% - Accent5 4 5 2 5" xfId="4074" xr:uid="{00000000-0005-0000-0000-0000E40F0000}"/>
    <cellStyle name="20% - Accent5 4 5 2 5 2" xfId="4075" xr:uid="{00000000-0005-0000-0000-0000E50F0000}"/>
    <cellStyle name="20% - Accent5 4 5 2 6" xfId="4076" xr:uid="{00000000-0005-0000-0000-0000E60F0000}"/>
    <cellStyle name="20% - Accent5 4 5 2 6 2" xfId="4077" xr:uid="{00000000-0005-0000-0000-0000E70F0000}"/>
    <cellStyle name="20% - Accent5 4 5 2 7" xfId="4078" xr:uid="{00000000-0005-0000-0000-0000E80F0000}"/>
    <cellStyle name="20% - Accent5 4 5 3" xfId="4079" xr:uid="{00000000-0005-0000-0000-0000E90F0000}"/>
    <cellStyle name="20% - Accent5 4 5 3 2" xfId="4080" xr:uid="{00000000-0005-0000-0000-0000EA0F0000}"/>
    <cellStyle name="20% - Accent5 4 5 3 2 2" xfId="4081" xr:uid="{00000000-0005-0000-0000-0000EB0F0000}"/>
    <cellStyle name="20% - Accent5 4 5 3 3" xfId="4082" xr:uid="{00000000-0005-0000-0000-0000EC0F0000}"/>
    <cellStyle name="20% - Accent5 4 5 3 3 2" xfId="4083" xr:uid="{00000000-0005-0000-0000-0000ED0F0000}"/>
    <cellStyle name="20% - Accent5 4 5 3 4" xfId="4084" xr:uid="{00000000-0005-0000-0000-0000EE0F0000}"/>
    <cellStyle name="20% - Accent5 4 5 3 4 2" xfId="4085" xr:uid="{00000000-0005-0000-0000-0000EF0F0000}"/>
    <cellStyle name="20% - Accent5 4 5 3 5" xfId="4086" xr:uid="{00000000-0005-0000-0000-0000F00F0000}"/>
    <cellStyle name="20% - Accent5 4 5 3 5 2" xfId="4087" xr:uid="{00000000-0005-0000-0000-0000F10F0000}"/>
    <cellStyle name="20% - Accent5 4 5 3 6" xfId="4088" xr:uid="{00000000-0005-0000-0000-0000F20F0000}"/>
    <cellStyle name="20% - Accent5 4 5 4" xfId="4089" xr:uid="{00000000-0005-0000-0000-0000F30F0000}"/>
    <cellStyle name="20% - Accent5 4 5 4 2" xfId="4090" xr:uid="{00000000-0005-0000-0000-0000F40F0000}"/>
    <cellStyle name="20% - Accent5 4 5 4 2 2" xfId="4091" xr:uid="{00000000-0005-0000-0000-0000F50F0000}"/>
    <cellStyle name="20% - Accent5 4 5 4 3" xfId="4092" xr:uid="{00000000-0005-0000-0000-0000F60F0000}"/>
    <cellStyle name="20% - Accent5 4 5 5" xfId="4093" xr:uid="{00000000-0005-0000-0000-0000F70F0000}"/>
    <cellStyle name="20% - Accent5 4 5 5 2" xfId="4094" xr:uid="{00000000-0005-0000-0000-0000F80F0000}"/>
    <cellStyle name="20% - Accent5 4 5 6" xfId="4095" xr:uid="{00000000-0005-0000-0000-0000F90F0000}"/>
    <cellStyle name="20% - Accent5 4 5 6 2" xfId="4096" xr:uid="{00000000-0005-0000-0000-0000FA0F0000}"/>
    <cellStyle name="20% - Accent5 4 5 7" xfId="4097" xr:uid="{00000000-0005-0000-0000-0000FB0F0000}"/>
    <cellStyle name="20% - Accent5 4 5 7 2" xfId="4098" xr:uid="{00000000-0005-0000-0000-0000FC0F0000}"/>
    <cellStyle name="20% - Accent5 4 5 8" xfId="4099" xr:uid="{00000000-0005-0000-0000-0000FD0F0000}"/>
    <cellStyle name="20% - Accent5 4 6" xfId="4100" xr:uid="{00000000-0005-0000-0000-0000FE0F0000}"/>
    <cellStyle name="20% - Accent5 4 6 2" xfId="4101" xr:uid="{00000000-0005-0000-0000-0000FF0F0000}"/>
    <cellStyle name="20% - Accent5 4 6 2 2" xfId="4102" xr:uid="{00000000-0005-0000-0000-000000100000}"/>
    <cellStyle name="20% - Accent5 4 6 2 2 2" xfId="4103" xr:uid="{00000000-0005-0000-0000-000001100000}"/>
    <cellStyle name="20% - Accent5 4 6 2 3" xfId="4104" xr:uid="{00000000-0005-0000-0000-000002100000}"/>
    <cellStyle name="20% - Accent5 4 6 2 3 2" xfId="4105" xr:uid="{00000000-0005-0000-0000-000003100000}"/>
    <cellStyle name="20% - Accent5 4 6 2 4" xfId="4106" xr:uid="{00000000-0005-0000-0000-000004100000}"/>
    <cellStyle name="20% - Accent5 4 6 3" xfId="4107" xr:uid="{00000000-0005-0000-0000-000005100000}"/>
    <cellStyle name="20% - Accent5 4 6 3 2" xfId="4108" xr:uid="{00000000-0005-0000-0000-000006100000}"/>
    <cellStyle name="20% - Accent5 4 6 4" xfId="4109" xr:uid="{00000000-0005-0000-0000-000007100000}"/>
    <cellStyle name="20% - Accent5 4 6 4 2" xfId="4110" xr:uid="{00000000-0005-0000-0000-000008100000}"/>
    <cellStyle name="20% - Accent5 4 6 5" xfId="4111" xr:uid="{00000000-0005-0000-0000-000009100000}"/>
    <cellStyle name="20% - Accent5 4 6 5 2" xfId="4112" xr:uid="{00000000-0005-0000-0000-00000A100000}"/>
    <cellStyle name="20% - Accent5 4 6 6" xfId="4113" xr:uid="{00000000-0005-0000-0000-00000B100000}"/>
    <cellStyle name="20% - Accent5 4 6 6 2" xfId="4114" xr:uid="{00000000-0005-0000-0000-00000C100000}"/>
    <cellStyle name="20% - Accent5 4 6 7" xfId="4115" xr:uid="{00000000-0005-0000-0000-00000D100000}"/>
    <cellStyle name="20% - Accent5 4 7" xfId="4116" xr:uid="{00000000-0005-0000-0000-00000E100000}"/>
    <cellStyle name="20% - Accent5 4 7 2" xfId="4117" xr:uid="{00000000-0005-0000-0000-00000F100000}"/>
    <cellStyle name="20% - Accent5 4 7 2 2" xfId="4118" xr:uid="{00000000-0005-0000-0000-000010100000}"/>
    <cellStyle name="20% - Accent5 4 7 3" xfId="4119" xr:uid="{00000000-0005-0000-0000-000011100000}"/>
    <cellStyle name="20% - Accent5 4 7 3 2" xfId="4120" xr:uid="{00000000-0005-0000-0000-000012100000}"/>
    <cellStyle name="20% - Accent5 4 7 4" xfId="4121" xr:uid="{00000000-0005-0000-0000-000013100000}"/>
    <cellStyle name="20% - Accent5 4 7 4 2" xfId="4122" xr:uid="{00000000-0005-0000-0000-000014100000}"/>
    <cellStyle name="20% - Accent5 4 7 5" xfId="4123" xr:uid="{00000000-0005-0000-0000-000015100000}"/>
    <cellStyle name="20% - Accent5 4 7 5 2" xfId="4124" xr:uid="{00000000-0005-0000-0000-000016100000}"/>
    <cellStyle name="20% - Accent5 4 7 6" xfId="4125" xr:uid="{00000000-0005-0000-0000-000017100000}"/>
    <cellStyle name="20% - Accent5 4 8" xfId="4126" xr:uid="{00000000-0005-0000-0000-000018100000}"/>
    <cellStyle name="20% - Accent5 4 8 2" xfId="4127" xr:uid="{00000000-0005-0000-0000-000019100000}"/>
    <cellStyle name="20% - Accent5 4 8 2 2" xfId="4128" xr:uid="{00000000-0005-0000-0000-00001A100000}"/>
    <cellStyle name="20% - Accent5 4 8 3" xfId="4129" xr:uid="{00000000-0005-0000-0000-00001B100000}"/>
    <cellStyle name="20% - Accent5 4 8 3 2" xfId="4130" xr:uid="{00000000-0005-0000-0000-00001C100000}"/>
    <cellStyle name="20% - Accent5 4 8 4" xfId="4131" xr:uid="{00000000-0005-0000-0000-00001D100000}"/>
    <cellStyle name="20% - Accent5 4 9" xfId="4132" xr:uid="{00000000-0005-0000-0000-00001E100000}"/>
    <cellStyle name="20% - Accent5 4 9 2" xfId="4133" xr:uid="{00000000-0005-0000-0000-00001F100000}"/>
    <cellStyle name="20% - Accent5 4 9 2 2" xfId="4134" xr:uid="{00000000-0005-0000-0000-000020100000}"/>
    <cellStyle name="20% - Accent5 4 9 3" xfId="4135" xr:uid="{00000000-0005-0000-0000-000021100000}"/>
    <cellStyle name="20% - Accent5 5" xfId="4136" xr:uid="{00000000-0005-0000-0000-000022100000}"/>
    <cellStyle name="20% - Accent5 5 2" xfId="4137" xr:uid="{00000000-0005-0000-0000-000023100000}"/>
    <cellStyle name="20% - Accent5 6" xfId="4138" xr:uid="{00000000-0005-0000-0000-000024100000}"/>
    <cellStyle name="20% - Accent5 6 10" xfId="4139" xr:uid="{00000000-0005-0000-0000-000025100000}"/>
    <cellStyle name="20% - Accent5 6 10 2" xfId="4140" xr:uid="{00000000-0005-0000-0000-000026100000}"/>
    <cellStyle name="20% - Accent5 6 11" xfId="4141" xr:uid="{00000000-0005-0000-0000-000027100000}"/>
    <cellStyle name="20% - Accent5 6 2" xfId="4142" xr:uid="{00000000-0005-0000-0000-000028100000}"/>
    <cellStyle name="20% - Accent5 6 2 10" xfId="4143" xr:uid="{00000000-0005-0000-0000-000029100000}"/>
    <cellStyle name="20% - Accent5 6 2 2" xfId="4144" xr:uid="{00000000-0005-0000-0000-00002A100000}"/>
    <cellStyle name="20% - Accent5 6 2 2 2" xfId="4145" xr:uid="{00000000-0005-0000-0000-00002B100000}"/>
    <cellStyle name="20% - Accent5 6 2 2 2 2" xfId="4146" xr:uid="{00000000-0005-0000-0000-00002C100000}"/>
    <cellStyle name="20% - Accent5 6 2 2 2 2 2" xfId="4147" xr:uid="{00000000-0005-0000-0000-00002D100000}"/>
    <cellStyle name="20% - Accent5 6 2 2 2 2 2 2" xfId="4148" xr:uid="{00000000-0005-0000-0000-00002E100000}"/>
    <cellStyle name="20% - Accent5 6 2 2 2 2 3" xfId="4149" xr:uid="{00000000-0005-0000-0000-00002F100000}"/>
    <cellStyle name="20% - Accent5 6 2 2 2 2 3 2" xfId="4150" xr:uid="{00000000-0005-0000-0000-000030100000}"/>
    <cellStyle name="20% - Accent5 6 2 2 2 2 4" xfId="4151" xr:uid="{00000000-0005-0000-0000-000031100000}"/>
    <cellStyle name="20% - Accent5 6 2 2 2 3" xfId="4152" xr:uid="{00000000-0005-0000-0000-000032100000}"/>
    <cellStyle name="20% - Accent5 6 2 2 2 3 2" xfId="4153" xr:uid="{00000000-0005-0000-0000-000033100000}"/>
    <cellStyle name="20% - Accent5 6 2 2 2 4" xfId="4154" xr:uid="{00000000-0005-0000-0000-000034100000}"/>
    <cellStyle name="20% - Accent5 6 2 2 2 4 2" xfId="4155" xr:uid="{00000000-0005-0000-0000-000035100000}"/>
    <cellStyle name="20% - Accent5 6 2 2 2 5" xfId="4156" xr:uid="{00000000-0005-0000-0000-000036100000}"/>
    <cellStyle name="20% - Accent5 6 2 2 2 5 2" xfId="4157" xr:uid="{00000000-0005-0000-0000-000037100000}"/>
    <cellStyle name="20% - Accent5 6 2 2 2 6" xfId="4158" xr:uid="{00000000-0005-0000-0000-000038100000}"/>
    <cellStyle name="20% - Accent5 6 2 2 2 6 2" xfId="4159" xr:uid="{00000000-0005-0000-0000-000039100000}"/>
    <cellStyle name="20% - Accent5 6 2 2 2 7" xfId="4160" xr:uid="{00000000-0005-0000-0000-00003A100000}"/>
    <cellStyle name="20% - Accent5 6 2 2 3" xfId="4161" xr:uid="{00000000-0005-0000-0000-00003B100000}"/>
    <cellStyle name="20% - Accent5 6 2 2 3 2" xfId="4162" xr:uid="{00000000-0005-0000-0000-00003C100000}"/>
    <cellStyle name="20% - Accent5 6 2 2 3 2 2" xfId="4163" xr:uid="{00000000-0005-0000-0000-00003D100000}"/>
    <cellStyle name="20% - Accent5 6 2 2 3 3" xfId="4164" xr:uid="{00000000-0005-0000-0000-00003E100000}"/>
    <cellStyle name="20% - Accent5 6 2 2 3 3 2" xfId="4165" xr:uid="{00000000-0005-0000-0000-00003F100000}"/>
    <cellStyle name="20% - Accent5 6 2 2 3 4" xfId="4166" xr:uid="{00000000-0005-0000-0000-000040100000}"/>
    <cellStyle name="20% - Accent5 6 2 2 3 4 2" xfId="4167" xr:uid="{00000000-0005-0000-0000-000041100000}"/>
    <cellStyle name="20% - Accent5 6 2 2 3 5" xfId="4168" xr:uid="{00000000-0005-0000-0000-000042100000}"/>
    <cellStyle name="20% - Accent5 6 2 2 3 5 2" xfId="4169" xr:uid="{00000000-0005-0000-0000-000043100000}"/>
    <cellStyle name="20% - Accent5 6 2 2 3 6" xfId="4170" xr:uid="{00000000-0005-0000-0000-000044100000}"/>
    <cellStyle name="20% - Accent5 6 2 2 4" xfId="4171" xr:uid="{00000000-0005-0000-0000-000045100000}"/>
    <cellStyle name="20% - Accent5 6 2 2 4 2" xfId="4172" xr:uid="{00000000-0005-0000-0000-000046100000}"/>
    <cellStyle name="20% - Accent5 6 2 2 4 2 2" xfId="4173" xr:uid="{00000000-0005-0000-0000-000047100000}"/>
    <cellStyle name="20% - Accent5 6 2 2 4 3" xfId="4174" xr:uid="{00000000-0005-0000-0000-000048100000}"/>
    <cellStyle name="20% - Accent5 6 2 2 5" xfId="4175" xr:uid="{00000000-0005-0000-0000-000049100000}"/>
    <cellStyle name="20% - Accent5 6 2 2 5 2" xfId="4176" xr:uid="{00000000-0005-0000-0000-00004A100000}"/>
    <cellStyle name="20% - Accent5 6 2 2 6" xfId="4177" xr:uid="{00000000-0005-0000-0000-00004B100000}"/>
    <cellStyle name="20% - Accent5 6 2 2 6 2" xfId="4178" xr:uid="{00000000-0005-0000-0000-00004C100000}"/>
    <cellStyle name="20% - Accent5 6 2 2 7" xfId="4179" xr:uid="{00000000-0005-0000-0000-00004D100000}"/>
    <cellStyle name="20% - Accent5 6 2 2 7 2" xfId="4180" xr:uid="{00000000-0005-0000-0000-00004E100000}"/>
    <cellStyle name="20% - Accent5 6 2 2 8" xfId="4181" xr:uid="{00000000-0005-0000-0000-00004F100000}"/>
    <cellStyle name="20% - Accent5 6 2 3" xfId="4182" xr:uid="{00000000-0005-0000-0000-000050100000}"/>
    <cellStyle name="20% - Accent5 6 2 3 2" xfId="4183" xr:uid="{00000000-0005-0000-0000-000051100000}"/>
    <cellStyle name="20% - Accent5 6 2 3 2 2" xfId="4184" xr:uid="{00000000-0005-0000-0000-000052100000}"/>
    <cellStyle name="20% - Accent5 6 2 3 2 2 2" xfId="4185" xr:uid="{00000000-0005-0000-0000-000053100000}"/>
    <cellStyle name="20% - Accent5 6 2 3 2 2 2 2" xfId="4186" xr:uid="{00000000-0005-0000-0000-000054100000}"/>
    <cellStyle name="20% - Accent5 6 2 3 2 2 3" xfId="4187" xr:uid="{00000000-0005-0000-0000-000055100000}"/>
    <cellStyle name="20% - Accent5 6 2 3 2 2 3 2" xfId="4188" xr:uid="{00000000-0005-0000-0000-000056100000}"/>
    <cellStyle name="20% - Accent5 6 2 3 2 2 4" xfId="4189" xr:uid="{00000000-0005-0000-0000-000057100000}"/>
    <cellStyle name="20% - Accent5 6 2 3 2 3" xfId="4190" xr:uid="{00000000-0005-0000-0000-000058100000}"/>
    <cellStyle name="20% - Accent5 6 2 3 2 3 2" xfId="4191" xr:uid="{00000000-0005-0000-0000-000059100000}"/>
    <cellStyle name="20% - Accent5 6 2 3 2 4" xfId="4192" xr:uid="{00000000-0005-0000-0000-00005A100000}"/>
    <cellStyle name="20% - Accent5 6 2 3 2 4 2" xfId="4193" xr:uid="{00000000-0005-0000-0000-00005B100000}"/>
    <cellStyle name="20% - Accent5 6 2 3 2 5" xfId="4194" xr:uid="{00000000-0005-0000-0000-00005C100000}"/>
    <cellStyle name="20% - Accent5 6 2 3 2 5 2" xfId="4195" xr:uid="{00000000-0005-0000-0000-00005D100000}"/>
    <cellStyle name="20% - Accent5 6 2 3 2 6" xfId="4196" xr:uid="{00000000-0005-0000-0000-00005E100000}"/>
    <cellStyle name="20% - Accent5 6 2 3 2 6 2" xfId="4197" xr:uid="{00000000-0005-0000-0000-00005F100000}"/>
    <cellStyle name="20% - Accent5 6 2 3 2 7" xfId="4198" xr:uid="{00000000-0005-0000-0000-000060100000}"/>
    <cellStyle name="20% - Accent5 6 2 3 3" xfId="4199" xr:uid="{00000000-0005-0000-0000-000061100000}"/>
    <cellStyle name="20% - Accent5 6 2 3 3 2" xfId="4200" xr:uid="{00000000-0005-0000-0000-000062100000}"/>
    <cellStyle name="20% - Accent5 6 2 3 3 2 2" xfId="4201" xr:uid="{00000000-0005-0000-0000-000063100000}"/>
    <cellStyle name="20% - Accent5 6 2 3 3 3" xfId="4202" xr:uid="{00000000-0005-0000-0000-000064100000}"/>
    <cellStyle name="20% - Accent5 6 2 3 3 3 2" xfId="4203" xr:uid="{00000000-0005-0000-0000-000065100000}"/>
    <cellStyle name="20% - Accent5 6 2 3 3 4" xfId="4204" xr:uid="{00000000-0005-0000-0000-000066100000}"/>
    <cellStyle name="20% - Accent5 6 2 3 3 4 2" xfId="4205" xr:uid="{00000000-0005-0000-0000-000067100000}"/>
    <cellStyle name="20% - Accent5 6 2 3 3 5" xfId="4206" xr:uid="{00000000-0005-0000-0000-000068100000}"/>
    <cellStyle name="20% - Accent5 6 2 3 3 5 2" xfId="4207" xr:uid="{00000000-0005-0000-0000-000069100000}"/>
    <cellStyle name="20% - Accent5 6 2 3 3 6" xfId="4208" xr:uid="{00000000-0005-0000-0000-00006A100000}"/>
    <cellStyle name="20% - Accent5 6 2 3 4" xfId="4209" xr:uid="{00000000-0005-0000-0000-00006B100000}"/>
    <cellStyle name="20% - Accent5 6 2 3 4 2" xfId="4210" xr:uid="{00000000-0005-0000-0000-00006C100000}"/>
    <cellStyle name="20% - Accent5 6 2 3 4 2 2" xfId="4211" xr:uid="{00000000-0005-0000-0000-00006D100000}"/>
    <cellStyle name="20% - Accent5 6 2 3 4 3" xfId="4212" xr:uid="{00000000-0005-0000-0000-00006E100000}"/>
    <cellStyle name="20% - Accent5 6 2 3 5" xfId="4213" xr:uid="{00000000-0005-0000-0000-00006F100000}"/>
    <cellStyle name="20% - Accent5 6 2 3 5 2" xfId="4214" xr:uid="{00000000-0005-0000-0000-000070100000}"/>
    <cellStyle name="20% - Accent5 6 2 3 6" xfId="4215" xr:uid="{00000000-0005-0000-0000-000071100000}"/>
    <cellStyle name="20% - Accent5 6 2 3 6 2" xfId="4216" xr:uid="{00000000-0005-0000-0000-000072100000}"/>
    <cellStyle name="20% - Accent5 6 2 3 7" xfId="4217" xr:uid="{00000000-0005-0000-0000-000073100000}"/>
    <cellStyle name="20% - Accent5 6 2 3 7 2" xfId="4218" xr:uid="{00000000-0005-0000-0000-000074100000}"/>
    <cellStyle name="20% - Accent5 6 2 3 8" xfId="4219" xr:uid="{00000000-0005-0000-0000-000075100000}"/>
    <cellStyle name="20% - Accent5 6 2 4" xfId="4220" xr:uid="{00000000-0005-0000-0000-000076100000}"/>
    <cellStyle name="20% - Accent5 6 2 4 2" xfId="4221" xr:uid="{00000000-0005-0000-0000-000077100000}"/>
    <cellStyle name="20% - Accent5 6 2 4 2 2" xfId="4222" xr:uid="{00000000-0005-0000-0000-000078100000}"/>
    <cellStyle name="20% - Accent5 6 2 4 2 2 2" xfId="4223" xr:uid="{00000000-0005-0000-0000-000079100000}"/>
    <cellStyle name="20% - Accent5 6 2 4 2 3" xfId="4224" xr:uid="{00000000-0005-0000-0000-00007A100000}"/>
    <cellStyle name="20% - Accent5 6 2 4 2 3 2" xfId="4225" xr:uid="{00000000-0005-0000-0000-00007B100000}"/>
    <cellStyle name="20% - Accent5 6 2 4 2 4" xfId="4226" xr:uid="{00000000-0005-0000-0000-00007C100000}"/>
    <cellStyle name="20% - Accent5 6 2 4 3" xfId="4227" xr:uid="{00000000-0005-0000-0000-00007D100000}"/>
    <cellStyle name="20% - Accent5 6 2 4 3 2" xfId="4228" xr:uid="{00000000-0005-0000-0000-00007E100000}"/>
    <cellStyle name="20% - Accent5 6 2 4 4" xfId="4229" xr:uid="{00000000-0005-0000-0000-00007F100000}"/>
    <cellStyle name="20% - Accent5 6 2 4 4 2" xfId="4230" xr:uid="{00000000-0005-0000-0000-000080100000}"/>
    <cellStyle name="20% - Accent5 6 2 4 5" xfId="4231" xr:uid="{00000000-0005-0000-0000-000081100000}"/>
    <cellStyle name="20% - Accent5 6 2 4 5 2" xfId="4232" xr:uid="{00000000-0005-0000-0000-000082100000}"/>
    <cellStyle name="20% - Accent5 6 2 4 6" xfId="4233" xr:uid="{00000000-0005-0000-0000-000083100000}"/>
    <cellStyle name="20% - Accent5 6 2 4 6 2" xfId="4234" xr:uid="{00000000-0005-0000-0000-000084100000}"/>
    <cellStyle name="20% - Accent5 6 2 4 7" xfId="4235" xr:uid="{00000000-0005-0000-0000-000085100000}"/>
    <cellStyle name="20% - Accent5 6 2 5" xfId="4236" xr:uid="{00000000-0005-0000-0000-000086100000}"/>
    <cellStyle name="20% - Accent5 6 2 5 2" xfId="4237" xr:uid="{00000000-0005-0000-0000-000087100000}"/>
    <cellStyle name="20% - Accent5 6 2 5 2 2" xfId="4238" xr:uid="{00000000-0005-0000-0000-000088100000}"/>
    <cellStyle name="20% - Accent5 6 2 5 3" xfId="4239" xr:uid="{00000000-0005-0000-0000-000089100000}"/>
    <cellStyle name="20% - Accent5 6 2 5 3 2" xfId="4240" xr:uid="{00000000-0005-0000-0000-00008A100000}"/>
    <cellStyle name="20% - Accent5 6 2 5 4" xfId="4241" xr:uid="{00000000-0005-0000-0000-00008B100000}"/>
    <cellStyle name="20% - Accent5 6 2 5 4 2" xfId="4242" xr:uid="{00000000-0005-0000-0000-00008C100000}"/>
    <cellStyle name="20% - Accent5 6 2 5 5" xfId="4243" xr:uid="{00000000-0005-0000-0000-00008D100000}"/>
    <cellStyle name="20% - Accent5 6 2 5 5 2" xfId="4244" xr:uid="{00000000-0005-0000-0000-00008E100000}"/>
    <cellStyle name="20% - Accent5 6 2 5 6" xfId="4245" xr:uid="{00000000-0005-0000-0000-00008F100000}"/>
    <cellStyle name="20% - Accent5 6 2 6" xfId="4246" xr:uid="{00000000-0005-0000-0000-000090100000}"/>
    <cellStyle name="20% - Accent5 6 2 6 2" xfId="4247" xr:uid="{00000000-0005-0000-0000-000091100000}"/>
    <cellStyle name="20% - Accent5 6 2 6 2 2" xfId="4248" xr:uid="{00000000-0005-0000-0000-000092100000}"/>
    <cellStyle name="20% - Accent5 6 2 6 3" xfId="4249" xr:uid="{00000000-0005-0000-0000-000093100000}"/>
    <cellStyle name="20% - Accent5 6 2 7" xfId="4250" xr:uid="{00000000-0005-0000-0000-000094100000}"/>
    <cellStyle name="20% - Accent5 6 2 7 2" xfId="4251" xr:uid="{00000000-0005-0000-0000-000095100000}"/>
    <cellStyle name="20% - Accent5 6 2 8" xfId="4252" xr:uid="{00000000-0005-0000-0000-000096100000}"/>
    <cellStyle name="20% - Accent5 6 2 8 2" xfId="4253" xr:uid="{00000000-0005-0000-0000-000097100000}"/>
    <cellStyle name="20% - Accent5 6 2 9" xfId="4254" xr:uid="{00000000-0005-0000-0000-000098100000}"/>
    <cellStyle name="20% - Accent5 6 2 9 2" xfId="4255" xr:uid="{00000000-0005-0000-0000-000099100000}"/>
    <cellStyle name="20% - Accent5 6 3" xfId="4256" xr:uid="{00000000-0005-0000-0000-00009A100000}"/>
    <cellStyle name="20% - Accent5 6 3 2" xfId="4257" xr:uid="{00000000-0005-0000-0000-00009B100000}"/>
    <cellStyle name="20% - Accent5 6 3 2 2" xfId="4258" xr:uid="{00000000-0005-0000-0000-00009C100000}"/>
    <cellStyle name="20% - Accent5 6 3 2 2 2" xfId="4259" xr:uid="{00000000-0005-0000-0000-00009D100000}"/>
    <cellStyle name="20% - Accent5 6 3 2 2 2 2" xfId="4260" xr:uid="{00000000-0005-0000-0000-00009E100000}"/>
    <cellStyle name="20% - Accent5 6 3 2 2 3" xfId="4261" xr:uid="{00000000-0005-0000-0000-00009F100000}"/>
    <cellStyle name="20% - Accent5 6 3 2 2 3 2" xfId="4262" xr:uid="{00000000-0005-0000-0000-0000A0100000}"/>
    <cellStyle name="20% - Accent5 6 3 2 2 4" xfId="4263" xr:uid="{00000000-0005-0000-0000-0000A1100000}"/>
    <cellStyle name="20% - Accent5 6 3 2 3" xfId="4264" xr:uid="{00000000-0005-0000-0000-0000A2100000}"/>
    <cellStyle name="20% - Accent5 6 3 2 3 2" xfId="4265" xr:uid="{00000000-0005-0000-0000-0000A3100000}"/>
    <cellStyle name="20% - Accent5 6 3 2 4" xfId="4266" xr:uid="{00000000-0005-0000-0000-0000A4100000}"/>
    <cellStyle name="20% - Accent5 6 3 2 4 2" xfId="4267" xr:uid="{00000000-0005-0000-0000-0000A5100000}"/>
    <cellStyle name="20% - Accent5 6 3 2 5" xfId="4268" xr:uid="{00000000-0005-0000-0000-0000A6100000}"/>
    <cellStyle name="20% - Accent5 6 3 2 5 2" xfId="4269" xr:uid="{00000000-0005-0000-0000-0000A7100000}"/>
    <cellStyle name="20% - Accent5 6 3 2 6" xfId="4270" xr:uid="{00000000-0005-0000-0000-0000A8100000}"/>
    <cellStyle name="20% - Accent5 6 3 2 6 2" xfId="4271" xr:uid="{00000000-0005-0000-0000-0000A9100000}"/>
    <cellStyle name="20% - Accent5 6 3 2 7" xfId="4272" xr:uid="{00000000-0005-0000-0000-0000AA100000}"/>
    <cellStyle name="20% - Accent5 6 3 3" xfId="4273" xr:uid="{00000000-0005-0000-0000-0000AB100000}"/>
    <cellStyle name="20% - Accent5 6 3 3 2" xfId="4274" xr:uid="{00000000-0005-0000-0000-0000AC100000}"/>
    <cellStyle name="20% - Accent5 6 3 3 2 2" xfId="4275" xr:uid="{00000000-0005-0000-0000-0000AD100000}"/>
    <cellStyle name="20% - Accent5 6 3 3 3" xfId="4276" xr:uid="{00000000-0005-0000-0000-0000AE100000}"/>
    <cellStyle name="20% - Accent5 6 3 3 3 2" xfId="4277" xr:uid="{00000000-0005-0000-0000-0000AF100000}"/>
    <cellStyle name="20% - Accent5 6 3 3 4" xfId="4278" xr:uid="{00000000-0005-0000-0000-0000B0100000}"/>
    <cellStyle name="20% - Accent5 6 3 3 4 2" xfId="4279" xr:uid="{00000000-0005-0000-0000-0000B1100000}"/>
    <cellStyle name="20% - Accent5 6 3 3 5" xfId="4280" xr:uid="{00000000-0005-0000-0000-0000B2100000}"/>
    <cellStyle name="20% - Accent5 6 3 3 5 2" xfId="4281" xr:uid="{00000000-0005-0000-0000-0000B3100000}"/>
    <cellStyle name="20% - Accent5 6 3 3 6" xfId="4282" xr:uid="{00000000-0005-0000-0000-0000B4100000}"/>
    <cellStyle name="20% - Accent5 6 3 4" xfId="4283" xr:uid="{00000000-0005-0000-0000-0000B5100000}"/>
    <cellStyle name="20% - Accent5 6 3 4 2" xfId="4284" xr:uid="{00000000-0005-0000-0000-0000B6100000}"/>
    <cellStyle name="20% - Accent5 6 3 4 2 2" xfId="4285" xr:uid="{00000000-0005-0000-0000-0000B7100000}"/>
    <cellStyle name="20% - Accent5 6 3 4 3" xfId="4286" xr:uid="{00000000-0005-0000-0000-0000B8100000}"/>
    <cellStyle name="20% - Accent5 6 3 5" xfId="4287" xr:uid="{00000000-0005-0000-0000-0000B9100000}"/>
    <cellStyle name="20% - Accent5 6 3 5 2" xfId="4288" xr:uid="{00000000-0005-0000-0000-0000BA100000}"/>
    <cellStyle name="20% - Accent5 6 3 6" xfId="4289" xr:uid="{00000000-0005-0000-0000-0000BB100000}"/>
    <cellStyle name="20% - Accent5 6 3 6 2" xfId="4290" xr:uid="{00000000-0005-0000-0000-0000BC100000}"/>
    <cellStyle name="20% - Accent5 6 3 7" xfId="4291" xr:uid="{00000000-0005-0000-0000-0000BD100000}"/>
    <cellStyle name="20% - Accent5 6 3 7 2" xfId="4292" xr:uid="{00000000-0005-0000-0000-0000BE100000}"/>
    <cellStyle name="20% - Accent5 6 3 8" xfId="4293" xr:uid="{00000000-0005-0000-0000-0000BF100000}"/>
    <cellStyle name="20% - Accent5 6 4" xfId="4294" xr:uid="{00000000-0005-0000-0000-0000C0100000}"/>
    <cellStyle name="20% - Accent5 6 4 2" xfId="4295" xr:uid="{00000000-0005-0000-0000-0000C1100000}"/>
    <cellStyle name="20% - Accent5 6 4 2 2" xfId="4296" xr:uid="{00000000-0005-0000-0000-0000C2100000}"/>
    <cellStyle name="20% - Accent5 6 4 2 2 2" xfId="4297" xr:uid="{00000000-0005-0000-0000-0000C3100000}"/>
    <cellStyle name="20% - Accent5 6 4 2 2 2 2" xfId="4298" xr:uid="{00000000-0005-0000-0000-0000C4100000}"/>
    <cellStyle name="20% - Accent5 6 4 2 2 3" xfId="4299" xr:uid="{00000000-0005-0000-0000-0000C5100000}"/>
    <cellStyle name="20% - Accent5 6 4 2 2 3 2" xfId="4300" xr:uid="{00000000-0005-0000-0000-0000C6100000}"/>
    <cellStyle name="20% - Accent5 6 4 2 2 4" xfId="4301" xr:uid="{00000000-0005-0000-0000-0000C7100000}"/>
    <cellStyle name="20% - Accent5 6 4 2 3" xfId="4302" xr:uid="{00000000-0005-0000-0000-0000C8100000}"/>
    <cellStyle name="20% - Accent5 6 4 2 3 2" xfId="4303" xr:uid="{00000000-0005-0000-0000-0000C9100000}"/>
    <cellStyle name="20% - Accent5 6 4 2 4" xfId="4304" xr:uid="{00000000-0005-0000-0000-0000CA100000}"/>
    <cellStyle name="20% - Accent5 6 4 2 4 2" xfId="4305" xr:uid="{00000000-0005-0000-0000-0000CB100000}"/>
    <cellStyle name="20% - Accent5 6 4 2 5" xfId="4306" xr:uid="{00000000-0005-0000-0000-0000CC100000}"/>
    <cellStyle name="20% - Accent5 6 4 2 5 2" xfId="4307" xr:uid="{00000000-0005-0000-0000-0000CD100000}"/>
    <cellStyle name="20% - Accent5 6 4 2 6" xfId="4308" xr:uid="{00000000-0005-0000-0000-0000CE100000}"/>
    <cellStyle name="20% - Accent5 6 4 2 6 2" xfId="4309" xr:uid="{00000000-0005-0000-0000-0000CF100000}"/>
    <cellStyle name="20% - Accent5 6 4 2 7" xfId="4310" xr:uid="{00000000-0005-0000-0000-0000D0100000}"/>
    <cellStyle name="20% - Accent5 6 4 3" xfId="4311" xr:uid="{00000000-0005-0000-0000-0000D1100000}"/>
    <cellStyle name="20% - Accent5 6 4 3 2" xfId="4312" xr:uid="{00000000-0005-0000-0000-0000D2100000}"/>
    <cellStyle name="20% - Accent5 6 4 3 2 2" xfId="4313" xr:uid="{00000000-0005-0000-0000-0000D3100000}"/>
    <cellStyle name="20% - Accent5 6 4 3 3" xfId="4314" xr:uid="{00000000-0005-0000-0000-0000D4100000}"/>
    <cellStyle name="20% - Accent5 6 4 3 3 2" xfId="4315" xr:uid="{00000000-0005-0000-0000-0000D5100000}"/>
    <cellStyle name="20% - Accent5 6 4 3 4" xfId="4316" xr:uid="{00000000-0005-0000-0000-0000D6100000}"/>
    <cellStyle name="20% - Accent5 6 4 3 4 2" xfId="4317" xr:uid="{00000000-0005-0000-0000-0000D7100000}"/>
    <cellStyle name="20% - Accent5 6 4 3 5" xfId="4318" xr:uid="{00000000-0005-0000-0000-0000D8100000}"/>
    <cellStyle name="20% - Accent5 6 4 3 5 2" xfId="4319" xr:uid="{00000000-0005-0000-0000-0000D9100000}"/>
    <cellStyle name="20% - Accent5 6 4 3 6" xfId="4320" xr:uid="{00000000-0005-0000-0000-0000DA100000}"/>
    <cellStyle name="20% - Accent5 6 4 4" xfId="4321" xr:uid="{00000000-0005-0000-0000-0000DB100000}"/>
    <cellStyle name="20% - Accent5 6 4 4 2" xfId="4322" xr:uid="{00000000-0005-0000-0000-0000DC100000}"/>
    <cellStyle name="20% - Accent5 6 4 4 2 2" xfId="4323" xr:uid="{00000000-0005-0000-0000-0000DD100000}"/>
    <cellStyle name="20% - Accent5 6 4 4 3" xfId="4324" xr:uid="{00000000-0005-0000-0000-0000DE100000}"/>
    <cellStyle name="20% - Accent5 6 4 5" xfId="4325" xr:uid="{00000000-0005-0000-0000-0000DF100000}"/>
    <cellStyle name="20% - Accent5 6 4 5 2" xfId="4326" xr:uid="{00000000-0005-0000-0000-0000E0100000}"/>
    <cellStyle name="20% - Accent5 6 4 6" xfId="4327" xr:uid="{00000000-0005-0000-0000-0000E1100000}"/>
    <cellStyle name="20% - Accent5 6 4 6 2" xfId="4328" xr:uid="{00000000-0005-0000-0000-0000E2100000}"/>
    <cellStyle name="20% - Accent5 6 4 7" xfId="4329" xr:uid="{00000000-0005-0000-0000-0000E3100000}"/>
    <cellStyle name="20% - Accent5 6 4 7 2" xfId="4330" xr:uid="{00000000-0005-0000-0000-0000E4100000}"/>
    <cellStyle name="20% - Accent5 6 4 8" xfId="4331" xr:uid="{00000000-0005-0000-0000-0000E5100000}"/>
    <cellStyle name="20% - Accent5 6 5" xfId="4332" xr:uid="{00000000-0005-0000-0000-0000E6100000}"/>
    <cellStyle name="20% - Accent5 6 5 2" xfId="4333" xr:uid="{00000000-0005-0000-0000-0000E7100000}"/>
    <cellStyle name="20% - Accent5 6 5 2 2" xfId="4334" xr:uid="{00000000-0005-0000-0000-0000E8100000}"/>
    <cellStyle name="20% - Accent5 6 5 2 2 2" xfId="4335" xr:uid="{00000000-0005-0000-0000-0000E9100000}"/>
    <cellStyle name="20% - Accent5 6 5 2 3" xfId="4336" xr:uid="{00000000-0005-0000-0000-0000EA100000}"/>
    <cellStyle name="20% - Accent5 6 5 2 3 2" xfId="4337" xr:uid="{00000000-0005-0000-0000-0000EB100000}"/>
    <cellStyle name="20% - Accent5 6 5 2 4" xfId="4338" xr:uid="{00000000-0005-0000-0000-0000EC100000}"/>
    <cellStyle name="20% - Accent5 6 5 3" xfId="4339" xr:uid="{00000000-0005-0000-0000-0000ED100000}"/>
    <cellStyle name="20% - Accent5 6 5 3 2" xfId="4340" xr:uid="{00000000-0005-0000-0000-0000EE100000}"/>
    <cellStyle name="20% - Accent5 6 5 4" xfId="4341" xr:uid="{00000000-0005-0000-0000-0000EF100000}"/>
    <cellStyle name="20% - Accent5 6 5 4 2" xfId="4342" xr:uid="{00000000-0005-0000-0000-0000F0100000}"/>
    <cellStyle name="20% - Accent5 6 5 5" xfId="4343" xr:uid="{00000000-0005-0000-0000-0000F1100000}"/>
    <cellStyle name="20% - Accent5 6 5 5 2" xfId="4344" xr:uid="{00000000-0005-0000-0000-0000F2100000}"/>
    <cellStyle name="20% - Accent5 6 5 6" xfId="4345" xr:uid="{00000000-0005-0000-0000-0000F3100000}"/>
    <cellStyle name="20% - Accent5 6 5 6 2" xfId="4346" xr:uid="{00000000-0005-0000-0000-0000F4100000}"/>
    <cellStyle name="20% - Accent5 6 5 7" xfId="4347" xr:uid="{00000000-0005-0000-0000-0000F5100000}"/>
    <cellStyle name="20% - Accent5 6 6" xfId="4348" xr:uid="{00000000-0005-0000-0000-0000F6100000}"/>
    <cellStyle name="20% - Accent5 6 6 2" xfId="4349" xr:uid="{00000000-0005-0000-0000-0000F7100000}"/>
    <cellStyle name="20% - Accent5 6 6 2 2" xfId="4350" xr:uid="{00000000-0005-0000-0000-0000F8100000}"/>
    <cellStyle name="20% - Accent5 6 6 3" xfId="4351" xr:uid="{00000000-0005-0000-0000-0000F9100000}"/>
    <cellStyle name="20% - Accent5 6 6 3 2" xfId="4352" xr:uid="{00000000-0005-0000-0000-0000FA100000}"/>
    <cellStyle name="20% - Accent5 6 6 4" xfId="4353" xr:uid="{00000000-0005-0000-0000-0000FB100000}"/>
    <cellStyle name="20% - Accent5 6 6 4 2" xfId="4354" xr:uid="{00000000-0005-0000-0000-0000FC100000}"/>
    <cellStyle name="20% - Accent5 6 6 5" xfId="4355" xr:uid="{00000000-0005-0000-0000-0000FD100000}"/>
    <cellStyle name="20% - Accent5 6 6 5 2" xfId="4356" xr:uid="{00000000-0005-0000-0000-0000FE100000}"/>
    <cellStyle name="20% - Accent5 6 6 6" xfId="4357" xr:uid="{00000000-0005-0000-0000-0000FF100000}"/>
    <cellStyle name="20% - Accent5 6 7" xfId="4358" xr:uid="{00000000-0005-0000-0000-000000110000}"/>
    <cellStyle name="20% - Accent5 6 7 2" xfId="4359" xr:uid="{00000000-0005-0000-0000-000001110000}"/>
    <cellStyle name="20% - Accent5 6 7 2 2" xfId="4360" xr:uid="{00000000-0005-0000-0000-000002110000}"/>
    <cellStyle name="20% - Accent5 6 7 3" xfId="4361" xr:uid="{00000000-0005-0000-0000-000003110000}"/>
    <cellStyle name="20% - Accent5 6 8" xfId="4362" xr:uid="{00000000-0005-0000-0000-000004110000}"/>
    <cellStyle name="20% - Accent5 6 8 2" xfId="4363" xr:uid="{00000000-0005-0000-0000-000005110000}"/>
    <cellStyle name="20% - Accent5 6 9" xfId="4364" xr:uid="{00000000-0005-0000-0000-000006110000}"/>
    <cellStyle name="20% - Accent5 6 9 2" xfId="4365" xr:uid="{00000000-0005-0000-0000-000007110000}"/>
    <cellStyle name="20% - Accent5 7" xfId="4366" xr:uid="{00000000-0005-0000-0000-000008110000}"/>
    <cellStyle name="20% - Accent5 7 2" xfId="4367" xr:uid="{00000000-0005-0000-0000-000009110000}"/>
    <cellStyle name="20% - Accent5 8" xfId="4368" xr:uid="{00000000-0005-0000-0000-00000A110000}"/>
    <cellStyle name="20% - Accent5 8 2" xfId="4369" xr:uid="{00000000-0005-0000-0000-00000B110000}"/>
    <cellStyle name="20% - Accent5 8 2 2" xfId="4370" xr:uid="{00000000-0005-0000-0000-00000C110000}"/>
    <cellStyle name="20% - Accent5 8 2 2 2" xfId="4371" xr:uid="{00000000-0005-0000-0000-00000D110000}"/>
    <cellStyle name="20% - Accent5 8 2 2 2 2" xfId="4372" xr:uid="{00000000-0005-0000-0000-00000E110000}"/>
    <cellStyle name="20% - Accent5 8 2 2 2 2 2" xfId="4373" xr:uid="{00000000-0005-0000-0000-00000F110000}"/>
    <cellStyle name="20% - Accent5 8 2 2 2 3" xfId="4374" xr:uid="{00000000-0005-0000-0000-000010110000}"/>
    <cellStyle name="20% - Accent5 8 2 2 2 3 2" xfId="4375" xr:uid="{00000000-0005-0000-0000-000011110000}"/>
    <cellStyle name="20% - Accent5 8 2 2 2 4" xfId="4376" xr:uid="{00000000-0005-0000-0000-000012110000}"/>
    <cellStyle name="20% - Accent5 8 2 2 3" xfId="4377" xr:uid="{00000000-0005-0000-0000-000013110000}"/>
    <cellStyle name="20% - Accent5 8 2 2 3 2" xfId="4378" xr:uid="{00000000-0005-0000-0000-000014110000}"/>
    <cellStyle name="20% - Accent5 8 2 2 4" xfId="4379" xr:uid="{00000000-0005-0000-0000-000015110000}"/>
    <cellStyle name="20% - Accent5 8 2 2 4 2" xfId="4380" xr:uid="{00000000-0005-0000-0000-000016110000}"/>
    <cellStyle name="20% - Accent5 8 2 2 5" xfId="4381" xr:uid="{00000000-0005-0000-0000-000017110000}"/>
    <cellStyle name="20% - Accent5 8 2 2 5 2" xfId="4382" xr:uid="{00000000-0005-0000-0000-000018110000}"/>
    <cellStyle name="20% - Accent5 8 2 2 6" xfId="4383" xr:uid="{00000000-0005-0000-0000-000019110000}"/>
    <cellStyle name="20% - Accent5 8 2 2 6 2" xfId="4384" xr:uid="{00000000-0005-0000-0000-00001A110000}"/>
    <cellStyle name="20% - Accent5 8 2 2 7" xfId="4385" xr:uid="{00000000-0005-0000-0000-00001B110000}"/>
    <cellStyle name="20% - Accent5 8 2 3" xfId="4386" xr:uid="{00000000-0005-0000-0000-00001C110000}"/>
    <cellStyle name="20% - Accent5 8 2 3 2" xfId="4387" xr:uid="{00000000-0005-0000-0000-00001D110000}"/>
    <cellStyle name="20% - Accent5 8 2 3 2 2" xfId="4388" xr:uid="{00000000-0005-0000-0000-00001E110000}"/>
    <cellStyle name="20% - Accent5 8 2 3 3" xfId="4389" xr:uid="{00000000-0005-0000-0000-00001F110000}"/>
    <cellStyle name="20% - Accent5 8 2 3 3 2" xfId="4390" xr:uid="{00000000-0005-0000-0000-000020110000}"/>
    <cellStyle name="20% - Accent5 8 2 3 4" xfId="4391" xr:uid="{00000000-0005-0000-0000-000021110000}"/>
    <cellStyle name="20% - Accent5 8 2 3 4 2" xfId="4392" xr:uid="{00000000-0005-0000-0000-000022110000}"/>
    <cellStyle name="20% - Accent5 8 2 3 5" xfId="4393" xr:uid="{00000000-0005-0000-0000-000023110000}"/>
    <cellStyle name="20% - Accent5 8 2 3 5 2" xfId="4394" xr:uid="{00000000-0005-0000-0000-000024110000}"/>
    <cellStyle name="20% - Accent5 8 2 3 6" xfId="4395" xr:uid="{00000000-0005-0000-0000-000025110000}"/>
    <cellStyle name="20% - Accent5 8 2 4" xfId="4396" xr:uid="{00000000-0005-0000-0000-000026110000}"/>
    <cellStyle name="20% - Accent5 8 2 4 2" xfId="4397" xr:uid="{00000000-0005-0000-0000-000027110000}"/>
    <cellStyle name="20% - Accent5 8 2 4 2 2" xfId="4398" xr:uid="{00000000-0005-0000-0000-000028110000}"/>
    <cellStyle name="20% - Accent5 8 2 4 3" xfId="4399" xr:uid="{00000000-0005-0000-0000-000029110000}"/>
    <cellStyle name="20% - Accent5 8 2 5" xfId="4400" xr:uid="{00000000-0005-0000-0000-00002A110000}"/>
    <cellStyle name="20% - Accent5 8 2 5 2" xfId="4401" xr:uid="{00000000-0005-0000-0000-00002B110000}"/>
    <cellStyle name="20% - Accent5 8 2 6" xfId="4402" xr:uid="{00000000-0005-0000-0000-00002C110000}"/>
    <cellStyle name="20% - Accent5 8 2 6 2" xfId="4403" xr:uid="{00000000-0005-0000-0000-00002D110000}"/>
    <cellStyle name="20% - Accent5 8 2 7" xfId="4404" xr:uid="{00000000-0005-0000-0000-00002E110000}"/>
    <cellStyle name="20% - Accent5 8 2 7 2" xfId="4405" xr:uid="{00000000-0005-0000-0000-00002F110000}"/>
    <cellStyle name="20% - Accent5 8 2 8" xfId="4406" xr:uid="{00000000-0005-0000-0000-000030110000}"/>
    <cellStyle name="20% - Accent5 8 3" xfId="4407" xr:uid="{00000000-0005-0000-0000-000031110000}"/>
    <cellStyle name="20% - Accent5 8 3 2" xfId="4408" xr:uid="{00000000-0005-0000-0000-000032110000}"/>
    <cellStyle name="20% - Accent5 8 3 2 2" xfId="4409" xr:uid="{00000000-0005-0000-0000-000033110000}"/>
    <cellStyle name="20% - Accent5 8 3 2 2 2" xfId="4410" xr:uid="{00000000-0005-0000-0000-000034110000}"/>
    <cellStyle name="20% - Accent5 8 3 2 3" xfId="4411" xr:uid="{00000000-0005-0000-0000-000035110000}"/>
    <cellStyle name="20% - Accent5 8 3 2 3 2" xfId="4412" xr:uid="{00000000-0005-0000-0000-000036110000}"/>
    <cellStyle name="20% - Accent5 8 3 2 4" xfId="4413" xr:uid="{00000000-0005-0000-0000-000037110000}"/>
    <cellStyle name="20% - Accent5 8 3 3" xfId="4414" xr:uid="{00000000-0005-0000-0000-000038110000}"/>
    <cellStyle name="20% - Accent5 8 3 3 2" xfId="4415" xr:uid="{00000000-0005-0000-0000-000039110000}"/>
    <cellStyle name="20% - Accent5 8 3 4" xfId="4416" xr:uid="{00000000-0005-0000-0000-00003A110000}"/>
    <cellStyle name="20% - Accent5 8 3 4 2" xfId="4417" xr:uid="{00000000-0005-0000-0000-00003B110000}"/>
    <cellStyle name="20% - Accent5 8 3 5" xfId="4418" xr:uid="{00000000-0005-0000-0000-00003C110000}"/>
    <cellStyle name="20% - Accent5 8 3 5 2" xfId="4419" xr:uid="{00000000-0005-0000-0000-00003D110000}"/>
    <cellStyle name="20% - Accent5 8 3 6" xfId="4420" xr:uid="{00000000-0005-0000-0000-00003E110000}"/>
    <cellStyle name="20% - Accent5 8 3 6 2" xfId="4421" xr:uid="{00000000-0005-0000-0000-00003F110000}"/>
    <cellStyle name="20% - Accent5 8 3 7" xfId="4422" xr:uid="{00000000-0005-0000-0000-000040110000}"/>
    <cellStyle name="20% - Accent5 8 4" xfId="4423" xr:uid="{00000000-0005-0000-0000-000041110000}"/>
    <cellStyle name="20% - Accent5 8 4 2" xfId="4424" xr:uid="{00000000-0005-0000-0000-000042110000}"/>
    <cellStyle name="20% - Accent5 8 4 2 2" xfId="4425" xr:uid="{00000000-0005-0000-0000-000043110000}"/>
    <cellStyle name="20% - Accent5 8 4 3" xfId="4426" xr:uid="{00000000-0005-0000-0000-000044110000}"/>
    <cellStyle name="20% - Accent5 8 4 3 2" xfId="4427" xr:uid="{00000000-0005-0000-0000-000045110000}"/>
    <cellStyle name="20% - Accent5 8 4 4" xfId="4428" xr:uid="{00000000-0005-0000-0000-000046110000}"/>
    <cellStyle name="20% - Accent5 8 4 4 2" xfId="4429" xr:uid="{00000000-0005-0000-0000-000047110000}"/>
    <cellStyle name="20% - Accent5 8 4 5" xfId="4430" xr:uid="{00000000-0005-0000-0000-000048110000}"/>
    <cellStyle name="20% - Accent5 8 4 5 2" xfId="4431" xr:uid="{00000000-0005-0000-0000-000049110000}"/>
    <cellStyle name="20% - Accent5 8 4 6" xfId="4432" xr:uid="{00000000-0005-0000-0000-00004A110000}"/>
    <cellStyle name="20% - Accent5 8 5" xfId="4433" xr:uid="{00000000-0005-0000-0000-00004B110000}"/>
    <cellStyle name="20% - Accent5 8 5 2" xfId="4434" xr:uid="{00000000-0005-0000-0000-00004C110000}"/>
    <cellStyle name="20% - Accent5 8 5 2 2" xfId="4435" xr:uid="{00000000-0005-0000-0000-00004D110000}"/>
    <cellStyle name="20% - Accent5 8 5 3" xfId="4436" xr:uid="{00000000-0005-0000-0000-00004E110000}"/>
    <cellStyle name="20% - Accent5 8 6" xfId="4437" xr:uid="{00000000-0005-0000-0000-00004F110000}"/>
    <cellStyle name="20% - Accent5 8 6 2" xfId="4438" xr:uid="{00000000-0005-0000-0000-000050110000}"/>
    <cellStyle name="20% - Accent5 8 7" xfId="4439" xr:uid="{00000000-0005-0000-0000-000051110000}"/>
    <cellStyle name="20% - Accent5 8 7 2" xfId="4440" xr:uid="{00000000-0005-0000-0000-000052110000}"/>
    <cellStyle name="20% - Accent5 8 8" xfId="4441" xr:uid="{00000000-0005-0000-0000-000053110000}"/>
    <cellStyle name="20% - Accent5 8 8 2" xfId="4442" xr:uid="{00000000-0005-0000-0000-000054110000}"/>
    <cellStyle name="20% - Accent5 8 9" xfId="4443" xr:uid="{00000000-0005-0000-0000-000055110000}"/>
    <cellStyle name="20% - Accent5 9" xfId="4444" xr:uid="{00000000-0005-0000-0000-000056110000}"/>
    <cellStyle name="20% - Accent5 9 2" xfId="4445" xr:uid="{00000000-0005-0000-0000-000057110000}"/>
    <cellStyle name="20% - Accent5 9 2 2" xfId="4446" xr:uid="{00000000-0005-0000-0000-000058110000}"/>
    <cellStyle name="20% - Accent5 9 2 2 2" xfId="4447" xr:uid="{00000000-0005-0000-0000-000059110000}"/>
    <cellStyle name="20% - Accent5 9 2 2 2 2" xfId="4448" xr:uid="{00000000-0005-0000-0000-00005A110000}"/>
    <cellStyle name="20% - Accent5 9 2 2 3" xfId="4449" xr:uid="{00000000-0005-0000-0000-00005B110000}"/>
    <cellStyle name="20% - Accent5 9 2 3" xfId="4450" xr:uid="{00000000-0005-0000-0000-00005C110000}"/>
    <cellStyle name="20% - Accent5 9 2 3 2" xfId="4451" xr:uid="{00000000-0005-0000-0000-00005D110000}"/>
    <cellStyle name="20% - Accent5 9 2 4" xfId="4452" xr:uid="{00000000-0005-0000-0000-00005E110000}"/>
    <cellStyle name="20% - Accent5 9 3" xfId="4453" xr:uid="{00000000-0005-0000-0000-00005F110000}"/>
    <cellStyle name="20% - Accent5 9 3 2" xfId="4454" xr:uid="{00000000-0005-0000-0000-000060110000}"/>
    <cellStyle name="20% - Accent5 9 3 2 2" xfId="4455" xr:uid="{00000000-0005-0000-0000-000061110000}"/>
    <cellStyle name="20% - Accent5 9 3 3" xfId="4456" xr:uid="{00000000-0005-0000-0000-000062110000}"/>
    <cellStyle name="20% - Accent5 9 4" xfId="4457" xr:uid="{00000000-0005-0000-0000-000063110000}"/>
    <cellStyle name="20% - Accent5 9 4 2" xfId="4458" xr:uid="{00000000-0005-0000-0000-000064110000}"/>
    <cellStyle name="20% - Accent5 9 5" xfId="4459" xr:uid="{00000000-0005-0000-0000-000065110000}"/>
    <cellStyle name="20% - Accent5 9 5 2" xfId="4460" xr:uid="{00000000-0005-0000-0000-000066110000}"/>
    <cellStyle name="20% - Accent5 9 6" xfId="4461" xr:uid="{00000000-0005-0000-0000-000067110000}"/>
    <cellStyle name="20% - Accent5 9 6 2" xfId="4462" xr:uid="{00000000-0005-0000-0000-000068110000}"/>
    <cellStyle name="20% - Accent5 9 7" xfId="4463" xr:uid="{00000000-0005-0000-0000-000069110000}"/>
    <cellStyle name="20% - Accent6 10" xfId="4464" xr:uid="{00000000-0005-0000-0000-00006A110000}"/>
    <cellStyle name="20% - Accent6 10 2" xfId="4465" xr:uid="{00000000-0005-0000-0000-00006B110000}"/>
    <cellStyle name="20% - Accent6 10 2 2" xfId="4466" xr:uid="{00000000-0005-0000-0000-00006C110000}"/>
    <cellStyle name="20% - Accent6 10 2 2 2" xfId="4467" xr:uid="{00000000-0005-0000-0000-00006D110000}"/>
    <cellStyle name="20% - Accent6 10 2 2 2 2" xfId="4468" xr:uid="{00000000-0005-0000-0000-00006E110000}"/>
    <cellStyle name="20% - Accent6 10 2 2 3" xfId="4469" xr:uid="{00000000-0005-0000-0000-00006F110000}"/>
    <cellStyle name="20% - Accent6 10 2 3" xfId="4470" xr:uid="{00000000-0005-0000-0000-000070110000}"/>
    <cellStyle name="20% - Accent6 10 2 3 2" xfId="4471" xr:uid="{00000000-0005-0000-0000-000071110000}"/>
    <cellStyle name="20% - Accent6 10 2 4" xfId="4472" xr:uid="{00000000-0005-0000-0000-000072110000}"/>
    <cellStyle name="20% - Accent6 10 3" xfId="4473" xr:uid="{00000000-0005-0000-0000-000073110000}"/>
    <cellStyle name="20% - Accent6 10 3 2" xfId="4474" xr:uid="{00000000-0005-0000-0000-000074110000}"/>
    <cellStyle name="20% - Accent6 10 3 2 2" xfId="4475" xr:uid="{00000000-0005-0000-0000-000075110000}"/>
    <cellStyle name="20% - Accent6 10 3 3" xfId="4476" xr:uid="{00000000-0005-0000-0000-000076110000}"/>
    <cellStyle name="20% - Accent6 10 4" xfId="4477" xr:uid="{00000000-0005-0000-0000-000077110000}"/>
    <cellStyle name="20% - Accent6 10 4 2" xfId="4478" xr:uid="{00000000-0005-0000-0000-000078110000}"/>
    <cellStyle name="20% - Accent6 10 5" xfId="4479" xr:uid="{00000000-0005-0000-0000-000079110000}"/>
    <cellStyle name="20% - Accent6 11" xfId="4480" xr:uid="{00000000-0005-0000-0000-00007A110000}"/>
    <cellStyle name="20% - Accent6 11 2" xfId="4481" xr:uid="{00000000-0005-0000-0000-00007B110000}"/>
    <cellStyle name="20% - Accent6 11 2 2" xfId="4482" xr:uid="{00000000-0005-0000-0000-00007C110000}"/>
    <cellStyle name="20% - Accent6 11 2 2 2" xfId="4483" xr:uid="{00000000-0005-0000-0000-00007D110000}"/>
    <cellStyle name="20% - Accent6 11 2 2 2 2" xfId="4484" xr:uid="{00000000-0005-0000-0000-00007E110000}"/>
    <cellStyle name="20% - Accent6 11 2 2 3" xfId="4485" xr:uid="{00000000-0005-0000-0000-00007F110000}"/>
    <cellStyle name="20% - Accent6 11 2 3" xfId="4486" xr:uid="{00000000-0005-0000-0000-000080110000}"/>
    <cellStyle name="20% - Accent6 11 2 3 2" xfId="4487" xr:uid="{00000000-0005-0000-0000-000081110000}"/>
    <cellStyle name="20% - Accent6 11 2 4" xfId="4488" xr:uid="{00000000-0005-0000-0000-000082110000}"/>
    <cellStyle name="20% - Accent6 11 3" xfId="4489" xr:uid="{00000000-0005-0000-0000-000083110000}"/>
    <cellStyle name="20% - Accent6 11 3 2" xfId="4490" xr:uid="{00000000-0005-0000-0000-000084110000}"/>
    <cellStyle name="20% - Accent6 11 3 2 2" xfId="4491" xr:uid="{00000000-0005-0000-0000-000085110000}"/>
    <cellStyle name="20% - Accent6 11 3 3" xfId="4492" xr:uid="{00000000-0005-0000-0000-000086110000}"/>
    <cellStyle name="20% - Accent6 11 4" xfId="4493" xr:uid="{00000000-0005-0000-0000-000087110000}"/>
    <cellStyle name="20% - Accent6 11 4 2" xfId="4494" xr:uid="{00000000-0005-0000-0000-000088110000}"/>
    <cellStyle name="20% - Accent6 11 5" xfId="4495" xr:uid="{00000000-0005-0000-0000-000089110000}"/>
    <cellStyle name="20% - Accent6 12" xfId="4496" xr:uid="{00000000-0005-0000-0000-00008A110000}"/>
    <cellStyle name="20% - Accent6 12 2" xfId="4497" xr:uid="{00000000-0005-0000-0000-00008B110000}"/>
    <cellStyle name="20% - Accent6 13" xfId="4498" xr:uid="{00000000-0005-0000-0000-00008C110000}"/>
    <cellStyle name="20% - Accent6 13 2" xfId="4499" xr:uid="{00000000-0005-0000-0000-00008D110000}"/>
    <cellStyle name="20% - Accent6 13 2 2" xfId="4500" xr:uid="{00000000-0005-0000-0000-00008E110000}"/>
    <cellStyle name="20% - Accent6 13 2 2 2" xfId="4501" xr:uid="{00000000-0005-0000-0000-00008F110000}"/>
    <cellStyle name="20% - Accent6 13 2 3" xfId="4502" xr:uid="{00000000-0005-0000-0000-000090110000}"/>
    <cellStyle name="20% - Accent6 13 3" xfId="4503" xr:uid="{00000000-0005-0000-0000-000091110000}"/>
    <cellStyle name="20% - Accent6 13 3 2" xfId="4504" xr:uid="{00000000-0005-0000-0000-000092110000}"/>
    <cellStyle name="20% - Accent6 13 4" xfId="4505" xr:uid="{00000000-0005-0000-0000-000093110000}"/>
    <cellStyle name="20% - Accent6 14" xfId="4506" xr:uid="{00000000-0005-0000-0000-000094110000}"/>
    <cellStyle name="20% - Accent6 14 2" xfId="4507" xr:uid="{00000000-0005-0000-0000-000095110000}"/>
    <cellStyle name="20% - Accent6 2" xfId="4508" xr:uid="{00000000-0005-0000-0000-000096110000}"/>
    <cellStyle name="20% - Accent6 2 2" xfId="4509" xr:uid="{00000000-0005-0000-0000-000097110000}"/>
    <cellStyle name="20% - Accent6 2 2 2" xfId="4510" xr:uid="{00000000-0005-0000-0000-000098110000}"/>
    <cellStyle name="20% - Accent6 2 2 3" xfId="4511" xr:uid="{00000000-0005-0000-0000-000099110000}"/>
    <cellStyle name="20% - Accent6 2 2 3 2" xfId="4512" xr:uid="{00000000-0005-0000-0000-00009A110000}"/>
    <cellStyle name="20% - Accent6 2 3" xfId="4513" xr:uid="{00000000-0005-0000-0000-00009B110000}"/>
    <cellStyle name="20% - Accent6 2 3 2" xfId="4514" xr:uid="{00000000-0005-0000-0000-00009C110000}"/>
    <cellStyle name="20% - Accent6 2 4" xfId="4515" xr:uid="{00000000-0005-0000-0000-00009D110000}"/>
    <cellStyle name="20% - Accent6 2 4 2" xfId="4516" xr:uid="{00000000-0005-0000-0000-00009E110000}"/>
    <cellStyle name="20% - Accent6 2 4 3" xfId="4517" xr:uid="{00000000-0005-0000-0000-00009F110000}"/>
    <cellStyle name="20% - Accent6 2 5" xfId="4518" xr:uid="{00000000-0005-0000-0000-0000A0110000}"/>
    <cellStyle name="20% - Accent6 3" xfId="4519" xr:uid="{00000000-0005-0000-0000-0000A1110000}"/>
    <cellStyle name="20% - Accent6 3 2" xfId="4520" xr:uid="{00000000-0005-0000-0000-0000A2110000}"/>
    <cellStyle name="20% - Accent6 3 2 2" xfId="4521" xr:uid="{00000000-0005-0000-0000-0000A3110000}"/>
    <cellStyle name="20% - Accent6 3 2 2 2" xfId="4522" xr:uid="{00000000-0005-0000-0000-0000A4110000}"/>
    <cellStyle name="20% - Accent6 3 2 2 2 2" xfId="4523" xr:uid="{00000000-0005-0000-0000-0000A5110000}"/>
    <cellStyle name="20% - Accent6 3 2 2 3" xfId="4524" xr:uid="{00000000-0005-0000-0000-0000A6110000}"/>
    <cellStyle name="20% - Accent6 3 2 2 3 2" xfId="4525" xr:uid="{00000000-0005-0000-0000-0000A7110000}"/>
    <cellStyle name="20% - Accent6 3 2 2 4" xfId="4526" xr:uid="{00000000-0005-0000-0000-0000A8110000}"/>
    <cellStyle name="20% - Accent6 3 2 3" xfId="4527" xr:uid="{00000000-0005-0000-0000-0000A9110000}"/>
    <cellStyle name="20% - Accent6 3 2 3 2" xfId="4528" xr:uid="{00000000-0005-0000-0000-0000AA110000}"/>
    <cellStyle name="20% - Accent6 3 2 4" xfId="4529" xr:uid="{00000000-0005-0000-0000-0000AB110000}"/>
    <cellStyle name="20% - Accent6 3 2 4 2" xfId="4530" xr:uid="{00000000-0005-0000-0000-0000AC110000}"/>
    <cellStyle name="20% - Accent6 3 2 5" xfId="4531" xr:uid="{00000000-0005-0000-0000-0000AD110000}"/>
    <cellStyle name="20% - Accent6 3 3" xfId="4532" xr:uid="{00000000-0005-0000-0000-0000AE110000}"/>
    <cellStyle name="20% - Accent6 3 3 2" xfId="4533" xr:uid="{00000000-0005-0000-0000-0000AF110000}"/>
    <cellStyle name="20% - Accent6 3 3 3" xfId="4534" xr:uid="{00000000-0005-0000-0000-0000B0110000}"/>
    <cellStyle name="20% - Accent6 3 3 3 2" xfId="4535" xr:uid="{00000000-0005-0000-0000-0000B1110000}"/>
    <cellStyle name="20% - Accent6 3 3 4" xfId="4536" xr:uid="{00000000-0005-0000-0000-0000B2110000}"/>
    <cellStyle name="20% - Accent6 3 4" xfId="4537" xr:uid="{00000000-0005-0000-0000-0000B3110000}"/>
    <cellStyle name="20% - Accent6 3 4 2" xfId="4538" xr:uid="{00000000-0005-0000-0000-0000B4110000}"/>
    <cellStyle name="20% - Accent6 3 5" xfId="4539" xr:uid="{00000000-0005-0000-0000-0000B5110000}"/>
    <cellStyle name="20% - Accent6 3 5 2" xfId="4540" xr:uid="{00000000-0005-0000-0000-0000B6110000}"/>
    <cellStyle name="20% - Accent6 3 6" xfId="4541" xr:uid="{00000000-0005-0000-0000-0000B7110000}"/>
    <cellStyle name="20% - Accent6 3 6 2" xfId="4542" xr:uid="{00000000-0005-0000-0000-0000B8110000}"/>
    <cellStyle name="20% - Accent6 3 7" xfId="4543" xr:uid="{00000000-0005-0000-0000-0000B9110000}"/>
    <cellStyle name="20% - Accent6 3 7 2" xfId="4544" xr:uid="{00000000-0005-0000-0000-0000BA110000}"/>
    <cellStyle name="20% - Accent6 3 8" xfId="4545" xr:uid="{00000000-0005-0000-0000-0000BB110000}"/>
    <cellStyle name="20% - Accent6 3 8 2" xfId="4546" xr:uid="{00000000-0005-0000-0000-0000BC110000}"/>
    <cellStyle name="20% - Accent6 4" xfId="4547" xr:uid="{00000000-0005-0000-0000-0000BD110000}"/>
    <cellStyle name="20% - Accent6 4 10" xfId="4548" xr:uid="{00000000-0005-0000-0000-0000BE110000}"/>
    <cellStyle name="20% - Accent6 4 10 2" xfId="4549" xr:uid="{00000000-0005-0000-0000-0000BF110000}"/>
    <cellStyle name="20% - Accent6 4 11" xfId="4550" xr:uid="{00000000-0005-0000-0000-0000C0110000}"/>
    <cellStyle name="20% - Accent6 4 11 2" xfId="4551" xr:uid="{00000000-0005-0000-0000-0000C1110000}"/>
    <cellStyle name="20% - Accent6 4 12" xfId="4552" xr:uid="{00000000-0005-0000-0000-0000C2110000}"/>
    <cellStyle name="20% - Accent6 4 12 2" xfId="4553" xr:uid="{00000000-0005-0000-0000-0000C3110000}"/>
    <cellStyle name="20% - Accent6 4 13" xfId="4554" xr:uid="{00000000-0005-0000-0000-0000C4110000}"/>
    <cellStyle name="20% - Accent6 4 2" xfId="4555" xr:uid="{00000000-0005-0000-0000-0000C5110000}"/>
    <cellStyle name="20% - Accent6 4 2 10" xfId="4556" xr:uid="{00000000-0005-0000-0000-0000C6110000}"/>
    <cellStyle name="20% - Accent6 4 2 10 2" xfId="4557" xr:uid="{00000000-0005-0000-0000-0000C7110000}"/>
    <cellStyle name="20% - Accent6 4 2 11" xfId="4558" xr:uid="{00000000-0005-0000-0000-0000C8110000}"/>
    <cellStyle name="20% - Accent6 4 2 2" xfId="4559" xr:uid="{00000000-0005-0000-0000-0000C9110000}"/>
    <cellStyle name="20% - Accent6 4 2 2 10" xfId="4560" xr:uid="{00000000-0005-0000-0000-0000CA110000}"/>
    <cellStyle name="20% - Accent6 4 2 2 2" xfId="4561" xr:uid="{00000000-0005-0000-0000-0000CB110000}"/>
    <cellStyle name="20% - Accent6 4 2 2 2 2" xfId="4562" xr:uid="{00000000-0005-0000-0000-0000CC110000}"/>
    <cellStyle name="20% - Accent6 4 2 2 2 2 2" xfId="4563" xr:uid="{00000000-0005-0000-0000-0000CD110000}"/>
    <cellStyle name="20% - Accent6 4 2 2 2 2 2 2" xfId="4564" xr:uid="{00000000-0005-0000-0000-0000CE110000}"/>
    <cellStyle name="20% - Accent6 4 2 2 2 2 2 2 2" xfId="4565" xr:uid="{00000000-0005-0000-0000-0000CF110000}"/>
    <cellStyle name="20% - Accent6 4 2 2 2 2 2 3" xfId="4566" xr:uid="{00000000-0005-0000-0000-0000D0110000}"/>
    <cellStyle name="20% - Accent6 4 2 2 2 2 2 3 2" xfId="4567" xr:uid="{00000000-0005-0000-0000-0000D1110000}"/>
    <cellStyle name="20% - Accent6 4 2 2 2 2 2 4" xfId="4568" xr:uid="{00000000-0005-0000-0000-0000D2110000}"/>
    <cellStyle name="20% - Accent6 4 2 2 2 2 3" xfId="4569" xr:uid="{00000000-0005-0000-0000-0000D3110000}"/>
    <cellStyle name="20% - Accent6 4 2 2 2 2 3 2" xfId="4570" xr:uid="{00000000-0005-0000-0000-0000D4110000}"/>
    <cellStyle name="20% - Accent6 4 2 2 2 2 4" xfId="4571" xr:uid="{00000000-0005-0000-0000-0000D5110000}"/>
    <cellStyle name="20% - Accent6 4 2 2 2 2 4 2" xfId="4572" xr:uid="{00000000-0005-0000-0000-0000D6110000}"/>
    <cellStyle name="20% - Accent6 4 2 2 2 2 5" xfId="4573" xr:uid="{00000000-0005-0000-0000-0000D7110000}"/>
    <cellStyle name="20% - Accent6 4 2 2 2 2 5 2" xfId="4574" xr:uid="{00000000-0005-0000-0000-0000D8110000}"/>
    <cellStyle name="20% - Accent6 4 2 2 2 2 6" xfId="4575" xr:uid="{00000000-0005-0000-0000-0000D9110000}"/>
    <cellStyle name="20% - Accent6 4 2 2 2 2 6 2" xfId="4576" xr:uid="{00000000-0005-0000-0000-0000DA110000}"/>
    <cellStyle name="20% - Accent6 4 2 2 2 2 7" xfId="4577" xr:uid="{00000000-0005-0000-0000-0000DB110000}"/>
    <cellStyle name="20% - Accent6 4 2 2 2 3" xfId="4578" xr:uid="{00000000-0005-0000-0000-0000DC110000}"/>
    <cellStyle name="20% - Accent6 4 2 2 2 3 2" xfId="4579" xr:uid="{00000000-0005-0000-0000-0000DD110000}"/>
    <cellStyle name="20% - Accent6 4 2 2 2 3 2 2" xfId="4580" xr:uid="{00000000-0005-0000-0000-0000DE110000}"/>
    <cellStyle name="20% - Accent6 4 2 2 2 3 3" xfId="4581" xr:uid="{00000000-0005-0000-0000-0000DF110000}"/>
    <cellStyle name="20% - Accent6 4 2 2 2 3 3 2" xfId="4582" xr:uid="{00000000-0005-0000-0000-0000E0110000}"/>
    <cellStyle name="20% - Accent6 4 2 2 2 3 4" xfId="4583" xr:uid="{00000000-0005-0000-0000-0000E1110000}"/>
    <cellStyle name="20% - Accent6 4 2 2 2 3 4 2" xfId="4584" xr:uid="{00000000-0005-0000-0000-0000E2110000}"/>
    <cellStyle name="20% - Accent6 4 2 2 2 3 5" xfId="4585" xr:uid="{00000000-0005-0000-0000-0000E3110000}"/>
    <cellStyle name="20% - Accent6 4 2 2 2 3 5 2" xfId="4586" xr:uid="{00000000-0005-0000-0000-0000E4110000}"/>
    <cellStyle name="20% - Accent6 4 2 2 2 3 6" xfId="4587" xr:uid="{00000000-0005-0000-0000-0000E5110000}"/>
    <cellStyle name="20% - Accent6 4 2 2 2 4" xfId="4588" xr:uid="{00000000-0005-0000-0000-0000E6110000}"/>
    <cellStyle name="20% - Accent6 4 2 2 2 4 2" xfId="4589" xr:uid="{00000000-0005-0000-0000-0000E7110000}"/>
    <cellStyle name="20% - Accent6 4 2 2 2 4 2 2" xfId="4590" xr:uid="{00000000-0005-0000-0000-0000E8110000}"/>
    <cellStyle name="20% - Accent6 4 2 2 2 4 3" xfId="4591" xr:uid="{00000000-0005-0000-0000-0000E9110000}"/>
    <cellStyle name="20% - Accent6 4 2 2 2 5" xfId="4592" xr:uid="{00000000-0005-0000-0000-0000EA110000}"/>
    <cellStyle name="20% - Accent6 4 2 2 2 5 2" xfId="4593" xr:uid="{00000000-0005-0000-0000-0000EB110000}"/>
    <cellStyle name="20% - Accent6 4 2 2 2 6" xfId="4594" xr:uid="{00000000-0005-0000-0000-0000EC110000}"/>
    <cellStyle name="20% - Accent6 4 2 2 2 6 2" xfId="4595" xr:uid="{00000000-0005-0000-0000-0000ED110000}"/>
    <cellStyle name="20% - Accent6 4 2 2 2 7" xfId="4596" xr:uid="{00000000-0005-0000-0000-0000EE110000}"/>
    <cellStyle name="20% - Accent6 4 2 2 2 7 2" xfId="4597" xr:uid="{00000000-0005-0000-0000-0000EF110000}"/>
    <cellStyle name="20% - Accent6 4 2 2 2 8" xfId="4598" xr:uid="{00000000-0005-0000-0000-0000F0110000}"/>
    <cellStyle name="20% - Accent6 4 2 2 3" xfId="4599" xr:uid="{00000000-0005-0000-0000-0000F1110000}"/>
    <cellStyle name="20% - Accent6 4 2 2 3 2" xfId="4600" xr:uid="{00000000-0005-0000-0000-0000F2110000}"/>
    <cellStyle name="20% - Accent6 4 2 2 3 2 2" xfId="4601" xr:uid="{00000000-0005-0000-0000-0000F3110000}"/>
    <cellStyle name="20% - Accent6 4 2 2 3 2 2 2" xfId="4602" xr:uid="{00000000-0005-0000-0000-0000F4110000}"/>
    <cellStyle name="20% - Accent6 4 2 2 3 2 2 2 2" xfId="4603" xr:uid="{00000000-0005-0000-0000-0000F5110000}"/>
    <cellStyle name="20% - Accent6 4 2 2 3 2 2 3" xfId="4604" xr:uid="{00000000-0005-0000-0000-0000F6110000}"/>
    <cellStyle name="20% - Accent6 4 2 2 3 2 2 3 2" xfId="4605" xr:uid="{00000000-0005-0000-0000-0000F7110000}"/>
    <cellStyle name="20% - Accent6 4 2 2 3 2 2 4" xfId="4606" xr:uid="{00000000-0005-0000-0000-0000F8110000}"/>
    <cellStyle name="20% - Accent6 4 2 2 3 2 3" xfId="4607" xr:uid="{00000000-0005-0000-0000-0000F9110000}"/>
    <cellStyle name="20% - Accent6 4 2 2 3 2 3 2" xfId="4608" xr:uid="{00000000-0005-0000-0000-0000FA110000}"/>
    <cellStyle name="20% - Accent6 4 2 2 3 2 4" xfId="4609" xr:uid="{00000000-0005-0000-0000-0000FB110000}"/>
    <cellStyle name="20% - Accent6 4 2 2 3 2 4 2" xfId="4610" xr:uid="{00000000-0005-0000-0000-0000FC110000}"/>
    <cellStyle name="20% - Accent6 4 2 2 3 2 5" xfId="4611" xr:uid="{00000000-0005-0000-0000-0000FD110000}"/>
    <cellStyle name="20% - Accent6 4 2 2 3 2 5 2" xfId="4612" xr:uid="{00000000-0005-0000-0000-0000FE110000}"/>
    <cellStyle name="20% - Accent6 4 2 2 3 2 6" xfId="4613" xr:uid="{00000000-0005-0000-0000-0000FF110000}"/>
    <cellStyle name="20% - Accent6 4 2 2 3 2 6 2" xfId="4614" xr:uid="{00000000-0005-0000-0000-000000120000}"/>
    <cellStyle name="20% - Accent6 4 2 2 3 2 7" xfId="4615" xr:uid="{00000000-0005-0000-0000-000001120000}"/>
    <cellStyle name="20% - Accent6 4 2 2 3 3" xfId="4616" xr:uid="{00000000-0005-0000-0000-000002120000}"/>
    <cellStyle name="20% - Accent6 4 2 2 3 3 2" xfId="4617" xr:uid="{00000000-0005-0000-0000-000003120000}"/>
    <cellStyle name="20% - Accent6 4 2 2 3 3 2 2" xfId="4618" xr:uid="{00000000-0005-0000-0000-000004120000}"/>
    <cellStyle name="20% - Accent6 4 2 2 3 3 3" xfId="4619" xr:uid="{00000000-0005-0000-0000-000005120000}"/>
    <cellStyle name="20% - Accent6 4 2 2 3 3 3 2" xfId="4620" xr:uid="{00000000-0005-0000-0000-000006120000}"/>
    <cellStyle name="20% - Accent6 4 2 2 3 3 4" xfId="4621" xr:uid="{00000000-0005-0000-0000-000007120000}"/>
    <cellStyle name="20% - Accent6 4 2 2 3 3 4 2" xfId="4622" xr:uid="{00000000-0005-0000-0000-000008120000}"/>
    <cellStyle name="20% - Accent6 4 2 2 3 3 5" xfId="4623" xr:uid="{00000000-0005-0000-0000-000009120000}"/>
    <cellStyle name="20% - Accent6 4 2 2 3 3 5 2" xfId="4624" xr:uid="{00000000-0005-0000-0000-00000A120000}"/>
    <cellStyle name="20% - Accent6 4 2 2 3 3 6" xfId="4625" xr:uid="{00000000-0005-0000-0000-00000B120000}"/>
    <cellStyle name="20% - Accent6 4 2 2 3 4" xfId="4626" xr:uid="{00000000-0005-0000-0000-00000C120000}"/>
    <cellStyle name="20% - Accent6 4 2 2 3 4 2" xfId="4627" xr:uid="{00000000-0005-0000-0000-00000D120000}"/>
    <cellStyle name="20% - Accent6 4 2 2 3 4 2 2" xfId="4628" xr:uid="{00000000-0005-0000-0000-00000E120000}"/>
    <cellStyle name="20% - Accent6 4 2 2 3 4 3" xfId="4629" xr:uid="{00000000-0005-0000-0000-00000F120000}"/>
    <cellStyle name="20% - Accent6 4 2 2 3 5" xfId="4630" xr:uid="{00000000-0005-0000-0000-000010120000}"/>
    <cellStyle name="20% - Accent6 4 2 2 3 5 2" xfId="4631" xr:uid="{00000000-0005-0000-0000-000011120000}"/>
    <cellStyle name="20% - Accent6 4 2 2 3 6" xfId="4632" xr:uid="{00000000-0005-0000-0000-000012120000}"/>
    <cellStyle name="20% - Accent6 4 2 2 3 6 2" xfId="4633" xr:uid="{00000000-0005-0000-0000-000013120000}"/>
    <cellStyle name="20% - Accent6 4 2 2 3 7" xfId="4634" xr:uid="{00000000-0005-0000-0000-000014120000}"/>
    <cellStyle name="20% - Accent6 4 2 2 3 7 2" xfId="4635" xr:uid="{00000000-0005-0000-0000-000015120000}"/>
    <cellStyle name="20% - Accent6 4 2 2 3 8" xfId="4636" xr:uid="{00000000-0005-0000-0000-000016120000}"/>
    <cellStyle name="20% - Accent6 4 2 2 4" xfId="4637" xr:uid="{00000000-0005-0000-0000-000017120000}"/>
    <cellStyle name="20% - Accent6 4 2 2 4 2" xfId="4638" xr:uid="{00000000-0005-0000-0000-000018120000}"/>
    <cellStyle name="20% - Accent6 4 2 2 4 2 2" xfId="4639" xr:uid="{00000000-0005-0000-0000-000019120000}"/>
    <cellStyle name="20% - Accent6 4 2 2 4 2 2 2" xfId="4640" xr:uid="{00000000-0005-0000-0000-00001A120000}"/>
    <cellStyle name="20% - Accent6 4 2 2 4 2 3" xfId="4641" xr:uid="{00000000-0005-0000-0000-00001B120000}"/>
    <cellStyle name="20% - Accent6 4 2 2 4 2 3 2" xfId="4642" xr:uid="{00000000-0005-0000-0000-00001C120000}"/>
    <cellStyle name="20% - Accent6 4 2 2 4 2 4" xfId="4643" xr:uid="{00000000-0005-0000-0000-00001D120000}"/>
    <cellStyle name="20% - Accent6 4 2 2 4 3" xfId="4644" xr:uid="{00000000-0005-0000-0000-00001E120000}"/>
    <cellStyle name="20% - Accent6 4 2 2 4 3 2" xfId="4645" xr:uid="{00000000-0005-0000-0000-00001F120000}"/>
    <cellStyle name="20% - Accent6 4 2 2 4 4" xfId="4646" xr:uid="{00000000-0005-0000-0000-000020120000}"/>
    <cellStyle name="20% - Accent6 4 2 2 4 4 2" xfId="4647" xr:uid="{00000000-0005-0000-0000-000021120000}"/>
    <cellStyle name="20% - Accent6 4 2 2 4 5" xfId="4648" xr:uid="{00000000-0005-0000-0000-000022120000}"/>
    <cellStyle name="20% - Accent6 4 2 2 4 5 2" xfId="4649" xr:uid="{00000000-0005-0000-0000-000023120000}"/>
    <cellStyle name="20% - Accent6 4 2 2 4 6" xfId="4650" xr:uid="{00000000-0005-0000-0000-000024120000}"/>
    <cellStyle name="20% - Accent6 4 2 2 4 6 2" xfId="4651" xr:uid="{00000000-0005-0000-0000-000025120000}"/>
    <cellStyle name="20% - Accent6 4 2 2 4 7" xfId="4652" xr:uid="{00000000-0005-0000-0000-000026120000}"/>
    <cellStyle name="20% - Accent6 4 2 2 5" xfId="4653" xr:uid="{00000000-0005-0000-0000-000027120000}"/>
    <cellStyle name="20% - Accent6 4 2 2 5 2" xfId="4654" xr:uid="{00000000-0005-0000-0000-000028120000}"/>
    <cellStyle name="20% - Accent6 4 2 2 5 2 2" xfId="4655" xr:uid="{00000000-0005-0000-0000-000029120000}"/>
    <cellStyle name="20% - Accent6 4 2 2 5 3" xfId="4656" xr:uid="{00000000-0005-0000-0000-00002A120000}"/>
    <cellStyle name="20% - Accent6 4 2 2 5 3 2" xfId="4657" xr:uid="{00000000-0005-0000-0000-00002B120000}"/>
    <cellStyle name="20% - Accent6 4 2 2 5 4" xfId="4658" xr:uid="{00000000-0005-0000-0000-00002C120000}"/>
    <cellStyle name="20% - Accent6 4 2 2 5 4 2" xfId="4659" xr:uid="{00000000-0005-0000-0000-00002D120000}"/>
    <cellStyle name="20% - Accent6 4 2 2 5 5" xfId="4660" xr:uid="{00000000-0005-0000-0000-00002E120000}"/>
    <cellStyle name="20% - Accent6 4 2 2 5 5 2" xfId="4661" xr:uid="{00000000-0005-0000-0000-00002F120000}"/>
    <cellStyle name="20% - Accent6 4 2 2 5 6" xfId="4662" xr:uid="{00000000-0005-0000-0000-000030120000}"/>
    <cellStyle name="20% - Accent6 4 2 2 6" xfId="4663" xr:uid="{00000000-0005-0000-0000-000031120000}"/>
    <cellStyle name="20% - Accent6 4 2 2 6 2" xfId="4664" xr:uid="{00000000-0005-0000-0000-000032120000}"/>
    <cellStyle name="20% - Accent6 4 2 2 6 2 2" xfId="4665" xr:uid="{00000000-0005-0000-0000-000033120000}"/>
    <cellStyle name="20% - Accent6 4 2 2 6 3" xfId="4666" xr:uid="{00000000-0005-0000-0000-000034120000}"/>
    <cellStyle name="20% - Accent6 4 2 2 7" xfId="4667" xr:uid="{00000000-0005-0000-0000-000035120000}"/>
    <cellStyle name="20% - Accent6 4 2 2 7 2" xfId="4668" xr:uid="{00000000-0005-0000-0000-000036120000}"/>
    <cellStyle name="20% - Accent6 4 2 2 8" xfId="4669" xr:uid="{00000000-0005-0000-0000-000037120000}"/>
    <cellStyle name="20% - Accent6 4 2 2 8 2" xfId="4670" xr:uid="{00000000-0005-0000-0000-000038120000}"/>
    <cellStyle name="20% - Accent6 4 2 2 9" xfId="4671" xr:uid="{00000000-0005-0000-0000-000039120000}"/>
    <cellStyle name="20% - Accent6 4 2 2 9 2" xfId="4672" xr:uid="{00000000-0005-0000-0000-00003A120000}"/>
    <cellStyle name="20% - Accent6 4 2 3" xfId="4673" xr:uid="{00000000-0005-0000-0000-00003B120000}"/>
    <cellStyle name="20% - Accent6 4 2 3 2" xfId="4674" xr:uid="{00000000-0005-0000-0000-00003C120000}"/>
    <cellStyle name="20% - Accent6 4 2 3 2 2" xfId="4675" xr:uid="{00000000-0005-0000-0000-00003D120000}"/>
    <cellStyle name="20% - Accent6 4 2 3 2 2 2" xfId="4676" xr:uid="{00000000-0005-0000-0000-00003E120000}"/>
    <cellStyle name="20% - Accent6 4 2 3 2 2 2 2" xfId="4677" xr:uid="{00000000-0005-0000-0000-00003F120000}"/>
    <cellStyle name="20% - Accent6 4 2 3 2 2 3" xfId="4678" xr:uid="{00000000-0005-0000-0000-000040120000}"/>
    <cellStyle name="20% - Accent6 4 2 3 2 2 3 2" xfId="4679" xr:uid="{00000000-0005-0000-0000-000041120000}"/>
    <cellStyle name="20% - Accent6 4 2 3 2 2 4" xfId="4680" xr:uid="{00000000-0005-0000-0000-000042120000}"/>
    <cellStyle name="20% - Accent6 4 2 3 2 3" xfId="4681" xr:uid="{00000000-0005-0000-0000-000043120000}"/>
    <cellStyle name="20% - Accent6 4 2 3 2 3 2" xfId="4682" xr:uid="{00000000-0005-0000-0000-000044120000}"/>
    <cellStyle name="20% - Accent6 4 2 3 2 4" xfId="4683" xr:uid="{00000000-0005-0000-0000-000045120000}"/>
    <cellStyle name="20% - Accent6 4 2 3 2 4 2" xfId="4684" xr:uid="{00000000-0005-0000-0000-000046120000}"/>
    <cellStyle name="20% - Accent6 4 2 3 2 5" xfId="4685" xr:uid="{00000000-0005-0000-0000-000047120000}"/>
    <cellStyle name="20% - Accent6 4 2 3 2 5 2" xfId="4686" xr:uid="{00000000-0005-0000-0000-000048120000}"/>
    <cellStyle name="20% - Accent6 4 2 3 2 6" xfId="4687" xr:uid="{00000000-0005-0000-0000-000049120000}"/>
    <cellStyle name="20% - Accent6 4 2 3 2 6 2" xfId="4688" xr:uid="{00000000-0005-0000-0000-00004A120000}"/>
    <cellStyle name="20% - Accent6 4 2 3 2 7" xfId="4689" xr:uid="{00000000-0005-0000-0000-00004B120000}"/>
    <cellStyle name="20% - Accent6 4 2 3 3" xfId="4690" xr:uid="{00000000-0005-0000-0000-00004C120000}"/>
    <cellStyle name="20% - Accent6 4 2 3 3 2" xfId="4691" xr:uid="{00000000-0005-0000-0000-00004D120000}"/>
    <cellStyle name="20% - Accent6 4 2 3 3 2 2" xfId="4692" xr:uid="{00000000-0005-0000-0000-00004E120000}"/>
    <cellStyle name="20% - Accent6 4 2 3 3 3" xfId="4693" xr:uid="{00000000-0005-0000-0000-00004F120000}"/>
    <cellStyle name="20% - Accent6 4 2 3 3 3 2" xfId="4694" xr:uid="{00000000-0005-0000-0000-000050120000}"/>
    <cellStyle name="20% - Accent6 4 2 3 3 4" xfId="4695" xr:uid="{00000000-0005-0000-0000-000051120000}"/>
    <cellStyle name="20% - Accent6 4 2 3 3 4 2" xfId="4696" xr:uid="{00000000-0005-0000-0000-000052120000}"/>
    <cellStyle name="20% - Accent6 4 2 3 3 5" xfId="4697" xr:uid="{00000000-0005-0000-0000-000053120000}"/>
    <cellStyle name="20% - Accent6 4 2 3 3 5 2" xfId="4698" xr:uid="{00000000-0005-0000-0000-000054120000}"/>
    <cellStyle name="20% - Accent6 4 2 3 3 6" xfId="4699" xr:uid="{00000000-0005-0000-0000-000055120000}"/>
    <cellStyle name="20% - Accent6 4 2 3 4" xfId="4700" xr:uid="{00000000-0005-0000-0000-000056120000}"/>
    <cellStyle name="20% - Accent6 4 2 3 4 2" xfId="4701" xr:uid="{00000000-0005-0000-0000-000057120000}"/>
    <cellStyle name="20% - Accent6 4 2 3 4 2 2" xfId="4702" xr:uid="{00000000-0005-0000-0000-000058120000}"/>
    <cellStyle name="20% - Accent6 4 2 3 4 3" xfId="4703" xr:uid="{00000000-0005-0000-0000-000059120000}"/>
    <cellStyle name="20% - Accent6 4 2 3 5" xfId="4704" xr:uid="{00000000-0005-0000-0000-00005A120000}"/>
    <cellStyle name="20% - Accent6 4 2 3 5 2" xfId="4705" xr:uid="{00000000-0005-0000-0000-00005B120000}"/>
    <cellStyle name="20% - Accent6 4 2 3 6" xfId="4706" xr:uid="{00000000-0005-0000-0000-00005C120000}"/>
    <cellStyle name="20% - Accent6 4 2 3 6 2" xfId="4707" xr:uid="{00000000-0005-0000-0000-00005D120000}"/>
    <cellStyle name="20% - Accent6 4 2 3 7" xfId="4708" xr:uid="{00000000-0005-0000-0000-00005E120000}"/>
    <cellStyle name="20% - Accent6 4 2 3 7 2" xfId="4709" xr:uid="{00000000-0005-0000-0000-00005F120000}"/>
    <cellStyle name="20% - Accent6 4 2 3 8" xfId="4710" xr:uid="{00000000-0005-0000-0000-000060120000}"/>
    <cellStyle name="20% - Accent6 4 2 4" xfId="4711" xr:uid="{00000000-0005-0000-0000-000061120000}"/>
    <cellStyle name="20% - Accent6 4 2 4 2" xfId="4712" xr:uid="{00000000-0005-0000-0000-000062120000}"/>
    <cellStyle name="20% - Accent6 4 2 4 2 2" xfId="4713" xr:uid="{00000000-0005-0000-0000-000063120000}"/>
    <cellStyle name="20% - Accent6 4 2 4 2 2 2" xfId="4714" xr:uid="{00000000-0005-0000-0000-000064120000}"/>
    <cellStyle name="20% - Accent6 4 2 4 2 2 2 2" xfId="4715" xr:uid="{00000000-0005-0000-0000-000065120000}"/>
    <cellStyle name="20% - Accent6 4 2 4 2 2 3" xfId="4716" xr:uid="{00000000-0005-0000-0000-000066120000}"/>
    <cellStyle name="20% - Accent6 4 2 4 2 2 3 2" xfId="4717" xr:uid="{00000000-0005-0000-0000-000067120000}"/>
    <cellStyle name="20% - Accent6 4 2 4 2 2 4" xfId="4718" xr:uid="{00000000-0005-0000-0000-000068120000}"/>
    <cellStyle name="20% - Accent6 4 2 4 2 3" xfId="4719" xr:uid="{00000000-0005-0000-0000-000069120000}"/>
    <cellStyle name="20% - Accent6 4 2 4 2 3 2" xfId="4720" xr:uid="{00000000-0005-0000-0000-00006A120000}"/>
    <cellStyle name="20% - Accent6 4 2 4 2 4" xfId="4721" xr:uid="{00000000-0005-0000-0000-00006B120000}"/>
    <cellStyle name="20% - Accent6 4 2 4 2 4 2" xfId="4722" xr:uid="{00000000-0005-0000-0000-00006C120000}"/>
    <cellStyle name="20% - Accent6 4 2 4 2 5" xfId="4723" xr:uid="{00000000-0005-0000-0000-00006D120000}"/>
    <cellStyle name="20% - Accent6 4 2 4 2 5 2" xfId="4724" xr:uid="{00000000-0005-0000-0000-00006E120000}"/>
    <cellStyle name="20% - Accent6 4 2 4 2 6" xfId="4725" xr:uid="{00000000-0005-0000-0000-00006F120000}"/>
    <cellStyle name="20% - Accent6 4 2 4 2 6 2" xfId="4726" xr:uid="{00000000-0005-0000-0000-000070120000}"/>
    <cellStyle name="20% - Accent6 4 2 4 2 7" xfId="4727" xr:uid="{00000000-0005-0000-0000-000071120000}"/>
    <cellStyle name="20% - Accent6 4 2 4 3" xfId="4728" xr:uid="{00000000-0005-0000-0000-000072120000}"/>
    <cellStyle name="20% - Accent6 4 2 4 3 2" xfId="4729" xr:uid="{00000000-0005-0000-0000-000073120000}"/>
    <cellStyle name="20% - Accent6 4 2 4 3 2 2" xfId="4730" xr:uid="{00000000-0005-0000-0000-000074120000}"/>
    <cellStyle name="20% - Accent6 4 2 4 3 3" xfId="4731" xr:uid="{00000000-0005-0000-0000-000075120000}"/>
    <cellStyle name="20% - Accent6 4 2 4 3 3 2" xfId="4732" xr:uid="{00000000-0005-0000-0000-000076120000}"/>
    <cellStyle name="20% - Accent6 4 2 4 3 4" xfId="4733" xr:uid="{00000000-0005-0000-0000-000077120000}"/>
    <cellStyle name="20% - Accent6 4 2 4 3 4 2" xfId="4734" xr:uid="{00000000-0005-0000-0000-000078120000}"/>
    <cellStyle name="20% - Accent6 4 2 4 3 5" xfId="4735" xr:uid="{00000000-0005-0000-0000-000079120000}"/>
    <cellStyle name="20% - Accent6 4 2 4 3 5 2" xfId="4736" xr:uid="{00000000-0005-0000-0000-00007A120000}"/>
    <cellStyle name="20% - Accent6 4 2 4 3 6" xfId="4737" xr:uid="{00000000-0005-0000-0000-00007B120000}"/>
    <cellStyle name="20% - Accent6 4 2 4 4" xfId="4738" xr:uid="{00000000-0005-0000-0000-00007C120000}"/>
    <cellStyle name="20% - Accent6 4 2 4 4 2" xfId="4739" xr:uid="{00000000-0005-0000-0000-00007D120000}"/>
    <cellStyle name="20% - Accent6 4 2 4 4 2 2" xfId="4740" xr:uid="{00000000-0005-0000-0000-00007E120000}"/>
    <cellStyle name="20% - Accent6 4 2 4 4 3" xfId="4741" xr:uid="{00000000-0005-0000-0000-00007F120000}"/>
    <cellStyle name="20% - Accent6 4 2 4 5" xfId="4742" xr:uid="{00000000-0005-0000-0000-000080120000}"/>
    <cellStyle name="20% - Accent6 4 2 4 5 2" xfId="4743" xr:uid="{00000000-0005-0000-0000-000081120000}"/>
    <cellStyle name="20% - Accent6 4 2 4 6" xfId="4744" xr:uid="{00000000-0005-0000-0000-000082120000}"/>
    <cellStyle name="20% - Accent6 4 2 4 6 2" xfId="4745" xr:uid="{00000000-0005-0000-0000-000083120000}"/>
    <cellStyle name="20% - Accent6 4 2 4 7" xfId="4746" xr:uid="{00000000-0005-0000-0000-000084120000}"/>
    <cellStyle name="20% - Accent6 4 2 4 7 2" xfId="4747" xr:uid="{00000000-0005-0000-0000-000085120000}"/>
    <cellStyle name="20% - Accent6 4 2 4 8" xfId="4748" xr:uid="{00000000-0005-0000-0000-000086120000}"/>
    <cellStyle name="20% - Accent6 4 2 5" xfId="4749" xr:uid="{00000000-0005-0000-0000-000087120000}"/>
    <cellStyle name="20% - Accent6 4 2 5 2" xfId="4750" xr:uid="{00000000-0005-0000-0000-000088120000}"/>
    <cellStyle name="20% - Accent6 4 2 5 2 2" xfId="4751" xr:uid="{00000000-0005-0000-0000-000089120000}"/>
    <cellStyle name="20% - Accent6 4 2 5 2 2 2" xfId="4752" xr:uid="{00000000-0005-0000-0000-00008A120000}"/>
    <cellStyle name="20% - Accent6 4 2 5 2 3" xfId="4753" xr:uid="{00000000-0005-0000-0000-00008B120000}"/>
    <cellStyle name="20% - Accent6 4 2 5 2 3 2" xfId="4754" xr:uid="{00000000-0005-0000-0000-00008C120000}"/>
    <cellStyle name="20% - Accent6 4 2 5 2 4" xfId="4755" xr:uid="{00000000-0005-0000-0000-00008D120000}"/>
    <cellStyle name="20% - Accent6 4 2 5 3" xfId="4756" xr:uid="{00000000-0005-0000-0000-00008E120000}"/>
    <cellStyle name="20% - Accent6 4 2 5 3 2" xfId="4757" xr:uid="{00000000-0005-0000-0000-00008F120000}"/>
    <cellStyle name="20% - Accent6 4 2 5 4" xfId="4758" xr:uid="{00000000-0005-0000-0000-000090120000}"/>
    <cellStyle name="20% - Accent6 4 2 5 4 2" xfId="4759" xr:uid="{00000000-0005-0000-0000-000091120000}"/>
    <cellStyle name="20% - Accent6 4 2 5 5" xfId="4760" xr:uid="{00000000-0005-0000-0000-000092120000}"/>
    <cellStyle name="20% - Accent6 4 2 5 5 2" xfId="4761" xr:uid="{00000000-0005-0000-0000-000093120000}"/>
    <cellStyle name="20% - Accent6 4 2 5 6" xfId="4762" xr:uid="{00000000-0005-0000-0000-000094120000}"/>
    <cellStyle name="20% - Accent6 4 2 5 6 2" xfId="4763" xr:uid="{00000000-0005-0000-0000-000095120000}"/>
    <cellStyle name="20% - Accent6 4 2 5 7" xfId="4764" xr:uid="{00000000-0005-0000-0000-000096120000}"/>
    <cellStyle name="20% - Accent6 4 2 6" xfId="4765" xr:uid="{00000000-0005-0000-0000-000097120000}"/>
    <cellStyle name="20% - Accent6 4 2 6 2" xfId="4766" xr:uid="{00000000-0005-0000-0000-000098120000}"/>
    <cellStyle name="20% - Accent6 4 2 6 2 2" xfId="4767" xr:uid="{00000000-0005-0000-0000-000099120000}"/>
    <cellStyle name="20% - Accent6 4 2 6 3" xfId="4768" xr:uid="{00000000-0005-0000-0000-00009A120000}"/>
    <cellStyle name="20% - Accent6 4 2 6 3 2" xfId="4769" xr:uid="{00000000-0005-0000-0000-00009B120000}"/>
    <cellStyle name="20% - Accent6 4 2 6 4" xfId="4770" xr:uid="{00000000-0005-0000-0000-00009C120000}"/>
    <cellStyle name="20% - Accent6 4 2 6 4 2" xfId="4771" xr:uid="{00000000-0005-0000-0000-00009D120000}"/>
    <cellStyle name="20% - Accent6 4 2 6 5" xfId="4772" xr:uid="{00000000-0005-0000-0000-00009E120000}"/>
    <cellStyle name="20% - Accent6 4 2 6 5 2" xfId="4773" xr:uid="{00000000-0005-0000-0000-00009F120000}"/>
    <cellStyle name="20% - Accent6 4 2 6 6" xfId="4774" xr:uid="{00000000-0005-0000-0000-0000A0120000}"/>
    <cellStyle name="20% - Accent6 4 2 7" xfId="4775" xr:uid="{00000000-0005-0000-0000-0000A1120000}"/>
    <cellStyle name="20% - Accent6 4 2 7 2" xfId="4776" xr:uid="{00000000-0005-0000-0000-0000A2120000}"/>
    <cellStyle name="20% - Accent6 4 2 7 2 2" xfId="4777" xr:uid="{00000000-0005-0000-0000-0000A3120000}"/>
    <cellStyle name="20% - Accent6 4 2 7 3" xfId="4778" xr:uid="{00000000-0005-0000-0000-0000A4120000}"/>
    <cellStyle name="20% - Accent6 4 2 8" xfId="4779" xr:uid="{00000000-0005-0000-0000-0000A5120000}"/>
    <cellStyle name="20% - Accent6 4 2 8 2" xfId="4780" xr:uid="{00000000-0005-0000-0000-0000A6120000}"/>
    <cellStyle name="20% - Accent6 4 2 9" xfId="4781" xr:uid="{00000000-0005-0000-0000-0000A7120000}"/>
    <cellStyle name="20% - Accent6 4 2 9 2" xfId="4782" xr:uid="{00000000-0005-0000-0000-0000A8120000}"/>
    <cellStyle name="20% - Accent6 4 3" xfId="4783" xr:uid="{00000000-0005-0000-0000-0000A9120000}"/>
    <cellStyle name="20% - Accent6 4 3 10" xfId="4784" xr:uid="{00000000-0005-0000-0000-0000AA120000}"/>
    <cellStyle name="20% - Accent6 4 3 2" xfId="4785" xr:uid="{00000000-0005-0000-0000-0000AB120000}"/>
    <cellStyle name="20% - Accent6 4 3 2 2" xfId="4786" xr:uid="{00000000-0005-0000-0000-0000AC120000}"/>
    <cellStyle name="20% - Accent6 4 3 2 2 2" xfId="4787" xr:uid="{00000000-0005-0000-0000-0000AD120000}"/>
    <cellStyle name="20% - Accent6 4 3 2 2 2 2" xfId="4788" xr:uid="{00000000-0005-0000-0000-0000AE120000}"/>
    <cellStyle name="20% - Accent6 4 3 2 2 2 2 2" xfId="4789" xr:uid="{00000000-0005-0000-0000-0000AF120000}"/>
    <cellStyle name="20% - Accent6 4 3 2 2 2 3" xfId="4790" xr:uid="{00000000-0005-0000-0000-0000B0120000}"/>
    <cellStyle name="20% - Accent6 4 3 2 2 2 3 2" xfId="4791" xr:uid="{00000000-0005-0000-0000-0000B1120000}"/>
    <cellStyle name="20% - Accent6 4 3 2 2 2 4" xfId="4792" xr:uid="{00000000-0005-0000-0000-0000B2120000}"/>
    <cellStyle name="20% - Accent6 4 3 2 2 3" xfId="4793" xr:uid="{00000000-0005-0000-0000-0000B3120000}"/>
    <cellStyle name="20% - Accent6 4 3 2 2 3 2" xfId="4794" xr:uid="{00000000-0005-0000-0000-0000B4120000}"/>
    <cellStyle name="20% - Accent6 4 3 2 2 4" xfId="4795" xr:uid="{00000000-0005-0000-0000-0000B5120000}"/>
    <cellStyle name="20% - Accent6 4 3 2 2 4 2" xfId="4796" xr:uid="{00000000-0005-0000-0000-0000B6120000}"/>
    <cellStyle name="20% - Accent6 4 3 2 2 5" xfId="4797" xr:uid="{00000000-0005-0000-0000-0000B7120000}"/>
    <cellStyle name="20% - Accent6 4 3 2 2 5 2" xfId="4798" xr:uid="{00000000-0005-0000-0000-0000B8120000}"/>
    <cellStyle name="20% - Accent6 4 3 2 2 6" xfId="4799" xr:uid="{00000000-0005-0000-0000-0000B9120000}"/>
    <cellStyle name="20% - Accent6 4 3 2 2 6 2" xfId="4800" xr:uid="{00000000-0005-0000-0000-0000BA120000}"/>
    <cellStyle name="20% - Accent6 4 3 2 2 7" xfId="4801" xr:uid="{00000000-0005-0000-0000-0000BB120000}"/>
    <cellStyle name="20% - Accent6 4 3 2 3" xfId="4802" xr:uid="{00000000-0005-0000-0000-0000BC120000}"/>
    <cellStyle name="20% - Accent6 4 3 2 3 2" xfId="4803" xr:uid="{00000000-0005-0000-0000-0000BD120000}"/>
    <cellStyle name="20% - Accent6 4 3 2 3 2 2" xfId="4804" xr:uid="{00000000-0005-0000-0000-0000BE120000}"/>
    <cellStyle name="20% - Accent6 4 3 2 3 3" xfId="4805" xr:uid="{00000000-0005-0000-0000-0000BF120000}"/>
    <cellStyle name="20% - Accent6 4 3 2 3 3 2" xfId="4806" xr:uid="{00000000-0005-0000-0000-0000C0120000}"/>
    <cellStyle name="20% - Accent6 4 3 2 3 4" xfId="4807" xr:uid="{00000000-0005-0000-0000-0000C1120000}"/>
    <cellStyle name="20% - Accent6 4 3 2 3 4 2" xfId="4808" xr:uid="{00000000-0005-0000-0000-0000C2120000}"/>
    <cellStyle name="20% - Accent6 4 3 2 3 5" xfId="4809" xr:uid="{00000000-0005-0000-0000-0000C3120000}"/>
    <cellStyle name="20% - Accent6 4 3 2 3 5 2" xfId="4810" xr:uid="{00000000-0005-0000-0000-0000C4120000}"/>
    <cellStyle name="20% - Accent6 4 3 2 3 6" xfId="4811" xr:uid="{00000000-0005-0000-0000-0000C5120000}"/>
    <cellStyle name="20% - Accent6 4 3 2 4" xfId="4812" xr:uid="{00000000-0005-0000-0000-0000C6120000}"/>
    <cellStyle name="20% - Accent6 4 3 2 4 2" xfId="4813" xr:uid="{00000000-0005-0000-0000-0000C7120000}"/>
    <cellStyle name="20% - Accent6 4 3 2 4 2 2" xfId="4814" xr:uid="{00000000-0005-0000-0000-0000C8120000}"/>
    <cellStyle name="20% - Accent6 4 3 2 4 3" xfId="4815" xr:uid="{00000000-0005-0000-0000-0000C9120000}"/>
    <cellStyle name="20% - Accent6 4 3 2 5" xfId="4816" xr:uid="{00000000-0005-0000-0000-0000CA120000}"/>
    <cellStyle name="20% - Accent6 4 3 2 5 2" xfId="4817" xr:uid="{00000000-0005-0000-0000-0000CB120000}"/>
    <cellStyle name="20% - Accent6 4 3 2 6" xfId="4818" xr:uid="{00000000-0005-0000-0000-0000CC120000}"/>
    <cellStyle name="20% - Accent6 4 3 2 6 2" xfId="4819" xr:uid="{00000000-0005-0000-0000-0000CD120000}"/>
    <cellStyle name="20% - Accent6 4 3 2 7" xfId="4820" xr:uid="{00000000-0005-0000-0000-0000CE120000}"/>
    <cellStyle name="20% - Accent6 4 3 2 7 2" xfId="4821" xr:uid="{00000000-0005-0000-0000-0000CF120000}"/>
    <cellStyle name="20% - Accent6 4 3 2 8" xfId="4822" xr:uid="{00000000-0005-0000-0000-0000D0120000}"/>
    <cellStyle name="20% - Accent6 4 3 3" xfId="4823" xr:uid="{00000000-0005-0000-0000-0000D1120000}"/>
    <cellStyle name="20% - Accent6 4 3 3 2" xfId="4824" xr:uid="{00000000-0005-0000-0000-0000D2120000}"/>
    <cellStyle name="20% - Accent6 4 3 3 2 2" xfId="4825" xr:uid="{00000000-0005-0000-0000-0000D3120000}"/>
    <cellStyle name="20% - Accent6 4 3 3 2 2 2" xfId="4826" xr:uid="{00000000-0005-0000-0000-0000D4120000}"/>
    <cellStyle name="20% - Accent6 4 3 3 2 2 2 2" xfId="4827" xr:uid="{00000000-0005-0000-0000-0000D5120000}"/>
    <cellStyle name="20% - Accent6 4 3 3 2 2 3" xfId="4828" xr:uid="{00000000-0005-0000-0000-0000D6120000}"/>
    <cellStyle name="20% - Accent6 4 3 3 2 2 3 2" xfId="4829" xr:uid="{00000000-0005-0000-0000-0000D7120000}"/>
    <cellStyle name="20% - Accent6 4 3 3 2 2 4" xfId="4830" xr:uid="{00000000-0005-0000-0000-0000D8120000}"/>
    <cellStyle name="20% - Accent6 4 3 3 2 3" xfId="4831" xr:uid="{00000000-0005-0000-0000-0000D9120000}"/>
    <cellStyle name="20% - Accent6 4 3 3 2 3 2" xfId="4832" xr:uid="{00000000-0005-0000-0000-0000DA120000}"/>
    <cellStyle name="20% - Accent6 4 3 3 2 4" xfId="4833" xr:uid="{00000000-0005-0000-0000-0000DB120000}"/>
    <cellStyle name="20% - Accent6 4 3 3 2 4 2" xfId="4834" xr:uid="{00000000-0005-0000-0000-0000DC120000}"/>
    <cellStyle name="20% - Accent6 4 3 3 2 5" xfId="4835" xr:uid="{00000000-0005-0000-0000-0000DD120000}"/>
    <cellStyle name="20% - Accent6 4 3 3 2 5 2" xfId="4836" xr:uid="{00000000-0005-0000-0000-0000DE120000}"/>
    <cellStyle name="20% - Accent6 4 3 3 2 6" xfId="4837" xr:uid="{00000000-0005-0000-0000-0000DF120000}"/>
    <cellStyle name="20% - Accent6 4 3 3 2 6 2" xfId="4838" xr:uid="{00000000-0005-0000-0000-0000E0120000}"/>
    <cellStyle name="20% - Accent6 4 3 3 2 7" xfId="4839" xr:uid="{00000000-0005-0000-0000-0000E1120000}"/>
    <cellStyle name="20% - Accent6 4 3 3 3" xfId="4840" xr:uid="{00000000-0005-0000-0000-0000E2120000}"/>
    <cellStyle name="20% - Accent6 4 3 3 3 2" xfId="4841" xr:uid="{00000000-0005-0000-0000-0000E3120000}"/>
    <cellStyle name="20% - Accent6 4 3 3 3 2 2" xfId="4842" xr:uid="{00000000-0005-0000-0000-0000E4120000}"/>
    <cellStyle name="20% - Accent6 4 3 3 3 3" xfId="4843" xr:uid="{00000000-0005-0000-0000-0000E5120000}"/>
    <cellStyle name="20% - Accent6 4 3 3 3 3 2" xfId="4844" xr:uid="{00000000-0005-0000-0000-0000E6120000}"/>
    <cellStyle name="20% - Accent6 4 3 3 3 4" xfId="4845" xr:uid="{00000000-0005-0000-0000-0000E7120000}"/>
    <cellStyle name="20% - Accent6 4 3 3 3 4 2" xfId="4846" xr:uid="{00000000-0005-0000-0000-0000E8120000}"/>
    <cellStyle name="20% - Accent6 4 3 3 3 5" xfId="4847" xr:uid="{00000000-0005-0000-0000-0000E9120000}"/>
    <cellStyle name="20% - Accent6 4 3 3 3 5 2" xfId="4848" xr:uid="{00000000-0005-0000-0000-0000EA120000}"/>
    <cellStyle name="20% - Accent6 4 3 3 3 6" xfId="4849" xr:uid="{00000000-0005-0000-0000-0000EB120000}"/>
    <cellStyle name="20% - Accent6 4 3 3 4" xfId="4850" xr:uid="{00000000-0005-0000-0000-0000EC120000}"/>
    <cellStyle name="20% - Accent6 4 3 3 4 2" xfId="4851" xr:uid="{00000000-0005-0000-0000-0000ED120000}"/>
    <cellStyle name="20% - Accent6 4 3 3 4 2 2" xfId="4852" xr:uid="{00000000-0005-0000-0000-0000EE120000}"/>
    <cellStyle name="20% - Accent6 4 3 3 4 3" xfId="4853" xr:uid="{00000000-0005-0000-0000-0000EF120000}"/>
    <cellStyle name="20% - Accent6 4 3 3 5" xfId="4854" xr:uid="{00000000-0005-0000-0000-0000F0120000}"/>
    <cellStyle name="20% - Accent6 4 3 3 5 2" xfId="4855" xr:uid="{00000000-0005-0000-0000-0000F1120000}"/>
    <cellStyle name="20% - Accent6 4 3 3 6" xfId="4856" xr:uid="{00000000-0005-0000-0000-0000F2120000}"/>
    <cellStyle name="20% - Accent6 4 3 3 6 2" xfId="4857" xr:uid="{00000000-0005-0000-0000-0000F3120000}"/>
    <cellStyle name="20% - Accent6 4 3 3 7" xfId="4858" xr:uid="{00000000-0005-0000-0000-0000F4120000}"/>
    <cellStyle name="20% - Accent6 4 3 3 7 2" xfId="4859" xr:uid="{00000000-0005-0000-0000-0000F5120000}"/>
    <cellStyle name="20% - Accent6 4 3 3 8" xfId="4860" xr:uid="{00000000-0005-0000-0000-0000F6120000}"/>
    <cellStyle name="20% - Accent6 4 3 4" xfId="4861" xr:uid="{00000000-0005-0000-0000-0000F7120000}"/>
    <cellStyle name="20% - Accent6 4 3 4 2" xfId="4862" xr:uid="{00000000-0005-0000-0000-0000F8120000}"/>
    <cellStyle name="20% - Accent6 4 3 4 2 2" xfId="4863" xr:uid="{00000000-0005-0000-0000-0000F9120000}"/>
    <cellStyle name="20% - Accent6 4 3 4 2 2 2" xfId="4864" xr:uid="{00000000-0005-0000-0000-0000FA120000}"/>
    <cellStyle name="20% - Accent6 4 3 4 2 3" xfId="4865" xr:uid="{00000000-0005-0000-0000-0000FB120000}"/>
    <cellStyle name="20% - Accent6 4 3 4 2 3 2" xfId="4866" xr:uid="{00000000-0005-0000-0000-0000FC120000}"/>
    <cellStyle name="20% - Accent6 4 3 4 2 4" xfId="4867" xr:uid="{00000000-0005-0000-0000-0000FD120000}"/>
    <cellStyle name="20% - Accent6 4 3 4 3" xfId="4868" xr:uid="{00000000-0005-0000-0000-0000FE120000}"/>
    <cellStyle name="20% - Accent6 4 3 4 3 2" xfId="4869" xr:uid="{00000000-0005-0000-0000-0000FF120000}"/>
    <cellStyle name="20% - Accent6 4 3 4 4" xfId="4870" xr:uid="{00000000-0005-0000-0000-000000130000}"/>
    <cellStyle name="20% - Accent6 4 3 4 4 2" xfId="4871" xr:uid="{00000000-0005-0000-0000-000001130000}"/>
    <cellStyle name="20% - Accent6 4 3 4 5" xfId="4872" xr:uid="{00000000-0005-0000-0000-000002130000}"/>
    <cellStyle name="20% - Accent6 4 3 4 5 2" xfId="4873" xr:uid="{00000000-0005-0000-0000-000003130000}"/>
    <cellStyle name="20% - Accent6 4 3 4 6" xfId="4874" xr:uid="{00000000-0005-0000-0000-000004130000}"/>
    <cellStyle name="20% - Accent6 4 3 4 6 2" xfId="4875" xr:uid="{00000000-0005-0000-0000-000005130000}"/>
    <cellStyle name="20% - Accent6 4 3 4 7" xfId="4876" xr:uid="{00000000-0005-0000-0000-000006130000}"/>
    <cellStyle name="20% - Accent6 4 3 5" xfId="4877" xr:uid="{00000000-0005-0000-0000-000007130000}"/>
    <cellStyle name="20% - Accent6 4 3 5 2" xfId="4878" xr:uid="{00000000-0005-0000-0000-000008130000}"/>
    <cellStyle name="20% - Accent6 4 3 5 2 2" xfId="4879" xr:uid="{00000000-0005-0000-0000-000009130000}"/>
    <cellStyle name="20% - Accent6 4 3 5 3" xfId="4880" xr:uid="{00000000-0005-0000-0000-00000A130000}"/>
    <cellStyle name="20% - Accent6 4 3 5 3 2" xfId="4881" xr:uid="{00000000-0005-0000-0000-00000B130000}"/>
    <cellStyle name="20% - Accent6 4 3 5 4" xfId="4882" xr:uid="{00000000-0005-0000-0000-00000C130000}"/>
    <cellStyle name="20% - Accent6 4 3 5 4 2" xfId="4883" xr:uid="{00000000-0005-0000-0000-00000D130000}"/>
    <cellStyle name="20% - Accent6 4 3 5 5" xfId="4884" xr:uid="{00000000-0005-0000-0000-00000E130000}"/>
    <cellStyle name="20% - Accent6 4 3 5 5 2" xfId="4885" xr:uid="{00000000-0005-0000-0000-00000F130000}"/>
    <cellStyle name="20% - Accent6 4 3 5 6" xfId="4886" xr:uid="{00000000-0005-0000-0000-000010130000}"/>
    <cellStyle name="20% - Accent6 4 3 6" xfId="4887" xr:uid="{00000000-0005-0000-0000-000011130000}"/>
    <cellStyle name="20% - Accent6 4 3 6 2" xfId="4888" xr:uid="{00000000-0005-0000-0000-000012130000}"/>
    <cellStyle name="20% - Accent6 4 3 6 2 2" xfId="4889" xr:uid="{00000000-0005-0000-0000-000013130000}"/>
    <cellStyle name="20% - Accent6 4 3 6 3" xfId="4890" xr:uid="{00000000-0005-0000-0000-000014130000}"/>
    <cellStyle name="20% - Accent6 4 3 7" xfId="4891" xr:uid="{00000000-0005-0000-0000-000015130000}"/>
    <cellStyle name="20% - Accent6 4 3 7 2" xfId="4892" xr:uid="{00000000-0005-0000-0000-000016130000}"/>
    <cellStyle name="20% - Accent6 4 3 8" xfId="4893" xr:uid="{00000000-0005-0000-0000-000017130000}"/>
    <cellStyle name="20% - Accent6 4 3 8 2" xfId="4894" xr:uid="{00000000-0005-0000-0000-000018130000}"/>
    <cellStyle name="20% - Accent6 4 3 9" xfId="4895" xr:uid="{00000000-0005-0000-0000-000019130000}"/>
    <cellStyle name="20% - Accent6 4 3 9 2" xfId="4896" xr:uid="{00000000-0005-0000-0000-00001A130000}"/>
    <cellStyle name="20% - Accent6 4 4" xfId="4897" xr:uid="{00000000-0005-0000-0000-00001B130000}"/>
    <cellStyle name="20% - Accent6 4 4 2" xfId="4898" xr:uid="{00000000-0005-0000-0000-00001C130000}"/>
    <cellStyle name="20% - Accent6 4 4 2 2" xfId="4899" xr:uid="{00000000-0005-0000-0000-00001D130000}"/>
    <cellStyle name="20% - Accent6 4 4 2 2 2" xfId="4900" xr:uid="{00000000-0005-0000-0000-00001E130000}"/>
    <cellStyle name="20% - Accent6 4 4 2 2 2 2" xfId="4901" xr:uid="{00000000-0005-0000-0000-00001F130000}"/>
    <cellStyle name="20% - Accent6 4 4 2 2 3" xfId="4902" xr:uid="{00000000-0005-0000-0000-000020130000}"/>
    <cellStyle name="20% - Accent6 4 4 2 2 3 2" xfId="4903" xr:uid="{00000000-0005-0000-0000-000021130000}"/>
    <cellStyle name="20% - Accent6 4 4 2 2 4" xfId="4904" xr:uid="{00000000-0005-0000-0000-000022130000}"/>
    <cellStyle name="20% - Accent6 4 4 2 3" xfId="4905" xr:uid="{00000000-0005-0000-0000-000023130000}"/>
    <cellStyle name="20% - Accent6 4 4 2 3 2" xfId="4906" xr:uid="{00000000-0005-0000-0000-000024130000}"/>
    <cellStyle name="20% - Accent6 4 4 2 4" xfId="4907" xr:uid="{00000000-0005-0000-0000-000025130000}"/>
    <cellStyle name="20% - Accent6 4 4 2 4 2" xfId="4908" xr:uid="{00000000-0005-0000-0000-000026130000}"/>
    <cellStyle name="20% - Accent6 4 4 2 5" xfId="4909" xr:uid="{00000000-0005-0000-0000-000027130000}"/>
    <cellStyle name="20% - Accent6 4 4 2 5 2" xfId="4910" xr:uid="{00000000-0005-0000-0000-000028130000}"/>
    <cellStyle name="20% - Accent6 4 4 2 6" xfId="4911" xr:uid="{00000000-0005-0000-0000-000029130000}"/>
    <cellStyle name="20% - Accent6 4 4 2 6 2" xfId="4912" xr:uid="{00000000-0005-0000-0000-00002A130000}"/>
    <cellStyle name="20% - Accent6 4 4 2 7" xfId="4913" xr:uid="{00000000-0005-0000-0000-00002B130000}"/>
    <cellStyle name="20% - Accent6 4 4 3" xfId="4914" xr:uid="{00000000-0005-0000-0000-00002C130000}"/>
    <cellStyle name="20% - Accent6 4 4 3 2" xfId="4915" xr:uid="{00000000-0005-0000-0000-00002D130000}"/>
    <cellStyle name="20% - Accent6 4 4 3 2 2" xfId="4916" xr:uid="{00000000-0005-0000-0000-00002E130000}"/>
    <cellStyle name="20% - Accent6 4 4 3 3" xfId="4917" xr:uid="{00000000-0005-0000-0000-00002F130000}"/>
    <cellStyle name="20% - Accent6 4 4 3 3 2" xfId="4918" xr:uid="{00000000-0005-0000-0000-000030130000}"/>
    <cellStyle name="20% - Accent6 4 4 3 4" xfId="4919" xr:uid="{00000000-0005-0000-0000-000031130000}"/>
    <cellStyle name="20% - Accent6 4 4 3 4 2" xfId="4920" xr:uid="{00000000-0005-0000-0000-000032130000}"/>
    <cellStyle name="20% - Accent6 4 4 3 5" xfId="4921" xr:uid="{00000000-0005-0000-0000-000033130000}"/>
    <cellStyle name="20% - Accent6 4 4 3 5 2" xfId="4922" xr:uid="{00000000-0005-0000-0000-000034130000}"/>
    <cellStyle name="20% - Accent6 4 4 3 6" xfId="4923" xr:uid="{00000000-0005-0000-0000-000035130000}"/>
    <cellStyle name="20% - Accent6 4 4 4" xfId="4924" xr:uid="{00000000-0005-0000-0000-000036130000}"/>
    <cellStyle name="20% - Accent6 4 4 4 2" xfId="4925" xr:uid="{00000000-0005-0000-0000-000037130000}"/>
    <cellStyle name="20% - Accent6 4 4 4 2 2" xfId="4926" xr:uid="{00000000-0005-0000-0000-000038130000}"/>
    <cellStyle name="20% - Accent6 4 4 4 3" xfId="4927" xr:uid="{00000000-0005-0000-0000-000039130000}"/>
    <cellStyle name="20% - Accent6 4 4 5" xfId="4928" xr:uid="{00000000-0005-0000-0000-00003A130000}"/>
    <cellStyle name="20% - Accent6 4 4 5 2" xfId="4929" xr:uid="{00000000-0005-0000-0000-00003B130000}"/>
    <cellStyle name="20% - Accent6 4 4 6" xfId="4930" xr:uid="{00000000-0005-0000-0000-00003C130000}"/>
    <cellStyle name="20% - Accent6 4 4 6 2" xfId="4931" xr:uid="{00000000-0005-0000-0000-00003D130000}"/>
    <cellStyle name="20% - Accent6 4 4 7" xfId="4932" xr:uid="{00000000-0005-0000-0000-00003E130000}"/>
    <cellStyle name="20% - Accent6 4 4 7 2" xfId="4933" xr:uid="{00000000-0005-0000-0000-00003F130000}"/>
    <cellStyle name="20% - Accent6 4 4 8" xfId="4934" xr:uid="{00000000-0005-0000-0000-000040130000}"/>
    <cellStyle name="20% - Accent6 4 5" xfId="4935" xr:uid="{00000000-0005-0000-0000-000041130000}"/>
    <cellStyle name="20% - Accent6 4 5 2" xfId="4936" xr:uid="{00000000-0005-0000-0000-000042130000}"/>
    <cellStyle name="20% - Accent6 4 5 2 2" xfId="4937" xr:uid="{00000000-0005-0000-0000-000043130000}"/>
    <cellStyle name="20% - Accent6 4 5 2 2 2" xfId="4938" xr:uid="{00000000-0005-0000-0000-000044130000}"/>
    <cellStyle name="20% - Accent6 4 5 2 2 2 2" xfId="4939" xr:uid="{00000000-0005-0000-0000-000045130000}"/>
    <cellStyle name="20% - Accent6 4 5 2 2 3" xfId="4940" xr:uid="{00000000-0005-0000-0000-000046130000}"/>
    <cellStyle name="20% - Accent6 4 5 2 2 3 2" xfId="4941" xr:uid="{00000000-0005-0000-0000-000047130000}"/>
    <cellStyle name="20% - Accent6 4 5 2 2 4" xfId="4942" xr:uid="{00000000-0005-0000-0000-000048130000}"/>
    <cellStyle name="20% - Accent6 4 5 2 3" xfId="4943" xr:uid="{00000000-0005-0000-0000-000049130000}"/>
    <cellStyle name="20% - Accent6 4 5 2 3 2" xfId="4944" xr:uid="{00000000-0005-0000-0000-00004A130000}"/>
    <cellStyle name="20% - Accent6 4 5 2 4" xfId="4945" xr:uid="{00000000-0005-0000-0000-00004B130000}"/>
    <cellStyle name="20% - Accent6 4 5 2 4 2" xfId="4946" xr:uid="{00000000-0005-0000-0000-00004C130000}"/>
    <cellStyle name="20% - Accent6 4 5 2 5" xfId="4947" xr:uid="{00000000-0005-0000-0000-00004D130000}"/>
    <cellStyle name="20% - Accent6 4 5 2 5 2" xfId="4948" xr:uid="{00000000-0005-0000-0000-00004E130000}"/>
    <cellStyle name="20% - Accent6 4 5 2 6" xfId="4949" xr:uid="{00000000-0005-0000-0000-00004F130000}"/>
    <cellStyle name="20% - Accent6 4 5 2 6 2" xfId="4950" xr:uid="{00000000-0005-0000-0000-000050130000}"/>
    <cellStyle name="20% - Accent6 4 5 2 7" xfId="4951" xr:uid="{00000000-0005-0000-0000-000051130000}"/>
    <cellStyle name="20% - Accent6 4 5 3" xfId="4952" xr:uid="{00000000-0005-0000-0000-000052130000}"/>
    <cellStyle name="20% - Accent6 4 5 3 2" xfId="4953" xr:uid="{00000000-0005-0000-0000-000053130000}"/>
    <cellStyle name="20% - Accent6 4 5 3 2 2" xfId="4954" xr:uid="{00000000-0005-0000-0000-000054130000}"/>
    <cellStyle name="20% - Accent6 4 5 3 3" xfId="4955" xr:uid="{00000000-0005-0000-0000-000055130000}"/>
    <cellStyle name="20% - Accent6 4 5 3 3 2" xfId="4956" xr:uid="{00000000-0005-0000-0000-000056130000}"/>
    <cellStyle name="20% - Accent6 4 5 3 4" xfId="4957" xr:uid="{00000000-0005-0000-0000-000057130000}"/>
    <cellStyle name="20% - Accent6 4 5 3 4 2" xfId="4958" xr:uid="{00000000-0005-0000-0000-000058130000}"/>
    <cellStyle name="20% - Accent6 4 5 3 5" xfId="4959" xr:uid="{00000000-0005-0000-0000-000059130000}"/>
    <cellStyle name="20% - Accent6 4 5 3 5 2" xfId="4960" xr:uid="{00000000-0005-0000-0000-00005A130000}"/>
    <cellStyle name="20% - Accent6 4 5 3 6" xfId="4961" xr:uid="{00000000-0005-0000-0000-00005B130000}"/>
    <cellStyle name="20% - Accent6 4 5 4" xfId="4962" xr:uid="{00000000-0005-0000-0000-00005C130000}"/>
    <cellStyle name="20% - Accent6 4 5 4 2" xfId="4963" xr:uid="{00000000-0005-0000-0000-00005D130000}"/>
    <cellStyle name="20% - Accent6 4 5 4 2 2" xfId="4964" xr:uid="{00000000-0005-0000-0000-00005E130000}"/>
    <cellStyle name="20% - Accent6 4 5 4 3" xfId="4965" xr:uid="{00000000-0005-0000-0000-00005F130000}"/>
    <cellStyle name="20% - Accent6 4 5 5" xfId="4966" xr:uid="{00000000-0005-0000-0000-000060130000}"/>
    <cellStyle name="20% - Accent6 4 5 5 2" xfId="4967" xr:uid="{00000000-0005-0000-0000-000061130000}"/>
    <cellStyle name="20% - Accent6 4 5 6" xfId="4968" xr:uid="{00000000-0005-0000-0000-000062130000}"/>
    <cellStyle name="20% - Accent6 4 5 6 2" xfId="4969" xr:uid="{00000000-0005-0000-0000-000063130000}"/>
    <cellStyle name="20% - Accent6 4 5 7" xfId="4970" xr:uid="{00000000-0005-0000-0000-000064130000}"/>
    <cellStyle name="20% - Accent6 4 5 7 2" xfId="4971" xr:uid="{00000000-0005-0000-0000-000065130000}"/>
    <cellStyle name="20% - Accent6 4 5 8" xfId="4972" xr:uid="{00000000-0005-0000-0000-000066130000}"/>
    <cellStyle name="20% - Accent6 4 6" xfId="4973" xr:uid="{00000000-0005-0000-0000-000067130000}"/>
    <cellStyle name="20% - Accent6 4 6 2" xfId="4974" xr:uid="{00000000-0005-0000-0000-000068130000}"/>
    <cellStyle name="20% - Accent6 4 6 2 2" xfId="4975" xr:uid="{00000000-0005-0000-0000-000069130000}"/>
    <cellStyle name="20% - Accent6 4 6 2 2 2" xfId="4976" xr:uid="{00000000-0005-0000-0000-00006A130000}"/>
    <cellStyle name="20% - Accent6 4 6 2 3" xfId="4977" xr:uid="{00000000-0005-0000-0000-00006B130000}"/>
    <cellStyle name="20% - Accent6 4 6 2 3 2" xfId="4978" xr:uid="{00000000-0005-0000-0000-00006C130000}"/>
    <cellStyle name="20% - Accent6 4 6 2 4" xfId="4979" xr:uid="{00000000-0005-0000-0000-00006D130000}"/>
    <cellStyle name="20% - Accent6 4 6 3" xfId="4980" xr:uid="{00000000-0005-0000-0000-00006E130000}"/>
    <cellStyle name="20% - Accent6 4 6 3 2" xfId="4981" xr:uid="{00000000-0005-0000-0000-00006F130000}"/>
    <cellStyle name="20% - Accent6 4 6 4" xfId="4982" xr:uid="{00000000-0005-0000-0000-000070130000}"/>
    <cellStyle name="20% - Accent6 4 6 4 2" xfId="4983" xr:uid="{00000000-0005-0000-0000-000071130000}"/>
    <cellStyle name="20% - Accent6 4 6 5" xfId="4984" xr:uid="{00000000-0005-0000-0000-000072130000}"/>
    <cellStyle name="20% - Accent6 4 6 5 2" xfId="4985" xr:uid="{00000000-0005-0000-0000-000073130000}"/>
    <cellStyle name="20% - Accent6 4 6 6" xfId="4986" xr:uid="{00000000-0005-0000-0000-000074130000}"/>
    <cellStyle name="20% - Accent6 4 6 6 2" xfId="4987" xr:uid="{00000000-0005-0000-0000-000075130000}"/>
    <cellStyle name="20% - Accent6 4 6 7" xfId="4988" xr:uid="{00000000-0005-0000-0000-000076130000}"/>
    <cellStyle name="20% - Accent6 4 7" xfId="4989" xr:uid="{00000000-0005-0000-0000-000077130000}"/>
    <cellStyle name="20% - Accent6 4 7 2" xfId="4990" xr:uid="{00000000-0005-0000-0000-000078130000}"/>
    <cellStyle name="20% - Accent6 4 7 2 2" xfId="4991" xr:uid="{00000000-0005-0000-0000-000079130000}"/>
    <cellStyle name="20% - Accent6 4 7 3" xfId="4992" xr:uid="{00000000-0005-0000-0000-00007A130000}"/>
    <cellStyle name="20% - Accent6 4 7 3 2" xfId="4993" xr:uid="{00000000-0005-0000-0000-00007B130000}"/>
    <cellStyle name="20% - Accent6 4 7 4" xfId="4994" xr:uid="{00000000-0005-0000-0000-00007C130000}"/>
    <cellStyle name="20% - Accent6 4 7 4 2" xfId="4995" xr:uid="{00000000-0005-0000-0000-00007D130000}"/>
    <cellStyle name="20% - Accent6 4 7 5" xfId="4996" xr:uid="{00000000-0005-0000-0000-00007E130000}"/>
    <cellStyle name="20% - Accent6 4 7 5 2" xfId="4997" xr:uid="{00000000-0005-0000-0000-00007F130000}"/>
    <cellStyle name="20% - Accent6 4 7 6" xfId="4998" xr:uid="{00000000-0005-0000-0000-000080130000}"/>
    <cellStyle name="20% - Accent6 4 8" xfId="4999" xr:uid="{00000000-0005-0000-0000-000081130000}"/>
    <cellStyle name="20% - Accent6 4 8 2" xfId="5000" xr:uid="{00000000-0005-0000-0000-000082130000}"/>
    <cellStyle name="20% - Accent6 4 8 2 2" xfId="5001" xr:uid="{00000000-0005-0000-0000-000083130000}"/>
    <cellStyle name="20% - Accent6 4 8 3" xfId="5002" xr:uid="{00000000-0005-0000-0000-000084130000}"/>
    <cellStyle name="20% - Accent6 4 8 3 2" xfId="5003" xr:uid="{00000000-0005-0000-0000-000085130000}"/>
    <cellStyle name="20% - Accent6 4 8 4" xfId="5004" xr:uid="{00000000-0005-0000-0000-000086130000}"/>
    <cellStyle name="20% - Accent6 4 9" xfId="5005" xr:uid="{00000000-0005-0000-0000-000087130000}"/>
    <cellStyle name="20% - Accent6 4 9 2" xfId="5006" xr:uid="{00000000-0005-0000-0000-000088130000}"/>
    <cellStyle name="20% - Accent6 4 9 2 2" xfId="5007" xr:uid="{00000000-0005-0000-0000-000089130000}"/>
    <cellStyle name="20% - Accent6 4 9 3" xfId="5008" xr:uid="{00000000-0005-0000-0000-00008A130000}"/>
    <cellStyle name="20% - Accent6 5" xfId="5009" xr:uid="{00000000-0005-0000-0000-00008B130000}"/>
    <cellStyle name="20% - Accent6 5 2" xfId="5010" xr:uid="{00000000-0005-0000-0000-00008C130000}"/>
    <cellStyle name="20% - Accent6 5 2 2" xfId="5011" xr:uid="{00000000-0005-0000-0000-00008D130000}"/>
    <cellStyle name="20% - Accent6 5 2 2 2" xfId="5012" xr:uid="{00000000-0005-0000-0000-00008E130000}"/>
    <cellStyle name="20% - Accent6 5 2 3" xfId="5013" xr:uid="{00000000-0005-0000-0000-00008F130000}"/>
    <cellStyle name="20% - Accent6 5 3" xfId="5014" xr:uid="{00000000-0005-0000-0000-000090130000}"/>
    <cellStyle name="20% - Accent6 5 3 2" xfId="5015" xr:uid="{00000000-0005-0000-0000-000091130000}"/>
    <cellStyle name="20% - Accent6 5 3 2 2" xfId="5016" xr:uid="{00000000-0005-0000-0000-000092130000}"/>
    <cellStyle name="20% - Accent6 5 3 3" xfId="5017" xr:uid="{00000000-0005-0000-0000-000093130000}"/>
    <cellStyle name="20% - Accent6 5 4" xfId="5018" xr:uid="{00000000-0005-0000-0000-000094130000}"/>
    <cellStyle name="20% - Accent6 6" xfId="5019" xr:uid="{00000000-0005-0000-0000-000095130000}"/>
    <cellStyle name="20% - Accent6 6 10" xfId="5020" xr:uid="{00000000-0005-0000-0000-000096130000}"/>
    <cellStyle name="20% - Accent6 6 10 2" xfId="5021" xr:uid="{00000000-0005-0000-0000-000097130000}"/>
    <cellStyle name="20% - Accent6 6 11" xfId="5022" xr:uid="{00000000-0005-0000-0000-000098130000}"/>
    <cellStyle name="20% - Accent6 6 2" xfId="5023" xr:uid="{00000000-0005-0000-0000-000099130000}"/>
    <cellStyle name="20% - Accent6 6 2 10" xfId="5024" xr:uid="{00000000-0005-0000-0000-00009A130000}"/>
    <cellStyle name="20% - Accent6 6 2 2" xfId="5025" xr:uid="{00000000-0005-0000-0000-00009B130000}"/>
    <cellStyle name="20% - Accent6 6 2 2 2" xfId="5026" xr:uid="{00000000-0005-0000-0000-00009C130000}"/>
    <cellStyle name="20% - Accent6 6 2 2 2 2" xfId="5027" xr:uid="{00000000-0005-0000-0000-00009D130000}"/>
    <cellStyle name="20% - Accent6 6 2 2 2 2 2" xfId="5028" xr:uid="{00000000-0005-0000-0000-00009E130000}"/>
    <cellStyle name="20% - Accent6 6 2 2 2 2 2 2" xfId="5029" xr:uid="{00000000-0005-0000-0000-00009F130000}"/>
    <cellStyle name="20% - Accent6 6 2 2 2 2 3" xfId="5030" xr:uid="{00000000-0005-0000-0000-0000A0130000}"/>
    <cellStyle name="20% - Accent6 6 2 2 2 2 3 2" xfId="5031" xr:uid="{00000000-0005-0000-0000-0000A1130000}"/>
    <cellStyle name="20% - Accent6 6 2 2 2 2 4" xfId="5032" xr:uid="{00000000-0005-0000-0000-0000A2130000}"/>
    <cellStyle name="20% - Accent6 6 2 2 2 3" xfId="5033" xr:uid="{00000000-0005-0000-0000-0000A3130000}"/>
    <cellStyle name="20% - Accent6 6 2 2 2 3 2" xfId="5034" xr:uid="{00000000-0005-0000-0000-0000A4130000}"/>
    <cellStyle name="20% - Accent6 6 2 2 2 4" xfId="5035" xr:uid="{00000000-0005-0000-0000-0000A5130000}"/>
    <cellStyle name="20% - Accent6 6 2 2 2 4 2" xfId="5036" xr:uid="{00000000-0005-0000-0000-0000A6130000}"/>
    <cellStyle name="20% - Accent6 6 2 2 2 5" xfId="5037" xr:uid="{00000000-0005-0000-0000-0000A7130000}"/>
    <cellStyle name="20% - Accent6 6 2 2 2 5 2" xfId="5038" xr:uid="{00000000-0005-0000-0000-0000A8130000}"/>
    <cellStyle name="20% - Accent6 6 2 2 2 6" xfId="5039" xr:uid="{00000000-0005-0000-0000-0000A9130000}"/>
    <cellStyle name="20% - Accent6 6 2 2 2 6 2" xfId="5040" xr:uid="{00000000-0005-0000-0000-0000AA130000}"/>
    <cellStyle name="20% - Accent6 6 2 2 2 7" xfId="5041" xr:uid="{00000000-0005-0000-0000-0000AB130000}"/>
    <cellStyle name="20% - Accent6 6 2 2 3" xfId="5042" xr:uid="{00000000-0005-0000-0000-0000AC130000}"/>
    <cellStyle name="20% - Accent6 6 2 2 3 2" xfId="5043" xr:uid="{00000000-0005-0000-0000-0000AD130000}"/>
    <cellStyle name="20% - Accent6 6 2 2 3 2 2" xfId="5044" xr:uid="{00000000-0005-0000-0000-0000AE130000}"/>
    <cellStyle name="20% - Accent6 6 2 2 3 3" xfId="5045" xr:uid="{00000000-0005-0000-0000-0000AF130000}"/>
    <cellStyle name="20% - Accent6 6 2 2 3 3 2" xfId="5046" xr:uid="{00000000-0005-0000-0000-0000B0130000}"/>
    <cellStyle name="20% - Accent6 6 2 2 3 4" xfId="5047" xr:uid="{00000000-0005-0000-0000-0000B1130000}"/>
    <cellStyle name="20% - Accent6 6 2 2 3 4 2" xfId="5048" xr:uid="{00000000-0005-0000-0000-0000B2130000}"/>
    <cellStyle name="20% - Accent6 6 2 2 3 5" xfId="5049" xr:uid="{00000000-0005-0000-0000-0000B3130000}"/>
    <cellStyle name="20% - Accent6 6 2 2 3 5 2" xfId="5050" xr:uid="{00000000-0005-0000-0000-0000B4130000}"/>
    <cellStyle name="20% - Accent6 6 2 2 3 6" xfId="5051" xr:uid="{00000000-0005-0000-0000-0000B5130000}"/>
    <cellStyle name="20% - Accent6 6 2 2 4" xfId="5052" xr:uid="{00000000-0005-0000-0000-0000B6130000}"/>
    <cellStyle name="20% - Accent6 6 2 2 4 2" xfId="5053" xr:uid="{00000000-0005-0000-0000-0000B7130000}"/>
    <cellStyle name="20% - Accent6 6 2 2 4 2 2" xfId="5054" xr:uid="{00000000-0005-0000-0000-0000B8130000}"/>
    <cellStyle name="20% - Accent6 6 2 2 4 3" xfId="5055" xr:uid="{00000000-0005-0000-0000-0000B9130000}"/>
    <cellStyle name="20% - Accent6 6 2 2 5" xfId="5056" xr:uid="{00000000-0005-0000-0000-0000BA130000}"/>
    <cellStyle name="20% - Accent6 6 2 2 5 2" xfId="5057" xr:uid="{00000000-0005-0000-0000-0000BB130000}"/>
    <cellStyle name="20% - Accent6 6 2 2 6" xfId="5058" xr:uid="{00000000-0005-0000-0000-0000BC130000}"/>
    <cellStyle name="20% - Accent6 6 2 2 6 2" xfId="5059" xr:uid="{00000000-0005-0000-0000-0000BD130000}"/>
    <cellStyle name="20% - Accent6 6 2 2 7" xfId="5060" xr:uid="{00000000-0005-0000-0000-0000BE130000}"/>
    <cellStyle name="20% - Accent6 6 2 2 7 2" xfId="5061" xr:uid="{00000000-0005-0000-0000-0000BF130000}"/>
    <cellStyle name="20% - Accent6 6 2 2 8" xfId="5062" xr:uid="{00000000-0005-0000-0000-0000C0130000}"/>
    <cellStyle name="20% - Accent6 6 2 3" xfId="5063" xr:uid="{00000000-0005-0000-0000-0000C1130000}"/>
    <cellStyle name="20% - Accent6 6 2 3 2" xfId="5064" xr:uid="{00000000-0005-0000-0000-0000C2130000}"/>
    <cellStyle name="20% - Accent6 6 2 3 2 2" xfId="5065" xr:uid="{00000000-0005-0000-0000-0000C3130000}"/>
    <cellStyle name="20% - Accent6 6 2 3 2 2 2" xfId="5066" xr:uid="{00000000-0005-0000-0000-0000C4130000}"/>
    <cellStyle name="20% - Accent6 6 2 3 2 2 2 2" xfId="5067" xr:uid="{00000000-0005-0000-0000-0000C5130000}"/>
    <cellStyle name="20% - Accent6 6 2 3 2 2 3" xfId="5068" xr:uid="{00000000-0005-0000-0000-0000C6130000}"/>
    <cellStyle name="20% - Accent6 6 2 3 2 2 3 2" xfId="5069" xr:uid="{00000000-0005-0000-0000-0000C7130000}"/>
    <cellStyle name="20% - Accent6 6 2 3 2 2 4" xfId="5070" xr:uid="{00000000-0005-0000-0000-0000C8130000}"/>
    <cellStyle name="20% - Accent6 6 2 3 2 3" xfId="5071" xr:uid="{00000000-0005-0000-0000-0000C9130000}"/>
    <cellStyle name="20% - Accent6 6 2 3 2 3 2" xfId="5072" xr:uid="{00000000-0005-0000-0000-0000CA130000}"/>
    <cellStyle name="20% - Accent6 6 2 3 2 4" xfId="5073" xr:uid="{00000000-0005-0000-0000-0000CB130000}"/>
    <cellStyle name="20% - Accent6 6 2 3 2 4 2" xfId="5074" xr:uid="{00000000-0005-0000-0000-0000CC130000}"/>
    <cellStyle name="20% - Accent6 6 2 3 2 5" xfId="5075" xr:uid="{00000000-0005-0000-0000-0000CD130000}"/>
    <cellStyle name="20% - Accent6 6 2 3 2 5 2" xfId="5076" xr:uid="{00000000-0005-0000-0000-0000CE130000}"/>
    <cellStyle name="20% - Accent6 6 2 3 2 6" xfId="5077" xr:uid="{00000000-0005-0000-0000-0000CF130000}"/>
    <cellStyle name="20% - Accent6 6 2 3 2 6 2" xfId="5078" xr:uid="{00000000-0005-0000-0000-0000D0130000}"/>
    <cellStyle name="20% - Accent6 6 2 3 2 7" xfId="5079" xr:uid="{00000000-0005-0000-0000-0000D1130000}"/>
    <cellStyle name="20% - Accent6 6 2 3 3" xfId="5080" xr:uid="{00000000-0005-0000-0000-0000D2130000}"/>
    <cellStyle name="20% - Accent6 6 2 3 3 2" xfId="5081" xr:uid="{00000000-0005-0000-0000-0000D3130000}"/>
    <cellStyle name="20% - Accent6 6 2 3 3 2 2" xfId="5082" xr:uid="{00000000-0005-0000-0000-0000D4130000}"/>
    <cellStyle name="20% - Accent6 6 2 3 3 3" xfId="5083" xr:uid="{00000000-0005-0000-0000-0000D5130000}"/>
    <cellStyle name="20% - Accent6 6 2 3 3 3 2" xfId="5084" xr:uid="{00000000-0005-0000-0000-0000D6130000}"/>
    <cellStyle name="20% - Accent6 6 2 3 3 4" xfId="5085" xr:uid="{00000000-0005-0000-0000-0000D7130000}"/>
    <cellStyle name="20% - Accent6 6 2 3 3 4 2" xfId="5086" xr:uid="{00000000-0005-0000-0000-0000D8130000}"/>
    <cellStyle name="20% - Accent6 6 2 3 3 5" xfId="5087" xr:uid="{00000000-0005-0000-0000-0000D9130000}"/>
    <cellStyle name="20% - Accent6 6 2 3 3 5 2" xfId="5088" xr:uid="{00000000-0005-0000-0000-0000DA130000}"/>
    <cellStyle name="20% - Accent6 6 2 3 3 6" xfId="5089" xr:uid="{00000000-0005-0000-0000-0000DB130000}"/>
    <cellStyle name="20% - Accent6 6 2 3 4" xfId="5090" xr:uid="{00000000-0005-0000-0000-0000DC130000}"/>
    <cellStyle name="20% - Accent6 6 2 3 4 2" xfId="5091" xr:uid="{00000000-0005-0000-0000-0000DD130000}"/>
    <cellStyle name="20% - Accent6 6 2 3 4 2 2" xfId="5092" xr:uid="{00000000-0005-0000-0000-0000DE130000}"/>
    <cellStyle name="20% - Accent6 6 2 3 4 3" xfId="5093" xr:uid="{00000000-0005-0000-0000-0000DF130000}"/>
    <cellStyle name="20% - Accent6 6 2 3 5" xfId="5094" xr:uid="{00000000-0005-0000-0000-0000E0130000}"/>
    <cellStyle name="20% - Accent6 6 2 3 5 2" xfId="5095" xr:uid="{00000000-0005-0000-0000-0000E1130000}"/>
    <cellStyle name="20% - Accent6 6 2 3 6" xfId="5096" xr:uid="{00000000-0005-0000-0000-0000E2130000}"/>
    <cellStyle name="20% - Accent6 6 2 3 6 2" xfId="5097" xr:uid="{00000000-0005-0000-0000-0000E3130000}"/>
    <cellStyle name="20% - Accent6 6 2 3 7" xfId="5098" xr:uid="{00000000-0005-0000-0000-0000E4130000}"/>
    <cellStyle name="20% - Accent6 6 2 3 7 2" xfId="5099" xr:uid="{00000000-0005-0000-0000-0000E5130000}"/>
    <cellStyle name="20% - Accent6 6 2 3 8" xfId="5100" xr:uid="{00000000-0005-0000-0000-0000E6130000}"/>
    <cellStyle name="20% - Accent6 6 2 4" xfId="5101" xr:uid="{00000000-0005-0000-0000-0000E7130000}"/>
    <cellStyle name="20% - Accent6 6 2 4 2" xfId="5102" xr:uid="{00000000-0005-0000-0000-0000E8130000}"/>
    <cellStyle name="20% - Accent6 6 2 4 2 2" xfId="5103" xr:uid="{00000000-0005-0000-0000-0000E9130000}"/>
    <cellStyle name="20% - Accent6 6 2 4 2 2 2" xfId="5104" xr:uid="{00000000-0005-0000-0000-0000EA130000}"/>
    <cellStyle name="20% - Accent6 6 2 4 2 3" xfId="5105" xr:uid="{00000000-0005-0000-0000-0000EB130000}"/>
    <cellStyle name="20% - Accent6 6 2 4 2 3 2" xfId="5106" xr:uid="{00000000-0005-0000-0000-0000EC130000}"/>
    <cellStyle name="20% - Accent6 6 2 4 2 4" xfId="5107" xr:uid="{00000000-0005-0000-0000-0000ED130000}"/>
    <cellStyle name="20% - Accent6 6 2 4 3" xfId="5108" xr:uid="{00000000-0005-0000-0000-0000EE130000}"/>
    <cellStyle name="20% - Accent6 6 2 4 3 2" xfId="5109" xr:uid="{00000000-0005-0000-0000-0000EF130000}"/>
    <cellStyle name="20% - Accent6 6 2 4 4" xfId="5110" xr:uid="{00000000-0005-0000-0000-0000F0130000}"/>
    <cellStyle name="20% - Accent6 6 2 4 4 2" xfId="5111" xr:uid="{00000000-0005-0000-0000-0000F1130000}"/>
    <cellStyle name="20% - Accent6 6 2 4 5" xfId="5112" xr:uid="{00000000-0005-0000-0000-0000F2130000}"/>
    <cellStyle name="20% - Accent6 6 2 4 5 2" xfId="5113" xr:uid="{00000000-0005-0000-0000-0000F3130000}"/>
    <cellStyle name="20% - Accent6 6 2 4 6" xfId="5114" xr:uid="{00000000-0005-0000-0000-0000F4130000}"/>
    <cellStyle name="20% - Accent6 6 2 4 6 2" xfId="5115" xr:uid="{00000000-0005-0000-0000-0000F5130000}"/>
    <cellStyle name="20% - Accent6 6 2 4 7" xfId="5116" xr:uid="{00000000-0005-0000-0000-0000F6130000}"/>
    <cellStyle name="20% - Accent6 6 2 5" xfId="5117" xr:uid="{00000000-0005-0000-0000-0000F7130000}"/>
    <cellStyle name="20% - Accent6 6 2 5 2" xfId="5118" xr:uid="{00000000-0005-0000-0000-0000F8130000}"/>
    <cellStyle name="20% - Accent6 6 2 5 2 2" xfId="5119" xr:uid="{00000000-0005-0000-0000-0000F9130000}"/>
    <cellStyle name="20% - Accent6 6 2 5 3" xfId="5120" xr:uid="{00000000-0005-0000-0000-0000FA130000}"/>
    <cellStyle name="20% - Accent6 6 2 5 3 2" xfId="5121" xr:uid="{00000000-0005-0000-0000-0000FB130000}"/>
    <cellStyle name="20% - Accent6 6 2 5 4" xfId="5122" xr:uid="{00000000-0005-0000-0000-0000FC130000}"/>
    <cellStyle name="20% - Accent6 6 2 5 4 2" xfId="5123" xr:uid="{00000000-0005-0000-0000-0000FD130000}"/>
    <cellStyle name="20% - Accent6 6 2 5 5" xfId="5124" xr:uid="{00000000-0005-0000-0000-0000FE130000}"/>
    <cellStyle name="20% - Accent6 6 2 5 5 2" xfId="5125" xr:uid="{00000000-0005-0000-0000-0000FF130000}"/>
    <cellStyle name="20% - Accent6 6 2 5 6" xfId="5126" xr:uid="{00000000-0005-0000-0000-000000140000}"/>
    <cellStyle name="20% - Accent6 6 2 6" xfId="5127" xr:uid="{00000000-0005-0000-0000-000001140000}"/>
    <cellStyle name="20% - Accent6 6 2 6 2" xfId="5128" xr:uid="{00000000-0005-0000-0000-000002140000}"/>
    <cellStyle name="20% - Accent6 6 2 6 2 2" xfId="5129" xr:uid="{00000000-0005-0000-0000-000003140000}"/>
    <cellStyle name="20% - Accent6 6 2 6 3" xfId="5130" xr:uid="{00000000-0005-0000-0000-000004140000}"/>
    <cellStyle name="20% - Accent6 6 2 7" xfId="5131" xr:uid="{00000000-0005-0000-0000-000005140000}"/>
    <cellStyle name="20% - Accent6 6 2 7 2" xfId="5132" xr:uid="{00000000-0005-0000-0000-000006140000}"/>
    <cellStyle name="20% - Accent6 6 2 8" xfId="5133" xr:uid="{00000000-0005-0000-0000-000007140000}"/>
    <cellStyle name="20% - Accent6 6 2 8 2" xfId="5134" xr:uid="{00000000-0005-0000-0000-000008140000}"/>
    <cellStyle name="20% - Accent6 6 2 9" xfId="5135" xr:uid="{00000000-0005-0000-0000-000009140000}"/>
    <cellStyle name="20% - Accent6 6 2 9 2" xfId="5136" xr:uid="{00000000-0005-0000-0000-00000A140000}"/>
    <cellStyle name="20% - Accent6 6 3" xfId="5137" xr:uid="{00000000-0005-0000-0000-00000B140000}"/>
    <cellStyle name="20% - Accent6 6 3 2" xfId="5138" xr:uid="{00000000-0005-0000-0000-00000C140000}"/>
    <cellStyle name="20% - Accent6 6 3 2 2" xfId="5139" xr:uid="{00000000-0005-0000-0000-00000D140000}"/>
    <cellStyle name="20% - Accent6 6 3 2 2 2" xfId="5140" xr:uid="{00000000-0005-0000-0000-00000E140000}"/>
    <cellStyle name="20% - Accent6 6 3 2 2 2 2" xfId="5141" xr:uid="{00000000-0005-0000-0000-00000F140000}"/>
    <cellStyle name="20% - Accent6 6 3 2 2 3" xfId="5142" xr:uid="{00000000-0005-0000-0000-000010140000}"/>
    <cellStyle name="20% - Accent6 6 3 2 2 3 2" xfId="5143" xr:uid="{00000000-0005-0000-0000-000011140000}"/>
    <cellStyle name="20% - Accent6 6 3 2 2 4" xfId="5144" xr:uid="{00000000-0005-0000-0000-000012140000}"/>
    <cellStyle name="20% - Accent6 6 3 2 3" xfId="5145" xr:uid="{00000000-0005-0000-0000-000013140000}"/>
    <cellStyle name="20% - Accent6 6 3 2 3 2" xfId="5146" xr:uid="{00000000-0005-0000-0000-000014140000}"/>
    <cellStyle name="20% - Accent6 6 3 2 4" xfId="5147" xr:uid="{00000000-0005-0000-0000-000015140000}"/>
    <cellStyle name="20% - Accent6 6 3 2 4 2" xfId="5148" xr:uid="{00000000-0005-0000-0000-000016140000}"/>
    <cellStyle name="20% - Accent6 6 3 2 5" xfId="5149" xr:uid="{00000000-0005-0000-0000-000017140000}"/>
    <cellStyle name="20% - Accent6 6 3 2 5 2" xfId="5150" xr:uid="{00000000-0005-0000-0000-000018140000}"/>
    <cellStyle name="20% - Accent6 6 3 2 6" xfId="5151" xr:uid="{00000000-0005-0000-0000-000019140000}"/>
    <cellStyle name="20% - Accent6 6 3 2 6 2" xfId="5152" xr:uid="{00000000-0005-0000-0000-00001A140000}"/>
    <cellStyle name="20% - Accent6 6 3 2 7" xfId="5153" xr:uid="{00000000-0005-0000-0000-00001B140000}"/>
    <cellStyle name="20% - Accent6 6 3 3" xfId="5154" xr:uid="{00000000-0005-0000-0000-00001C140000}"/>
    <cellStyle name="20% - Accent6 6 3 3 2" xfId="5155" xr:uid="{00000000-0005-0000-0000-00001D140000}"/>
    <cellStyle name="20% - Accent6 6 3 3 2 2" xfId="5156" xr:uid="{00000000-0005-0000-0000-00001E140000}"/>
    <cellStyle name="20% - Accent6 6 3 3 3" xfId="5157" xr:uid="{00000000-0005-0000-0000-00001F140000}"/>
    <cellStyle name="20% - Accent6 6 3 3 3 2" xfId="5158" xr:uid="{00000000-0005-0000-0000-000020140000}"/>
    <cellStyle name="20% - Accent6 6 3 3 4" xfId="5159" xr:uid="{00000000-0005-0000-0000-000021140000}"/>
    <cellStyle name="20% - Accent6 6 3 3 4 2" xfId="5160" xr:uid="{00000000-0005-0000-0000-000022140000}"/>
    <cellStyle name="20% - Accent6 6 3 3 5" xfId="5161" xr:uid="{00000000-0005-0000-0000-000023140000}"/>
    <cellStyle name="20% - Accent6 6 3 3 5 2" xfId="5162" xr:uid="{00000000-0005-0000-0000-000024140000}"/>
    <cellStyle name="20% - Accent6 6 3 3 6" xfId="5163" xr:uid="{00000000-0005-0000-0000-000025140000}"/>
    <cellStyle name="20% - Accent6 6 3 4" xfId="5164" xr:uid="{00000000-0005-0000-0000-000026140000}"/>
    <cellStyle name="20% - Accent6 6 3 4 2" xfId="5165" xr:uid="{00000000-0005-0000-0000-000027140000}"/>
    <cellStyle name="20% - Accent6 6 3 4 2 2" xfId="5166" xr:uid="{00000000-0005-0000-0000-000028140000}"/>
    <cellStyle name="20% - Accent6 6 3 4 3" xfId="5167" xr:uid="{00000000-0005-0000-0000-000029140000}"/>
    <cellStyle name="20% - Accent6 6 3 5" xfId="5168" xr:uid="{00000000-0005-0000-0000-00002A140000}"/>
    <cellStyle name="20% - Accent6 6 3 5 2" xfId="5169" xr:uid="{00000000-0005-0000-0000-00002B140000}"/>
    <cellStyle name="20% - Accent6 6 3 6" xfId="5170" xr:uid="{00000000-0005-0000-0000-00002C140000}"/>
    <cellStyle name="20% - Accent6 6 3 6 2" xfId="5171" xr:uid="{00000000-0005-0000-0000-00002D140000}"/>
    <cellStyle name="20% - Accent6 6 3 7" xfId="5172" xr:uid="{00000000-0005-0000-0000-00002E140000}"/>
    <cellStyle name="20% - Accent6 6 3 7 2" xfId="5173" xr:uid="{00000000-0005-0000-0000-00002F140000}"/>
    <cellStyle name="20% - Accent6 6 3 8" xfId="5174" xr:uid="{00000000-0005-0000-0000-000030140000}"/>
    <cellStyle name="20% - Accent6 6 4" xfId="5175" xr:uid="{00000000-0005-0000-0000-000031140000}"/>
    <cellStyle name="20% - Accent6 6 4 2" xfId="5176" xr:uid="{00000000-0005-0000-0000-000032140000}"/>
    <cellStyle name="20% - Accent6 6 4 2 2" xfId="5177" xr:uid="{00000000-0005-0000-0000-000033140000}"/>
    <cellStyle name="20% - Accent6 6 4 2 2 2" xfId="5178" xr:uid="{00000000-0005-0000-0000-000034140000}"/>
    <cellStyle name="20% - Accent6 6 4 2 2 2 2" xfId="5179" xr:uid="{00000000-0005-0000-0000-000035140000}"/>
    <cellStyle name="20% - Accent6 6 4 2 2 3" xfId="5180" xr:uid="{00000000-0005-0000-0000-000036140000}"/>
    <cellStyle name="20% - Accent6 6 4 2 2 3 2" xfId="5181" xr:uid="{00000000-0005-0000-0000-000037140000}"/>
    <cellStyle name="20% - Accent6 6 4 2 2 4" xfId="5182" xr:uid="{00000000-0005-0000-0000-000038140000}"/>
    <cellStyle name="20% - Accent6 6 4 2 3" xfId="5183" xr:uid="{00000000-0005-0000-0000-000039140000}"/>
    <cellStyle name="20% - Accent6 6 4 2 3 2" xfId="5184" xr:uid="{00000000-0005-0000-0000-00003A140000}"/>
    <cellStyle name="20% - Accent6 6 4 2 4" xfId="5185" xr:uid="{00000000-0005-0000-0000-00003B140000}"/>
    <cellStyle name="20% - Accent6 6 4 2 4 2" xfId="5186" xr:uid="{00000000-0005-0000-0000-00003C140000}"/>
    <cellStyle name="20% - Accent6 6 4 2 5" xfId="5187" xr:uid="{00000000-0005-0000-0000-00003D140000}"/>
    <cellStyle name="20% - Accent6 6 4 2 5 2" xfId="5188" xr:uid="{00000000-0005-0000-0000-00003E140000}"/>
    <cellStyle name="20% - Accent6 6 4 2 6" xfId="5189" xr:uid="{00000000-0005-0000-0000-00003F140000}"/>
    <cellStyle name="20% - Accent6 6 4 2 6 2" xfId="5190" xr:uid="{00000000-0005-0000-0000-000040140000}"/>
    <cellStyle name="20% - Accent6 6 4 2 7" xfId="5191" xr:uid="{00000000-0005-0000-0000-000041140000}"/>
    <cellStyle name="20% - Accent6 6 4 3" xfId="5192" xr:uid="{00000000-0005-0000-0000-000042140000}"/>
    <cellStyle name="20% - Accent6 6 4 3 2" xfId="5193" xr:uid="{00000000-0005-0000-0000-000043140000}"/>
    <cellStyle name="20% - Accent6 6 4 3 2 2" xfId="5194" xr:uid="{00000000-0005-0000-0000-000044140000}"/>
    <cellStyle name="20% - Accent6 6 4 3 3" xfId="5195" xr:uid="{00000000-0005-0000-0000-000045140000}"/>
    <cellStyle name="20% - Accent6 6 4 3 3 2" xfId="5196" xr:uid="{00000000-0005-0000-0000-000046140000}"/>
    <cellStyle name="20% - Accent6 6 4 3 4" xfId="5197" xr:uid="{00000000-0005-0000-0000-000047140000}"/>
    <cellStyle name="20% - Accent6 6 4 3 4 2" xfId="5198" xr:uid="{00000000-0005-0000-0000-000048140000}"/>
    <cellStyle name="20% - Accent6 6 4 3 5" xfId="5199" xr:uid="{00000000-0005-0000-0000-000049140000}"/>
    <cellStyle name="20% - Accent6 6 4 3 5 2" xfId="5200" xr:uid="{00000000-0005-0000-0000-00004A140000}"/>
    <cellStyle name="20% - Accent6 6 4 3 6" xfId="5201" xr:uid="{00000000-0005-0000-0000-00004B140000}"/>
    <cellStyle name="20% - Accent6 6 4 4" xfId="5202" xr:uid="{00000000-0005-0000-0000-00004C140000}"/>
    <cellStyle name="20% - Accent6 6 4 4 2" xfId="5203" xr:uid="{00000000-0005-0000-0000-00004D140000}"/>
    <cellStyle name="20% - Accent6 6 4 4 2 2" xfId="5204" xr:uid="{00000000-0005-0000-0000-00004E140000}"/>
    <cellStyle name="20% - Accent6 6 4 4 3" xfId="5205" xr:uid="{00000000-0005-0000-0000-00004F140000}"/>
    <cellStyle name="20% - Accent6 6 4 5" xfId="5206" xr:uid="{00000000-0005-0000-0000-000050140000}"/>
    <cellStyle name="20% - Accent6 6 4 5 2" xfId="5207" xr:uid="{00000000-0005-0000-0000-000051140000}"/>
    <cellStyle name="20% - Accent6 6 4 6" xfId="5208" xr:uid="{00000000-0005-0000-0000-000052140000}"/>
    <cellStyle name="20% - Accent6 6 4 6 2" xfId="5209" xr:uid="{00000000-0005-0000-0000-000053140000}"/>
    <cellStyle name="20% - Accent6 6 4 7" xfId="5210" xr:uid="{00000000-0005-0000-0000-000054140000}"/>
    <cellStyle name="20% - Accent6 6 4 7 2" xfId="5211" xr:uid="{00000000-0005-0000-0000-000055140000}"/>
    <cellStyle name="20% - Accent6 6 4 8" xfId="5212" xr:uid="{00000000-0005-0000-0000-000056140000}"/>
    <cellStyle name="20% - Accent6 6 5" xfId="5213" xr:uid="{00000000-0005-0000-0000-000057140000}"/>
    <cellStyle name="20% - Accent6 6 5 2" xfId="5214" xr:uid="{00000000-0005-0000-0000-000058140000}"/>
    <cellStyle name="20% - Accent6 6 5 2 2" xfId="5215" xr:uid="{00000000-0005-0000-0000-000059140000}"/>
    <cellStyle name="20% - Accent6 6 5 2 2 2" xfId="5216" xr:uid="{00000000-0005-0000-0000-00005A140000}"/>
    <cellStyle name="20% - Accent6 6 5 2 3" xfId="5217" xr:uid="{00000000-0005-0000-0000-00005B140000}"/>
    <cellStyle name="20% - Accent6 6 5 2 3 2" xfId="5218" xr:uid="{00000000-0005-0000-0000-00005C140000}"/>
    <cellStyle name="20% - Accent6 6 5 2 4" xfId="5219" xr:uid="{00000000-0005-0000-0000-00005D140000}"/>
    <cellStyle name="20% - Accent6 6 5 3" xfId="5220" xr:uid="{00000000-0005-0000-0000-00005E140000}"/>
    <cellStyle name="20% - Accent6 6 5 3 2" xfId="5221" xr:uid="{00000000-0005-0000-0000-00005F140000}"/>
    <cellStyle name="20% - Accent6 6 5 4" xfId="5222" xr:uid="{00000000-0005-0000-0000-000060140000}"/>
    <cellStyle name="20% - Accent6 6 5 4 2" xfId="5223" xr:uid="{00000000-0005-0000-0000-000061140000}"/>
    <cellStyle name="20% - Accent6 6 5 5" xfId="5224" xr:uid="{00000000-0005-0000-0000-000062140000}"/>
    <cellStyle name="20% - Accent6 6 5 5 2" xfId="5225" xr:uid="{00000000-0005-0000-0000-000063140000}"/>
    <cellStyle name="20% - Accent6 6 5 6" xfId="5226" xr:uid="{00000000-0005-0000-0000-000064140000}"/>
    <cellStyle name="20% - Accent6 6 5 6 2" xfId="5227" xr:uid="{00000000-0005-0000-0000-000065140000}"/>
    <cellStyle name="20% - Accent6 6 5 7" xfId="5228" xr:uid="{00000000-0005-0000-0000-000066140000}"/>
    <cellStyle name="20% - Accent6 6 6" xfId="5229" xr:uid="{00000000-0005-0000-0000-000067140000}"/>
    <cellStyle name="20% - Accent6 6 6 2" xfId="5230" xr:uid="{00000000-0005-0000-0000-000068140000}"/>
    <cellStyle name="20% - Accent6 6 6 2 2" xfId="5231" xr:uid="{00000000-0005-0000-0000-000069140000}"/>
    <cellStyle name="20% - Accent6 6 6 3" xfId="5232" xr:uid="{00000000-0005-0000-0000-00006A140000}"/>
    <cellStyle name="20% - Accent6 6 6 3 2" xfId="5233" xr:uid="{00000000-0005-0000-0000-00006B140000}"/>
    <cellStyle name="20% - Accent6 6 6 4" xfId="5234" xr:uid="{00000000-0005-0000-0000-00006C140000}"/>
    <cellStyle name="20% - Accent6 6 6 4 2" xfId="5235" xr:uid="{00000000-0005-0000-0000-00006D140000}"/>
    <cellStyle name="20% - Accent6 6 6 5" xfId="5236" xr:uid="{00000000-0005-0000-0000-00006E140000}"/>
    <cellStyle name="20% - Accent6 6 6 5 2" xfId="5237" xr:uid="{00000000-0005-0000-0000-00006F140000}"/>
    <cellStyle name="20% - Accent6 6 6 6" xfId="5238" xr:uid="{00000000-0005-0000-0000-000070140000}"/>
    <cellStyle name="20% - Accent6 6 7" xfId="5239" xr:uid="{00000000-0005-0000-0000-000071140000}"/>
    <cellStyle name="20% - Accent6 6 7 2" xfId="5240" xr:uid="{00000000-0005-0000-0000-000072140000}"/>
    <cellStyle name="20% - Accent6 6 7 2 2" xfId="5241" xr:uid="{00000000-0005-0000-0000-000073140000}"/>
    <cellStyle name="20% - Accent6 6 7 3" xfId="5242" xr:uid="{00000000-0005-0000-0000-000074140000}"/>
    <cellStyle name="20% - Accent6 6 8" xfId="5243" xr:uid="{00000000-0005-0000-0000-000075140000}"/>
    <cellStyle name="20% - Accent6 6 8 2" xfId="5244" xr:uid="{00000000-0005-0000-0000-000076140000}"/>
    <cellStyle name="20% - Accent6 6 9" xfId="5245" xr:uid="{00000000-0005-0000-0000-000077140000}"/>
    <cellStyle name="20% - Accent6 6 9 2" xfId="5246" xr:uid="{00000000-0005-0000-0000-000078140000}"/>
    <cellStyle name="20% - Accent6 7" xfId="5247" xr:uid="{00000000-0005-0000-0000-000079140000}"/>
    <cellStyle name="20% - Accent6 7 2" xfId="5248" xr:uid="{00000000-0005-0000-0000-00007A140000}"/>
    <cellStyle name="20% - Accent6 8" xfId="5249" xr:uid="{00000000-0005-0000-0000-00007B140000}"/>
    <cellStyle name="20% - Accent6 8 2" xfId="5250" xr:uid="{00000000-0005-0000-0000-00007C140000}"/>
    <cellStyle name="20% - Accent6 8 2 2" xfId="5251" xr:uid="{00000000-0005-0000-0000-00007D140000}"/>
    <cellStyle name="20% - Accent6 8 2 2 2" xfId="5252" xr:uid="{00000000-0005-0000-0000-00007E140000}"/>
    <cellStyle name="20% - Accent6 8 2 2 2 2" xfId="5253" xr:uid="{00000000-0005-0000-0000-00007F140000}"/>
    <cellStyle name="20% - Accent6 8 2 2 2 2 2" xfId="5254" xr:uid="{00000000-0005-0000-0000-000080140000}"/>
    <cellStyle name="20% - Accent6 8 2 2 2 3" xfId="5255" xr:uid="{00000000-0005-0000-0000-000081140000}"/>
    <cellStyle name="20% - Accent6 8 2 2 2 3 2" xfId="5256" xr:uid="{00000000-0005-0000-0000-000082140000}"/>
    <cellStyle name="20% - Accent6 8 2 2 2 4" xfId="5257" xr:uid="{00000000-0005-0000-0000-000083140000}"/>
    <cellStyle name="20% - Accent6 8 2 2 3" xfId="5258" xr:uid="{00000000-0005-0000-0000-000084140000}"/>
    <cellStyle name="20% - Accent6 8 2 2 3 2" xfId="5259" xr:uid="{00000000-0005-0000-0000-000085140000}"/>
    <cellStyle name="20% - Accent6 8 2 2 4" xfId="5260" xr:uid="{00000000-0005-0000-0000-000086140000}"/>
    <cellStyle name="20% - Accent6 8 2 2 4 2" xfId="5261" xr:uid="{00000000-0005-0000-0000-000087140000}"/>
    <cellStyle name="20% - Accent6 8 2 2 5" xfId="5262" xr:uid="{00000000-0005-0000-0000-000088140000}"/>
    <cellStyle name="20% - Accent6 8 2 2 5 2" xfId="5263" xr:uid="{00000000-0005-0000-0000-000089140000}"/>
    <cellStyle name="20% - Accent6 8 2 2 6" xfId="5264" xr:uid="{00000000-0005-0000-0000-00008A140000}"/>
    <cellStyle name="20% - Accent6 8 2 2 6 2" xfId="5265" xr:uid="{00000000-0005-0000-0000-00008B140000}"/>
    <cellStyle name="20% - Accent6 8 2 2 7" xfId="5266" xr:uid="{00000000-0005-0000-0000-00008C140000}"/>
    <cellStyle name="20% - Accent6 8 2 3" xfId="5267" xr:uid="{00000000-0005-0000-0000-00008D140000}"/>
    <cellStyle name="20% - Accent6 8 2 3 2" xfId="5268" xr:uid="{00000000-0005-0000-0000-00008E140000}"/>
    <cellStyle name="20% - Accent6 8 2 3 2 2" xfId="5269" xr:uid="{00000000-0005-0000-0000-00008F140000}"/>
    <cellStyle name="20% - Accent6 8 2 3 3" xfId="5270" xr:uid="{00000000-0005-0000-0000-000090140000}"/>
    <cellStyle name="20% - Accent6 8 2 3 3 2" xfId="5271" xr:uid="{00000000-0005-0000-0000-000091140000}"/>
    <cellStyle name="20% - Accent6 8 2 3 4" xfId="5272" xr:uid="{00000000-0005-0000-0000-000092140000}"/>
    <cellStyle name="20% - Accent6 8 2 3 4 2" xfId="5273" xr:uid="{00000000-0005-0000-0000-000093140000}"/>
    <cellStyle name="20% - Accent6 8 2 3 5" xfId="5274" xr:uid="{00000000-0005-0000-0000-000094140000}"/>
    <cellStyle name="20% - Accent6 8 2 3 5 2" xfId="5275" xr:uid="{00000000-0005-0000-0000-000095140000}"/>
    <cellStyle name="20% - Accent6 8 2 3 6" xfId="5276" xr:uid="{00000000-0005-0000-0000-000096140000}"/>
    <cellStyle name="20% - Accent6 8 2 4" xfId="5277" xr:uid="{00000000-0005-0000-0000-000097140000}"/>
    <cellStyle name="20% - Accent6 8 2 4 2" xfId="5278" xr:uid="{00000000-0005-0000-0000-000098140000}"/>
    <cellStyle name="20% - Accent6 8 2 4 2 2" xfId="5279" xr:uid="{00000000-0005-0000-0000-000099140000}"/>
    <cellStyle name="20% - Accent6 8 2 4 3" xfId="5280" xr:uid="{00000000-0005-0000-0000-00009A140000}"/>
    <cellStyle name="20% - Accent6 8 2 5" xfId="5281" xr:uid="{00000000-0005-0000-0000-00009B140000}"/>
    <cellStyle name="20% - Accent6 8 2 5 2" xfId="5282" xr:uid="{00000000-0005-0000-0000-00009C140000}"/>
    <cellStyle name="20% - Accent6 8 2 6" xfId="5283" xr:uid="{00000000-0005-0000-0000-00009D140000}"/>
    <cellStyle name="20% - Accent6 8 2 6 2" xfId="5284" xr:uid="{00000000-0005-0000-0000-00009E140000}"/>
    <cellStyle name="20% - Accent6 8 2 7" xfId="5285" xr:uid="{00000000-0005-0000-0000-00009F140000}"/>
    <cellStyle name="20% - Accent6 8 2 7 2" xfId="5286" xr:uid="{00000000-0005-0000-0000-0000A0140000}"/>
    <cellStyle name="20% - Accent6 8 2 8" xfId="5287" xr:uid="{00000000-0005-0000-0000-0000A1140000}"/>
    <cellStyle name="20% - Accent6 8 3" xfId="5288" xr:uid="{00000000-0005-0000-0000-0000A2140000}"/>
    <cellStyle name="20% - Accent6 8 3 2" xfId="5289" xr:uid="{00000000-0005-0000-0000-0000A3140000}"/>
    <cellStyle name="20% - Accent6 8 3 2 2" xfId="5290" xr:uid="{00000000-0005-0000-0000-0000A4140000}"/>
    <cellStyle name="20% - Accent6 8 3 2 2 2" xfId="5291" xr:uid="{00000000-0005-0000-0000-0000A5140000}"/>
    <cellStyle name="20% - Accent6 8 3 2 3" xfId="5292" xr:uid="{00000000-0005-0000-0000-0000A6140000}"/>
    <cellStyle name="20% - Accent6 8 3 2 3 2" xfId="5293" xr:uid="{00000000-0005-0000-0000-0000A7140000}"/>
    <cellStyle name="20% - Accent6 8 3 2 4" xfId="5294" xr:uid="{00000000-0005-0000-0000-0000A8140000}"/>
    <cellStyle name="20% - Accent6 8 3 3" xfId="5295" xr:uid="{00000000-0005-0000-0000-0000A9140000}"/>
    <cellStyle name="20% - Accent6 8 3 3 2" xfId="5296" xr:uid="{00000000-0005-0000-0000-0000AA140000}"/>
    <cellStyle name="20% - Accent6 8 3 4" xfId="5297" xr:uid="{00000000-0005-0000-0000-0000AB140000}"/>
    <cellStyle name="20% - Accent6 8 3 4 2" xfId="5298" xr:uid="{00000000-0005-0000-0000-0000AC140000}"/>
    <cellStyle name="20% - Accent6 8 3 5" xfId="5299" xr:uid="{00000000-0005-0000-0000-0000AD140000}"/>
    <cellStyle name="20% - Accent6 8 3 5 2" xfId="5300" xr:uid="{00000000-0005-0000-0000-0000AE140000}"/>
    <cellStyle name="20% - Accent6 8 3 6" xfId="5301" xr:uid="{00000000-0005-0000-0000-0000AF140000}"/>
    <cellStyle name="20% - Accent6 8 3 6 2" xfId="5302" xr:uid="{00000000-0005-0000-0000-0000B0140000}"/>
    <cellStyle name="20% - Accent6 8 3 7" xfId="5303" xr:uid="{00000000-0005-0000-0000-0000B1140000}"/>
    <cellStyle name="20% - Accent6 8 4" xfId="5304" xr:uid="{00000000-0005-0000-0000-0000B2140000}"/>
    <cellStyle name="20% - Accent6 8 4 2" xfId="5305" xr:uid="{00000000-0005-0000-0000-0000B3140000}"/>
    <cellStyle name="20% - Accent6 8 4 2 2" xfId="5306" xr:uid="{00000000-0005-0000-0000-0000B4140000}"/>
    <cellStyle name="20% - Accent6 8 4 3" xfId="5307" xr:uid="{00000000-0005-0000-0000-0000B5140000}"/>
    <cellStyle name="20% - Accent6 8 4 3 2" xfId="5308" xr:uid="{00000000-0005-0000-0000-0000B6140000}"/>
    <cellStyle name="20% - Accent6 8 4 4" xfId="5309" xr:uid="{00000000-0005-0000-0000-0000B7140000}"/>
    <cellStyle name="20% - Accent6 8 4 4 2" xfId="5310" xr:uid="{00000000-0005-0000-0000-0000B8140000}"/>
    <cellStyle name="20% - Accent6 8 4 5" xfId="5311" xr:uid="{00000000-0005-0000-0000-0000B9140000}"/>
    <cellStyle name="20% - Accent6 8 4 5 2" xfId="5312" xr:uid="{00000000-0005-0000-0000-0000BA140000}"/>
    <cellStyle name="20% - Accent6 8 4 6" xfId="5313" xr:uid="{00000000-0005-0000-0000-0000BB140000}"/>
    <cellStyle name="20% - Accent6 8 5" xfId="5314" xr:uid="{00000000-0005-0000-0000-0000BC140000}"/>
    <cellStyle name="20% - Accent6 8 5 2" xfId="5315" xr:uid="{00000000-0005-0000-0000-0000BD140000}"/>
    <cellStyle name="20% - Accent6 8 5 2 2" xfId="5316" xr:uid="{00000000-0005-0000-0000-0000BE140000}"/>
    <cellStyle name="20% - Accent6 8 5 3" xfId="5317" xr:uid="{00000000-0005-0000-0000-0000BF140000}"/>
    <cellStyle name="20% - Accent6 8 6" xfId="5318" xr:uid="{00000000-0005-0000-0000-0000C0140000}"/>
    <cellStyle name="20% - Accent6 8 6 2" xfId="5319" xr:uid="{00000000-0005-0000-0000-0000C1140000}"/>
    <cellStyle name="20% - Accent6 8 7" xfId="5320" xr:uid="{00000000-0005-0000-0000-0000C2140000}"/>
    <cellStyle name="20% - Accent6 8 7 2" xfId="5321" xr:uid="{00000000-0005-0000-0000-0000C3140000}"/>
    <cellStyle name="20% - Accent6 8 8" xfId="5322" xr:uid="{00000000-0005-0000-0000-0000C4140000}"/>
    <cellStyle name="20% - Accent6 8 8 2" xfId="5323" xr:uid="{00000000-0005-0000-0000-0000C5140000}"/>
    <cellStyle name="20% - Accent6 8 9" xfId="5324" xr:uid="{00000000-0005-0000-0000-0000C6140000}"/>
    <cellStyle name="20% - Accent6 9" xfId="5325" xr:uid="{00000000-0005-0000-0000-0000C7140000}"/>
    <cellStyle name="20% - Accent6 9 2" xfId="5326" xr:uid="{00000000-0005-0000-0000-0000C8140000}"/>
    <cellStyle name="20% - Accent6 9 2 2" xfId="5327" xr:uid="{00000000-0005-0000-0000-0000C9140000}"/>
    <cellStyle name="20% - Accent6 9 2 2 2" xfId="5328" xr:uid="{00000000-0005-0000-0000-0000CA140000}"/>
    <cellStyle name="20% - Accent6 9 2 2 2 2" xfId="5329" xr:uid="{00000000-0005-0000-0000-0000CB140000}"/>
    <cellStyle name="20% - Accent6 9 2 2 3" xfId="5330" xr:uid="{00000000-0005-0000-0000-0000CC140000}"/>
    <cellStyle name="20% - Accent6 9 2 3" xfId="5331" xr:uid="{00000000-0005-0000-0000-0000CD140000}"/>
    <cellStyle name="20% - Accent6 9 2 3 2" xfId="5332" xr:uid="{00000000-0005-0000-0000-0000CE140000}"/>
    <cellStyle name="20% - Accent6 9 2 4" xfId="5333" xr:uid="{00000000-0005-0000-0000-0000CF140000}"/>
    <cellStyle name="20% - Accent6 9 3" xfId="5334" xr:uid="{00000000-0005-0000-0000-0000D0140000}"/>
    <cellStyle name="20% - Accent6 9 3 2" xfId="5335" xr:uid="{00000000-0005-0000-0000-0000D1140000}"/>
    <cellStyle name="20% - Accent6 9 3 2 2" xfId="5336" xr:uid="{00000000-0005-0000-0000-0000D2140000}"/>
    <cellStyle name="20% - Accent6 9 3 3" xfId="5337" xr:uid="{00000000-0005-0000-0000-0000D3140000}"/>
    <cellStyle name="20% - Accent6 9 4" xfId="5338" xr:uid="{00000000-0005-0000-0000-0000D4140000}"/>
    <cellStyle name="20% - Accent6 9 4 2" xfId="5339" xr:uid="{00000000-0005-0000-0000-0000D5140000}"/>
    <cellStyle name="20% - Accent6 9 5" xfId="5340" xr:uid="{00000000-0005-0000-0000-0000D6140000}"/>
    <cellStyle name="20% - Accent6 9 5 2" xfId="5341" xr:uid="{00000000-0005-0000-0000-0000D7140000}"/>
    <cellStyle name="20% - Accent6 9 6" xfId="5342" xr:uid="{00000000-0005-0000-0000-0000D8140000}"/>
    <cellStyle name="20% - Accent6 9 6 2" xfId="5343" xr:uid="{00000000-0005-0000-0000-0000D9140000}"/>
    <cellStyle name="20% - Accent6 9 7" xfId="5344" xr:uid="{00000000-0005-0000-0000-0000DA140000}"/>
    <cellStyle name="40% - Accent1 10" xfId="5345" xr:uid="{00000000-0005-0000-0000-0000DB140000}"/>
    <cellStyle name="40% - Accent1 10 2" xfId="5346" xr:uid="{00000000-0005-0000-0000-0000DC140000}"/>
    <cellStyle name="40% - Accent1 10 2 2" xfId="5347" xr:uid="{00000000-0005-0000-0000-0000DD140000}"/>
    <cellStyle name="40% - Accent1 10 2 2 2" xfId="5348" xr:uid="{00000000-0005-0000-0000-0000DE140000}"/>
    <cellStyle name="40% - Accent1 10 2 2 2 2" xfId="5349" xr:uid="{00000000-0005-0000-0000-0000DF140000}"/>
    <cellStyle name="40% - Accent1 10 2 2 3" xfId="5350" xr:uid="{00000000-0005-0000-0000-0000E0140000}"/>
    <cellStyle name="40% - Accent1 10 2 3" xfId="5351" xr:uid="{00000000-0005-0000-0000-0000E1140000}"/>
    <cellStyle name="40% - Accent1 10 2 3 2" xfId="5352" xr:uid="{00000000-0005-0000-0000-0000E2140000}"/>
    <cellStyle name="40% - Accent1 10 2 4" xfId="5353" xr:uid="{00000000-0005-0000-0000-0000E3140000}"/>
    <cellStyle name="40% - Accent1 10 3" xfId="5354" xr:uid="{00000000-0005-0000-0000-0000E4140000}"/>
    <cellStyle name="40% - Accent1 10 3 2" xfId="5355" xr:uid="{00000000-0005-0000-0000-0000E5140000}"/>
    <cellStyle name="40% - Accent1 10 3 2 2" xfId="5356" xr:uid="{00000000-0005-0000-0000-0000E6140000}"/>
    <cellStyle name="40% - Accent1 10 3 3" xfId="5357" xr:uid="{00000000-0005-0000-0000-0000E7140000}"/>
    <cellStyle name="40% - Accent1 10 4" xfId="5358" xr:uid="{00000000-0005-0000-0000-0000E8140000}"/>
    <cellStyle name="40% - Accent1 10 4 2" xfId="5359" xr:uid="{00000000-0005-0000-0000-0000E9140000}"/>
    <cellStyle name="40% - Accent1 10 5" xfId="5360" xr:uid="{00000000-0005-0000-0000-0000EA140000}"/>
    <cellStyle name="40% - Accent1 11" xfId="5361" xr:uid="{00000000-0005-0000-0000-0000EB140000}"/>
    <cellStyle name="40% - Accent1 11 2" xfId="5362" xr:uid="{00000000-0005-0000-0000-0000EC140000}"/>
    <cellStyle name="40% - Accent1 11 2 2" xfId="5363" xr:uid="{00000000-0005-0000-0000-0000ED140000}"/>
    <cellStyle name="40% - Accent1 11 2 2 2" xfId="5364" xr:uid="{00000000-0005-0000-0000-0000EE140000}"/>
    <cellStyle name="40% - Accent1 11 2 2 2 2" xfId="5365" xr:uid="{00000000-0005-0000-0000-0000EF140000}"/>
    <cellStyle name="40% - Accent1 11 2 2 3" xfId="5366" xr:uid="{00000000-0005-0000-0000-0000F0140000}"/>
    <cellStyle name="40% - Accent1 11 2 3" xfId="5367" xr:uid="{00000000-0005-0000-0000-0000F1140000}"/>
    <cellStyle name="40% - Accent1 11 2 3 2" xfId="5368" xr:uid="{00000000-0005-0000-0000-0000F2140000}"/>
    <cellStyle name="40% - Accent1 11 2 4" xfId="5369" xr:uid="{00000000-0005-0000-0000-0000F3140000}"/>
    <cellStyle name="40% - Accent1 11 3" xfId="5370" xr:uid="{00000000-0005-0000-0000-0000F4140000}"/>
    <cellStyle name="40% - Accent1 11 3 2" xfId="5371" xr:uid="{00000000-0005-0000-0000-0000F5140000}"/>
    <cellStyle name="40% - Accent1 11 3 2 2" xfId="5372" xr:uid="{00000000-0005-0000-0000-0000F6140000}"/>
    <cellStyle name="40% - Accent1 11 3 3" xfId="5373" xr:uid="{00000000-0005-0000-0000-0000F7140000}"/>
    <cellStyle name="40% - Accent1 11 4" xfId="5374" xr:uid="{00000000-0005-0000-0000-0000F8140000}"/>
    <cellStyle name="40% - Accent1 11 4 2" xfId="5375" xr:uid="{00000000-0005-0000-0000-0000F9140000}"/>
    <cellStyle name="40% - Accent1 11 5" xfId="5376" xr:uid="{00000000-0005-0000-0000-0000FA140000}"/>
    <cellStyle name="40% - Accent1 12" xfId="5377" xr:uid="{00000000-0005-0000-0000-0000FB140000}"/>
    <cellStyle name="40% - Accent1 12 2" xfId="5378" xr:uid="{00000000-0005-0000-0000-0000FC140000}"/>
    <cellStyle name="40% - Accent1 13" xfId="5379" xr:uid="{00000000-0005-0000-0000-0000FD140000}"/>
    <cellStyle name="40% - Accent1 13 2" xfId="5380" xr:uid="{00000000-0005-0000-0000-0000FE140000}"/>
    <cellStyle name="40% - Accent1 13 2 2" xfId="5381" xr:uid="{00000000-0005-0000-0000-0000FF140000}"/>
    <cellStyle name="40% - Accent1 13 2 2 2" xfId="5382" xr:uid="{00000000-0005-0000-0000-000000150000}"/>
    <cellStyle name="40% - Accent1 13 2 3" xfId="5383" xr:uid="{00000000-0005-0000-0000-000001150000}"/>
    <cellStyle name="40% - Accent1 13 3" xfId="5384" xr:uid="{00000000-0005-0000-0000-000002150000}"/>
    <cellStyle name="40% - Accent1 13 3 2" xfId="5385" xr:uid="{00000000-0005-0000-0000-000003150000}"/>
    <cellStyle name="40% - Accent1 13 4" xfId="5386" xr:uid="{00000000-0005-0000-0000-000004150000}"/>
    <cellStyle name="40% - Accent1 14" xfId="5387" xr:uid="{00000000-0005-0000-0000-000005150000}"/>
    <cellStyle name="40% - Accent1 14 2" xfId="5388" xr:uid="{00000000-0005-0000-0000-000006150000}"/>
    <cellStyle name="40% - Accent1 2" xfId="5389" xr:uid="{00000000-0005-0000-0000-000007150000}"/>
    <cellStyle name="40% - Accent1 2 2" xfId="5390" xr:uid="{00000000-0005-0000-0000-000008150000}"/>
    <cellStyle name="40% - Accent1 2 2 2" xfId="5391" xr:uid="{00000000-0005-0000-0000-000009150000}"/>
    <cellStyle name="40% - Accent1 2 2 3" xfId="5392" xr:uid="{00000000-0005-0000-0000-00000A150000}"/>
    <cellStyle name="40% - Accent1 2 2 3 2" xfId="5393" xr:uid="{00000000-0005-0000-0000-00000B150000}"/>
    <cellStyle name="40% - Accent1 2 3" xfId="5394" xr:uid="{00000000-0005-0000-0000-00000C150000}"/>
    <cellStyle name="40% - Accent1 2 3 2" xfId="5395" xr:uid="{00000000-0005-0000-0000-00000D150000}"/>
    <cellStyle name="40% - Accent1 2 4" xfId="5396" xr:uid="{00000000-0005-0000-0000-00000E150000}"/>
    <cellStyle name="40% - Accent1 2 4 2" xfId="5397" xr:uid="{00000000-0005-0000-0000-00000F150000}"/>
    <cellStyle name="40% - Accent1 2 4 3" xfId="5398" xr:uid="{00000000-0005-0000-0000-000010150000}"/>
    <cellStyle name="40% - Accent1 2 5" xfId="5399" xr:uid="{00000000-0005-0000-0000-000011150000}"/>
    <cellStyle name="40% - Accent1 3" xfId="5400" xr:uid="{00000000-0005-0000-0000-000012150000}"/>
    <cellStyle name="40% - Accent1 3 2" xfId="5401" xr:uid="{00000000-0005-0000-0000-000013150000}"/>
    <cellStyle name="40% - Accent1 3 2 2" xfId="5402" xr:uid="{00000000-0005-0000-0000-000014150000}"/>
    <cellStyle name="40% - Accent1 3 2 2 2" xfId="5403" xr:uid="{00000000-0005-0000-0000-000015150000}"/>
    <cellStyle name="40% - Accent1 3 2 2 2 2" xfId="5404" xr:uid="{00000000-0005-0000-0000-000016150000}"/>
    <cellStyle name="40% - Accent1 3 2 2 3" xfId="5405" xr:uid="{00000000-0005-0000-0000-000017150000}"/>
    <cellStyle name="40% - Accent1 3 2 2 3 2" xfId="5406" xr:uid="{00000000-0005-0000-0000-000018150000}"/>
    <cellStyle name="40% - Accent1 3 2 2 4" xfId="5407" xr:uid="{00000000-0005-0000-0000-000019150000}"/>
    <cellStyle name="40% - Accent1 3 2 3" xfId="5408" xr:uid="{00000000-0005-0000-0000-00001A150000}"/>
    <cellStyle name="40% - Accent1 3 2 3 2" xfId="5409" xr:uid="{00000000-0005-0000-0000-00001B150000}"/>
    <cellStyle name="40% - Accent1 3 2 4" xfId="5410" xr:uid="{00000000-0005-0000-0000-00001C150000}"/>
    <cellStyle name="40% - Accent1 3 2 4 2" xfId="5411" xr:uid="{00000000-0005-0000-0000-00001D150000}"/>
    <cellStyle name="40% - Accent1 3 2 5" xfId="5412" xr:uid="{00000000-0005-0000-0000-00001E150000}"/>
    <cellStyle name="40% - Accent1 3 3" xfId="5413" xr:uid="{00000000-0005-0000-0000-00001F150000}"/>
    <cellStyle name="40% - Accent1 3 3 2" xfId="5414" xr:uid="{00000000-0005-0000-0000-000020150000}"/>
    <cellStyle name="40% - Accent1 3 3 3" xfId="5415" xr:uid="{00000000-0005-0000-0000-000021150000}"/>
    <cellStyle name="40% - Accent1 3 3 3 2" xfId="5416" xr:uid="{00000000-0005-0000-0000-000022150000}"/>
    <cellStyle name="40% - Accent1 3 3 4" xfId="5417" xr:uid="{00000000-0005-0000-0000-000023150000}"/>
    <cellStyle name="40% - Accent1 3 4" xfId="5418" xr:uid="{00000000-0005-0000-0000-000024150000}"/>
    <cellStyle name="40% - Accent1 3 4 2" xfId="5419" xr:uid="{00000000-0005-0000-0000-000025150000}"/>
    <cellStyle name="40% - Accent1 3 5" xfId="5420" xr:uid="{00000000-0005-0000-0000-000026150000}"/>
    <cellStyle name="40% - Accent1 3 5 2" xfId="5421" xr:uid="{00000000-0005-0000-0000-000027150000}"/>
    <cellStyle name="40% - Accent1 3 6" xfId="5422" xr:uid="{00000000-0005-0000-0000-000028150000}"/>
    <cellStyle name="40% - Accent1 3 6 2" xfId="5423" xr:uid="{00000000-0005-0000-0000-000029150000}"/>
    <cellStyle name="40% - Accent1 3 7" xfId="5424" xr:uid="{00000000-0005-0000-0000-00002A150000}"/>
    <cellStyle name="40% - Accent1 3 7 2" xfId="5425" xr:uid="{00000000-0005-0000-0000-00002B150000}"/>
    <cellStyle name="40% - Accent1 3 8" xfId="5426" xr:uid="{00000000-0005-0000-0000-00002C150000}"/>
    <cellStyle name="40% - Accent1 3 8 2" xfId="5427" xr:uid="{00000000-0005-0000-0000-00002D150000}"/>
    <cellStyle name="40% - Accent1 4" xfId="5428" xr:uid="{00000000-0005-0000-0000-00002E150000}"/>
    <cellStyle name="40% - Accent1 4 10" xfId="5429" xr:uid="{00000000-0005-0000-0000-00002F150000}"/>
    <cellStyle name="40% - Accent1 4 10 2" xfId="5430" xr:uid="{00000000-0005-0000-0000-000030150000}"/>
    <cellStyle name="40% - Accent1 4 11" xfId="5431" xr:uid="{00000000-0005-0000-0000-000031150000}"/>
    <cellStyle name="40% - Accent1 4 11 2" xfId="5432" xr:uid="{00000000-0005-0000-0000-000032150000}"/>
    <cellStyle name="40% - Accent1 4 12" xfId="5433" xr:uid="{00000000-0005-0000-0000-000033150000}"/>
    <cellStyle name="40% - Accent1 4 12 2" xfId="5434" xr:uid="{00000000-0005-0000-0000-000034150000}"/>
    <cellStyle name="40% - Accent1 4 13" xfId="5435" xr:uid="{00000000-0005-0000-0000-000035150000}"/>
    <cellStyle name="40% - Accent1 4 2" xfId="5436" xr:uid="{00000000-0005-0000-0000-000036150000}"/>
    <cellStyle name="40% - Accent1 4 2 10" xfId="5437" xr:uid="{00000000-0005-0000-0000-000037150000}"/>
    <cellStyle name="40% - Accent1 4 2 10 2" xfId="5438" xr:uid="{00000000-0005-0000-0000-000038150000}"/>
    <cellStyle name="40% - Accent1 4 2 11" xfId="5439" xr:uid="{00000000-0005-0000-0000-000039150000}"/>
    <cellStyle name="40% - Accent1 4 2 2" xfId="5440" xr:uid="{00000000-0005-0000-0000-00003A150000}"/>
    <cellStyle name="40% - Accent1 4 2 2 10" xfId="5441" xr:uid="{00000000-0005-0000-0000-00003B150000}"/>
    <cellStyle name="40% - Accent1 4 2 2 2" xfId="5442" xr:uid="{00000000-0005-0000-0000-00003C150000}"/>
    <cellStyle name="40% - Accent1 4 2 2 2 2" xfId="5443" xr:uid="{00000000-0005-0000-0000-00003D150000}"/>
    <cellStyle name="40% - Accent1 4 2 2 2 2 2" xfId="5444" xr:uid="{00000000-0005-0000-0000-00003E150000}"/>
    <cellStyle name="40% - Accent1 4 2 2 2 2 2 2" xfId="5445" xr:uid="{00000000-0005-0000-0000-00003F150000}"/>
    <cellStyle name="40% - Accent1 4 2 2 2 2 2 2 2" xfId="5446" xr:uid="{00000000-0005-0000-0000-000040150000}"/>
    <cellStyle name="40% - Accent1 4 2 2 2 2 2 3" xfId="5447" xr:uid="{00000000-0005-0000-0000-000041150000}"/>
    <cellStyle name="40% - Accent1 4 2 2 2 2 2 3 2" xfId="5448" xr:uid="{00000000-0005-0000-0000-000042150000}"/>
    <cellStyle name="40% - Accent1 4 2 2 2 2 2 4" xfId="5449" xr:uid="{00000000-0005-0000-0000-000043150000}"/>
    <cellStyle name="40% - Accent1 4 2 2 2 2 3" xfId="5450" xr:uid="{00000000-0005-0000-0000-000044150000}"/>
    <cellStyle name="40% - Accent1 4 2 2 2 2 3 2" xfId="5451" xr:uid="{00000000-0005-0000-0000-000045150000}"/>
    <cellStyle name="40% - Accent1 4 2 2 2 2 4" xfId="5452" xr:uid="{00000000-0005-0000-0000-000046150000}"/>
    <cellStyle name="40% - Accent1 4 2 2 2 2 4 2" xfId="5453" xr:uid="{00000000-0005-0000-0000-000047150000}"/>
    <cellStyle name="40% - Accent1 4 2 2 2 2 5" xfId="5454" xr:uid="{00000000-0005-0000-0000-000048150000}"/>
    <cellStyle name="40% - Accent1 4 2 2 2 2 5 2" xfId="5455" xr:uid="{00000000-0005-0000-0000-000049150000}"/>
    <cellStyle name="40% - Accent1 4 2 2 2 2 6" xfId="5456" xr:uid="{00000000-0005-0000-0000-00004A150000}"/>
    <cellStyle name="40% - Accent1 4 2 2 2 2 6 2" xfId="5457" xr:uid="{00000000-0005-0000-0000-00004B150000}"/>
    <cellStyle name="40% - Accent1 4 2 2 2 2 7" xfId="5458" xr:uid="{00000000-0005-0000-0000-00004C150000}"/>
    <cellStyle name="40% - Accent1 4 2 2 2 3" xfId="5459" xr:uid="{00000000-0005-0000-0000-00004D150000}"/>
    <cellStyle name="40% - Accent1 4 2 2 2 3 2" xfId="5460" xr:uid="{00000000-0005-0000-0000-00004E150000}"/>
    <cellStyle name="40% - Accent1 4 2 2 2 3 2 2" xfId="5461" xr:uid="{00000000-0005-0000-0000-00004F150000}"/>
    <cellStyle name="40% - Accent1 4 2 2 2 3 3" xfId="5462" xr:uid="{00000000-0005-0000-0000-000050150000}"/>
    <cellStyle name="40% - Accent1 4 2 2 2 3 3 2" xfId="5463" xr:uid="{00000000-0005-0000-0000-000051150000}"/>
    <cellStyle name="40% - Accent1 4 2 2 2 3 4" xfId="5464" xr:uid="{00000000-0005-0000-0000-000052150000}"/>
    <cellStyle name="40% - Accent1 4 2 2 2 3 4 2" xfId="5465" xr:uid="{00000000-0005-0000-0000-000053150000}"/>
    <cellStyle name="40% - Accent1 4 2 2 2 3 5" xfId="5466" xr:uid="{00000000-0005-0000-0000-000054150000}"/>
    <cellStyle name="40% - Accent1 4 2 2 2 3 5 2" xfId="5467" xr:uid="{00000000-0005-0000-0000-000055150000}"/>
    <cellStyle name="40% - Accent1 4 2 2 2 3 6" xfId="5468" xr:uid="{00000000-0005-0000-0000-000056150000}"/>
    <cellStyle name="40% - Accent1 4 2 2 2 4" xfId="5469" xr:uid="{00000000-0005-0000-0000-000057150000}"/>
    <cellStyle name="40% - Accent1 4 2 2 2 4 2" xfId="5470" xr:uid="{00000000-0005-0000-0000-000058150000}"/>
    <cellStyle name="40% - Accent1 4 2 2 2 4 2 2" xfId="5471" xr:uid="{00000000-0005-0000-0000-000059150000}"/>
    <cellStyle name="40% - Accent1 4 2 2 2 4 3" xfId="5472" xr:uid="{00000000-0005-0000-0000-00005A150000}"/>
    <cellStyle name="40% - Accent1 4 2 2 2 5" xfId="5473" xr:uid="{00000000-0005-0000-0000-00005B150000}"/>
    <cellStyle name="40% - Accent1 4 2 2 2 5 2" xfId="5474" xr:uid="{00000000-0005-0000-0000-00005C150000}"/>
    <cellStyle name="40% - Accent1 4 2 2 2 6" xfId="5475" xr:uid="{00000000-0005-0000-0000-00005D150000}"/>
    <cellStyle name="40% - Accent1 4 2 2 2 6 2" xfId="5476" xr:uid="{00000000-0005-0000-0000-00005E150000}"/>
    <cellStyle name="40% - Accent1 4 2 2 2 7" xfId="5477" xr:uid="{00000000-0005-0000-0000-00005F150000}"/>
    <cellStyle name="40% - Accent1 4 2 2 2 7 2" xfId="5478" xr:uid="{00000000-0005-0000-0000-000060150000}"/>
    <cellStyle name="40% - Accent1 4 2 2 2 8" xfId="5479" xr:uid="{00000000-0005-0000-0000-000061150000}"/>
    <cellStyle name="40% - Accent1 4 2 2 3" xfId="5480" xr:uid="{00000000-0005-0000-0000-000062150000}"/>
    <cellStyle name="40% - Accent1 4 2 2 3 2" xfId="5481" xr:uid="{00000000-0005-0000-0000-000063150000}"/>
    <cellStyle name="40% - Accent1 4 2 2 3 2 2" xfId="5482" xr:uid="{00000000-0005-0000-0000-000064150000}"/>
    <cellStyle name="40% - Accent1 4 2 2 3 2 2 2" xfId="5483" xr:uid="{00000000-0005-0000-0000-000065150000}"/>
    <cellStyle name="40% - Accent1 4 2 2 3 2 2 2 2" xfId="5484" xr:uid="{00000000-0005-0000-0000-000066150000}"/>
    <cellStyle name="40% - Accent1 4 2 2 3 2 2 3" xfId="5485" xr:uid="{00000000-0005-0000-0000-000067150000}"/>
    <cellStyle name="40% - Accent1 4 2 2 3 2 2 3 2" xfId="5486" xr:uid="{00000000-0005-0000-0000-000068150000}"/>
    <cellStyle name="40% - Accent1 4 2 2 3 2 2 4" xfId="5487" xr:uid="{00000000-0005-0000-0000-000069150000}"/>
    <cellStyle name="40% - Accent1 4 2 2 3 2 3" xfId="5488" xr:uid="{00000000-0005-0000-0000-00006A150000}"/>
    <cellStyle name="40% - Accent1 4 2 2 3 2 3 2" xfId="5489" xr:uid="{00000000-0005-0000-0000-00006B150000}"/>
    <cellStyle name="40% - Accent1 4 2 2 3 2 4" xfId="5490" xr:uid="{00000000-0005-0000-0000-00006C150000}"/>
    <cellStyle name="40% - Accent1 4 2 2 3 2 4 2" xfId="5491" xr:uid="{00000000-0005-0000-0000-00006D150000}"/>
    <cellStyle name="40% - Accent1 4 2 2 3 2 5" xfId="5492" xr:uid="{00000000-0005-0000-0000-00006E150000}"/>
    <cellStyle name="40% - Accent1 4 2 2 3 2 5 2" xfId="5493" xr:uid="{00000000-0005-0000-0000-00006F150000}"/>
    <cellStyle name="40% - Accent1 4 2 2 3 2 6" xfId="5494" xr:uid="{00000000-0005-0000-0000-000070150000}"/>
    <cellStyle name="40% - Accent1 4 2 2 3 2 6 2" xfId="5495" xr:uid="{00000000-0005-0000-0000-000071150000}"/>
    <cellStyle name="40% - Accent1 4 2 2 3 2 7" xfId="5496" xr:uid="{00000000-0005-0000-0000-000072150000}"/>
    <cellStyle name="40% - Accent1 4 2 2 3 3" xfId="5497" xr:uid="{00000000-0005-0000-0000-000073150000}"/>
    <cellStyle name="40% - Accent1 4 2 2 3 3 2" xfId="5498" xr:uid="{00000000-0005-0000-0000-000074150000}"/>
    <cellStyle name="40% - Accent1 4 2 2 3 3 2 2" xfId="5499" xr:uid="{00000000-0005-0000-0000-000075150000}"/>
    <cellStyle name="40% - Accent1 4 2 2 3 3 3" xfId="5500" xr:uid="{00000000-0005-0000-0000-000076150000}"/>
    <cellStyle name="40% - Accent1 4 2 2 3 3 3 2" xfId="5501" xr:uid="{00000000-0005-0000-0000-000077150000}"/>
    <cellStyle name="40% - Accent1 4 2 2 3 3 4" xfId="5502" xr:uid="{00000000-0005-0000-0000-000078150000}"/>
    <cellStyle name="40% - Accent1 4 2 2 3 3 4 2" xfId="5503" xr:uid="{00000000-0005-0000-0000-000079150000}"/>
    <cellStyle name="40% - Accent1 4 2 2 3 3 5" xfId="5504" xr:uid="{00000000-0005-0000-0000-00007A150000}"/>
    <cellStyle name="40% - Accent1 4 2 2 3 3 5 2" xfId="5505" xr:uid="{00000000-0005-0000-0000-00007B150000}"/>
    <cellStyle name="40% - Accent1 4 2 2 3 3 6" xfId="5506" xr:uid="{00000000-0005-0000-0000-00007C150000}"/>
    <cellStyle name="40% - Accent1 4 2 2 3 4" xfId="5507" xr:uid="{00000000-0005-0000-0000-00007D150000}"/>
    <cellStyle name="40% - Accent1 4 2 2 3 4 2" xfId="5508" xr:uid="{00000000-0005-0000-0000-00007E150000}"/>
    <cellStyle name="40% - Accent1 4 2 2 3 4 2 2" xfId="5509" xr:uid="{00000000-0005-0000-0000-00007F150000}"/>
    <cellStyle name="40% - Accent1 4 2 2 3 4 3" xfId="5510" xr:uid="{00000000-0005-0000-0000-000080150000}"/>
    <cellStyle name="40% - Accent1 4 2 2 3 5" xfId="5511" xr:uid="{00000000-0005-0000-0000-000081150000}"/>
    <cellStyle name="40% - Accent1 4 2 2 3 5 2" xfId="5512" xr:uid="{00000000-0005-0000-0000-000082150000}"/>
    <cellStyle name="40% - Accent1 4 2 2 3 6" xfId="5513" xr:uid="{00000000-0005-0000-0000-000083150000}"/>
    <cellStyle name="40% - Accent1 4 2 2 3 6 2" xfId="5514" xr:uid="{00000000-0005-0000-0000-000084150000}"/>
    <cellStyle name="40% - Accent1 4 2 2 3 7" xfId="5515" xr:uid="{00000000-0005-0000-0000-000085150000}"/>
    <cellStyle name="40% - Accent1 4 2 2 3 7 2" xfId="5516" xr:uid="{00000000-0005-0000-0000-000086150000}"/>
    <cellStyle name="40% - Accent1 4 2 2 3 8" xfId="5517" xr:uid="{00000000-0005-0000-0000-000087150000}"/>
    <cellStyle name="40% - Accent1 4 2 2 4" xfId="5518" xr:uid="{00000000-0005-0000-0000-000088150000}"/>
    <cellStyle name="40% - Accent1 4 2 2 4 2" xfId="5519" xr:uid="{00000000-0005-0000-0000-000089150000}"/>
    <cellStyle name="40% - Accent1 4 2 2 4 2 2" xfId="5520" xr:uid="{00000000-0005-0000-0000-00008A150000}"/>
    <cellStyle name="40% - Accent1 4 2 2 4 2 2 2" xfId="5521" xr:uid="{00000000-0005-0000-0000-00008B150000}"/>
    <cellStyle name="40% - Accent1 4 2 2 4 2 3" xfId="5522" xr:uid="{00000000-0005-0000-0000-00008C150000}"/>
    <cellStyle name="40% - Accent1 4 2 2 4 2 3 2" xfId="5523" xr:uid="{00000000-0005-0000-0000-00008D150000}"/>
    <cellStyle name="40% - Accent1 4 2 2 4 2 4" xfId="5524" xr:uid="{00000000-0005-0000-0000-00008E150000}"/>
    <cellStyle name="40% - Accent1 4 2 2 4 3" xfId="5525" xr:uid="{00000000-0005-0000-0000-00008F150000}"/>
    <cellStyle name="40% - Accent1 4 2 2 4 3 2" xfId="5526" xr:uid="{00000000-0005-0000-0000-000090150000}"/>
    <cellStyle name="40% - Accent1 4 2 2 4 4" xfId="5527" xr:uid="{00000000-0005-0000-0000-000091150000}"/>
    <cellStyle name="40% - Accent1 4 2 2 4 4 2" xfId="5528" xr:uid="{00000000-0005-0000-0000-000092150000}"/>
    <cellStyle name="40% - Accent1 4 2 2 4 5" xfId="5529" xr:uid="{00000000-0005-0000-0000-000093150000}"/>
    <cellStyle name="40% - Accent1 4 2 2 4 5 2" xfId="5530" xr:uid="{00000000-0005-0000-0000-000094150000}"/>
    <cellStyle name="40% - Accent1 4 2 2 4 6" xfId="5531" xr:uid="{00000000-0005-0000-0000-000095150000}"/>
    <cellStyle name="40% - Accent1 4 2 2 4 6 2" xfId="5532" xr:uid="{00000000-0005-0000-0000-000096150000}"/>
    <cellStyle name="40% - Accent1 4 2 2 4 7" xfId="5533" xr:uid="{00000000-0005-0000-0000-000097150000}"/>
    <cellStyle name="40% - Accent1 4 2 2 5" xfId="5534" xr:uid="{00000000-0005-0000-0000-000098150000}"/>
    <cellStyle name="40% - Accent1 4 2 2 5 2" xfId="5535" xr:uid="{00000000-0005-0000-0000-000099150000}"/>
    <cellStyle name="40% - Accent1 4 2 2 5 2 2" xfId="5536" xr:uid="{00000000-0005-0000-0000-00009A150000}"/>
    <cellStyle name="40% - Accent1 4 2 2 5 3" xfId="5537" xr:uid="{00000000-0005-0000-0000-00009B150000}"/>
    <cellStyle name="40% - Accent1 4 2 2 5 3 2" xfId="5538" xr:uid="{00000000-0005-0000-0000-00009C150000}"/>
    <cellStyle name="40% - Accent1 4 2 2 5 4" xfId="5539" xr:uid="{00000000-0005-0000-0000-00009D150000}"/>
    <cellStyle name="40% - Accent1 4 2 2 5 4 2" xfId="5540" xr:uid="{00000000-0005-0000-0000-00009E150000}"/>
    <cellStyle name="40% - Accent1 4 2 2 5 5" xfId="5541" xr:uid="{00000000-0005-0000-0000-00009F150000}"/>
    <cellStyle name="40% - Accent1 4 2 2 5 5 2" xfId="5542" xr:uid="{00000000-0005-0000-0000-0000A0150000}"/>
    <cellStyle name="40% - Accent1 4 2 2 5 6" xfId="5543" xr:uid="{00000000-0005-0000-0000-0000A1150000}"/>
    <cellStyle name="40% - Accent1 4 2 2 6" xfId="5544" xr:uid="{00000000-0005-0000-0000-0000A2150000}"/>
    <cellStyle name="40% - Accent1 4 2 2 6 2" xfId="5545" xr:uid="{00000000-0005-0000-0000-0000A3150000}"/>
    <cellStyle name="40% - Accent1 4 2 2 6 2 2" xfId="5546" xr:uid="{00000000-0005-0000-0000-0000A4150000}"/>
    <cellStyle name="40% - Accent1 4 2 2 6 3" xfId="5547" xr:uid="{00000000-0005-0000-0000-0000A5150000}"/>
    <cellStyle name="40% - Accent1 4 2 2 7" xfId="5548" xr:uid="{00000000-0005-0000-0000-0000A6150000}"/>
    <cellStyle name="40% - Accent1 4 2 2 7 2" xfId="5549" xr:uid="{00000000-0005-0000-0000-0000A7150000}"/>
    <cellStyle name="40% - Accent1 4 2 2 8" xfId="5550" xr:uid="{00000000-0005-0000-0000-0000A8150000}"/>
    <cellStyle name="40% - Accent1 4 2 2 8 2" xfId="5551" xr:uid="{00000000-0005-0000-0000-0000A9150000}"/>
    <cellStyle name="40% - Accent1 4 2 2 9" xfId="5552" xr:uid="{00000000-0005-0000-0000-0000AA150000}"/>
    <cellStyle name="40% - Accent1 4 2 2 9 2" xfId="5553" xr:uid="{00000000-0005-0000-0000-0000AB150000}"/>
    <cellStyle name="40% - Accent1 4 2 3" xfId="5554" xr:uid="{00000000-0005-0000-0000-0000AC150000}"/>
    <cellStyle name="40% - Accent1 4 2 3 2" xfId="5555" xr:uid="{00000000-0005-0000-0000-0000AD150000}"/>
    <cellStyle name="40% - Accent1 4 2 3 2 2" xfId="5556" xr:uid="{00000000-0005-0000-0000-0000AE150000}"/>
    <cellStyle name="40% - Accent1 4 2 3 2 2 2" xfId="5557" xr:uid="{00000000-0005-0000-0000-0000AF150000}"/>
    <cellStyle name="40% - Accent1 4 2 3 2 2 2 2" xfId="5558" xr:uid="{00000000-0005-0000-0000-0000B0150000}"/>
    <cellStyle name="40% - Accent1 4 2 3 2 2 3" xfId="5559" xr:uid="{00000000-0005-0000-0000-0000B1150000}"/>
    <cellStyle name="40% - Accent1 4 2 3 2 2 3 2" xfId="5560" xr:uid="{00000000-0005-0000-0000-0000B2150000}"/>
    <cellStyle name="40% - Accent1 4 2 3 2 2 4" xfId="5561" xr:uid="{00000000-0005-0000-0000-0000B3150000}"/>
    <cellStyle name="40% - Accent1 4 2 3 2 3" xfId="5562" xr:uid="{00000000-0005-0000-0000-0000B4150000}"/>
    <cellStyle name="40% - Accent1 4 2 3 2 3 2" xfId="5563" xr:uid="{00000000-0005-0000-0000-0000B5150000}"/>
    <cellStyle name="40% - Accent1 4 2 3 2 4" xfId="5564" xr:uid="{00000000-0005-0000-0000-0000B6150000}"/>
    <cellStyle name="40% - Accent1 4 2 3 2 4 2" xfId="5565" xr:uid="{00000000-0005-0000-0000-0000B7150000}"/>
    <cellStyle name="40% - Accent1 4 2 3 2 5" xfId="5566" xr:uid="{00000000-0005-0000-0000-0000B8150000}"/>
    <cellStyle name="40% - Accent1 4 2 3 2 5 2" xfId="5567" xr:uid="{00000000-0005-0000-0000-0000B9150000}"/>
    <cellStyle name="40% - Accent1 4 2 3 2 6" xfId="5568" xr:uid="{00000000-0005-0000-0000-0000BA150000}"/>
    <cellStyle name="40% - Accent1 4 2 3 2 6 2" xfId="5569" xr:uid="{00000000-0005-0000-0000-0000BB150000}"/>
    <cellStyle name="40% - Accent1 4 2 3 2 7" xfId="5570" xr:uid="{00000000-0005-0000-0000-0000BC150000}"/>
    <cellStyle name="40% - Accent1 4 2 3 3" xfId="5571" xr:uid="{00000000-0005-0000-0000-0000BD150000}"/>
    <cellStyle name="40% - Accent1 4 2 3 3 2" xfId="5572" xr:uid="{00000000-0005-0000-0000-0000BE150000}"/>
    <cellStyle name="40% - Accent1 4 2 3 3 2 2" xfId="5573" xr:uid="{00000000-0005-0000-0000-0000BF150000}"/>
    <cellStyle name="40% - Accent1 4 2 3 3 3" xfId="5574" xr:uid="{00000000-0005-0000-0000-0000C0150000}"/>
    <cellStyle name="40% - Accent1 4 2 3 3 3 2" xfId="5575" xr:uid="{00000000-0005-0000-0000-0000C1150000}"/>
    <cellStyle name="40% - Accent1 4 2 3 3 4" xfId="5576" xr:uid="{00000000-0005-0000-0000-0000C2150000}"/>
    <cellStyle name="40% - Accent1 4 2 3 3 4 2" xfId="5577" xr:uid="{00000000-0005-0000-0000-0000C3150000}"/>
    <cellStyle name="40% - Accent1 4 2 3 3 5" xfId="5578" xr:uid="{00000000-0005-0000-0000-0000C4150000}"/>
    <cellStyle name="40% - Accent1 4 2 3 3 5 2" xfId="5579" xr:uid="{00000000-0005-0000-0000-0000C5150000}"/>
    <cellStyle name="40% - Accent1 4 2 3 3 6" xfId="5580" xr:uid="{00000000-0005-0000-0000-0000C6150000}"/>
    <cellStyle name="40% - Accent1 4 2 3 4" xfId="5581" xr:uid="{00000000-0005-0000-0000-0000C7150000}"/>
    <cellStyle name="40% - Accent1 4 2 3 4 2" xfId="5582" xr:uid="{00000000-0005-0000-0000-0000C8150000}"/>
    <cellStyle name="40% - Accent1 4 2 3 4 2 2" xfId="5583" xr:uid="{00000000-0005-0000-0000-0000C9150000}"/>
    <cellStyle name="40% - Accent1 4 2 3 4 3" xfId="5584" xr:uid="{00000000-0005-0000-0000-0000CA150000}"/>
    <cellStyle name="40% - Accent1 4 2 3 5" xfId="5585" xr:uid="{00000000-0005-0000-0000-0000CB150000}"/>
    <cellStyle name="40% - Accent1 4 2 3 5 2" xfId="5586" xr:uid="{00000000-0005-0000-0000-0000CC150000}"/>
    <cellStyle name="40% - Accent1 4 2 3 6" xfId="5587" xr:uid="{00000000-0005-0000-0000-0000CD150000}"/>
    <cellStyle name="40% - Accent1 4 2 3 6 2" xfId="5588" xr:uid="{00000000-0005-0000-0000-0000CE150000}"/>
    <cellStyle name="40% - Accent1 4 2 3 7" xfId="5589" xr:uid="{00000000-0005-0000-0000-0000CF150000}"/>
    <cellStyle name="40% - Accent1 4 2 3 7 2" xfId="5590" xr:uid="{00000000-0005-0000-0000-0000D0150000}"/>
    <cellStyle name="40% - Accent1 4 2 3 8" xfId="5591" xr:uid="{00000000-0005-0000-0000-0000D1150000}"/>
    <cellStyle name="40% - Accent1 4 2 4" xfId="5592" xr:uid="{00000000-0005-0000-0000-0000D2150000}"/>
    <cellStyle name="40% - Accent1 4 2 4 2" xfId="5593" xr:uid="{00000000-0005-0000-0000-0000D3150000}"/>
    <cellStyle name="40% - Accent1 4 2 4 2 2" xfId="5594" xr:uid="{00000000-0005-0000-0000-0000D4150000}"/>
    <cellStyle name="40% - Accent1 4 2 4 2 2 2" xfId="5595" xr:uid="{00000000-0005-0000-0000-0000D5150000}"/>
    <cellStyle name="40% - Accent1 4 2 4 2 2 2 2" xfId="5596" xr:uid="{00000000-0005-0000-0000-0000D6150000}"/>
    <cellStyle name="40% - Accent1 4 2 4 2 2 3" xfId="5597" xr:uid="{00000000-0005-0000-0000-0000D7150000}"/>
    <cellStyle name="40% - Accent1 4 2 4 2 2 3 2" xfId="5598" xr:uid="{00000000-0005-0000-0000-0000D8150000}"/>
    <cellStyle name="40% - Accent1 4 2 4 2 2 4" xfId="5599" xr:uid="{00000000-0005-0000-0000-0000D9150000}"/>
    <cellStyle name="40% - Accent1 4 2 4 2 3" xfId="5600" xr:uid="{00000000-0005-0000-0000-0000DA150000}"/>
    <cellStyle name="40% - Accent1 4 2 4 2 3 2" xfId="5601" xr:uid="{00000000-0005-0000-0000-0000DB150000}"/>
    <cellStyle name="40% - Accent1 4 2 4 2 4" xfId="5602" xr:uid="{00000000-0005-0000-0000-0000DC150000}"/>
    <cellStyle name="40% - Accent1 4 2 4 2 4 2" xfId="5603" xr:uid="{00000000-0005-0000-0000-0000DD150000}"/>
    <cellStyle name="40% - Accent1 4 2 4 2 5" xfId="5604" xr:uid="{00000000-0005-0000-0000-0000DE150000}"/>
    <cellStyle name="40% - Accent1 4 2 4 2 5 2" xfId="5605" xr:uid="{00000000-0005-0000-0000-0000DF150000}"/>
    <cellStyle name="40% - Accent1 4 2 4 2 6" xfId="5606" xr:uid="{00000000-0005-0000-0000-0000E0150000}"/>
    <cellStyle name="40% - Accent1 4 2 4 2 6 2" xfId="5607" xr:uid="{00000000-0005-0000-0000-0000E1150000}"/>
    <cellStyle name="40% - Accent1 4 2 4 2 7" xfId="5608" xr:uid="{00000000-0005-0000-0000-0000E2150000}"/>
    <cellStyle name="40% - Accent1 4 2 4 3" xfId="5609" xr:uid="{00000000-0005-0000-0000-0000E3150000}"/>
    <cellStyle name="40% - Accent1 4 2 4 3 2" xfId="5610" xr:uid="{00000000-0005-0000-0000-0000E4150000}"/>
    <cellStyle name="40% - Accent1 4 2 4 3 2 2" xfId="5611" xr:uid="{00000000-0005-0000-0000-0000E5150000}"/>
    <cellStyle name="40% - Accent1 4 2 4 3 3" xfId="5612" xr:uid="{00000000-0005-0000-0000-0000E6150000}"/>
    <cellStyle name="40% - Accent1 4 2 4 3 3 2" xfId="5613" xr:uid="{00000000-0005-0000-0000-0000E7150000}"/>
    <cellStyle name="40% - Accent1 4 2 4 3 4" xfId="5614" xr:uid="{00000000-0005-0000-0000-0000E8150000}"/>
    <cellStyle name="40% - Accent1 4 2 4 3 4 2" xfId="5615" xr:uid="{00000000-0005-0000-0000-0000E9150000}"/>
    <cellStyle name="40% - Accent1 4 2 4 3 5" xfId="5616" xr:uid="{00000000-0005-0000-0000-0000EA150000}"/>
    <cellStyle name="40% - Accent1 4 2 4 3 5 2" xfId="5617" xr:uid="{00000000-0005-0000-0000-0000EB150000}"/>
    <cellStyle name="40% - Accent1 4 2 4 3 6" xfId="5618" xr:uid="{00000000-0005-0000-0000-0000EC150000}"/>
    <cellStyle name="40% - Accent1 4 2 4 4" xfId="5619" xr:uid="{00000000-0005-0000-0000-0000ED150000}"/>
    <cellStyle name="40% - Accent1 4 2 4 4 2" xfId="5620" xr:uid="{00000000-0005-0000-0000-0000EE150000}"/>
    <cellStyle name="40% - Accent1 4 2 4 4 2 2" xfId="5621" xr:uid="{00000000-0005-0000-0000-0000EF150000}"/>
    <cellStyle name="40% - Accent1 4 2 4 4 3" xfId="5622" xr:uid="{00000000-0005-0000-0000-0000F0150000}"/>
    <cellStyle name="40% - Accent1 4 2 4 5" xfId="5623" xr:uid="{00000000-0005-0000-0000-0000F1150000}"/>
    <cellStyle name="40% - Accent1 4 2 4 5 2" xfId="5624" xr:uid="{00000000-0005-0000-0000-0000F2150000}"/>
    <cellStyle name="40% - Accent1 4 2 4 6" xfId="5625" xr:uid="{00000000-0005-0000-0000-0000F3150000}"/>
    <cellStyle name="40% - Accent1 4 2 4 6 2" xfId="5626" xr:uid="{00000000-0005-0000-0000-0000F4150000}"/>
    <cellStyle name="40% - Accent1 4 2 4 7" xfId="5627" xr:uid="{00000000-0005-0000-0000-0000F5150000}"/>
    <cellStyle name="40% - Accent1 4 2 4 7 2" xfId="5628" xr:uid="{00000000-0005-0000-0000-0000F6150000}"/>
    <cellStyle name="40% - Accent1 4 2 4 8" xfId="5629" xr:uid="{00000000-0005-0000-0000-0000F7150000}"/>
    <cellStyle name="40% - Accent1 4 2 5" xfId="5630" xr:uid="{00000000-0005-0000-0000-0000F8150000}"/>
    <cellStyle name="40% - Accent1 4 2 5 2" xfId="5631" xr:uid="{00000000-0005-0000-0000-0000F9150000}"/>
    <cellStyle name="40% - Accent1 4 2 5 2 2" xfId="5632" xr:uid="{00000000-0005-0000-0000-0000FA150000}"/>
    <cellStyle name="40% - Accent1 4 2 5 2 2 2" xfId="5633" xr:uid="{00000000-0005-0000-0000-0000FB150000}"/>
    <cellStyle name="40% - Accent1 4 2 5 2 3" xfId="5634" xr:uid="{00000000-0005-0000-0000-0000FC150000}"/>
    <cellStyle name="40% - Accent1 4 2 5 2 3 2" xfId="5635" xr:uid="{00000000-0005-0000-0000-0000FD150000}"/>
    <cellStyle name="40% - Accent1 4 2 5 2 4" xfId="5636" xr:uid="{00000000-0005-0000-0000-0000FE150000}"/>
    <cellStyle name="40% - Accent1 4 2 5 3" xfId="5637" xr:uid="{00000000-0005-0000-0000-0000FF150000}"/>
    <cellStyle name="40% - Accent1 4 2 5 3 2" xfId="5638" xr:uid="{00000000-0005-0000-0000-000000160000}"/>
    <cellStyle name="40% - Accent1 4 2 5 4" xfId="5639" xr:uid="{00000000-0005-0000-0000-000001160000}"/>
    <cellStyle name="40% - Accent1 4 2 5 4 2" xfId="5640" xr:uid="{00000000-0005-0000-0000-000002160000}"/>
    <cellStyle name="40% - Accent1 4 2 5 5" xfId="5641" xr:uid="{00000000-0005-0000-0000-000003160000}"/>
    <cellStyle name="40% - Accent1 4 2 5 5 2" xfId="5642" xr:uid="{00000000-0005-0000-0000-000004160000}"/>
    <cellStyle name="40% - Accent1 4 2 5 6" xfId="5643" xr:uid="{00000000-0005-0000-0000-000005160000}"/>
    <cellStyle name="40% - Accent1 4 2 5 6 2" xfId="5644" xr:uid="{00000000-0005-0000-0000-000006160000}"/>
    <cellStyle name="40% - Accent1 4 2 5 7" xfId="5645" xr:uid="{00000000-0005-0000-0000-000007160000}"/>
    <cellStyle name="40% - Accent1 4 2 6" xfId="5646" xr:uid="{00000000-0005-0000-0000-000008160000}"/>
    <cellStyle name="40% - Accent1 4 2 6 2" xfId="5647" xr:uid="{00000000-0005-0000-0000-000009160000}"/>
    <cellStyle name="40% - Accent1 4 2 6 2 2" xfId="5648" xr:uid="{00000000-0005-0000-0000-00000A160000}"/>
    <cellStyle name="40% - Accent1 4 2 6 3" xfId="5649" xr:uid="{00000000-0005-0000-0000-00000B160000}"/>
    <cellStyle name="40% - Accent1 4 2 6 3 2" xfId="5650" xr:uid="{00000000-0005-0000-0000-00000C160000}"/>
    <cellStyle name="40% - Accent1 4 2 6 4" xfId="5651" xr:uid="{00000000-0005-0000-0000-00000D160000}"/>
    <cellStyle name="40% - Accent1 4 2 6 4 2" xfId="5652" xr:uid="{00000000-0005-0000-0000-00000E160000}"/>
    <cellStyle name="40% - Accent1 4 2 6 5" xfId="5653" xr:uid="{00000000-0005-0000-0000-00000F160000}"/>
    <cellStyle name="40% - Accent1 4 2 6 5 2" xfId="5654" xr:uid="{00000000-0005-0000-0000-000010160000}"/>
    <cellStyle name="40% - Accent1 4 2 6 6" xfId="5655" xr:uid="{00000000-0005-0000-0000-000011160000}"/>
    <cellStyle name="40% - Accent1 4 2 7" xfId="5656" xr:uid="{00000000-0005-0000-0000-000012160000}"/>
    <cellStyle name="40% - Accent1 4 2 7 2" xfId="5657" xr:uid="{00000000-0005-0000-0000-000013160000}"/>
    <cellStyle name="40% - Accent1 4 2 7 2 2" xfId="5658" xr:uid="{00000000-0005-0000-0000-000014160000}"/>
    <cellStyle name="40% - Accent1 4 2 7 3" xfId="5659" xr:uid="{00000000-0005-0000-0000-000015160000}"/>
    <cellStyle name="40% - Accent1 4 2 8" xfId="5660" xr:uid="{00000000-0005-0000-0000-000016160000}"/>
    <cellStyle name="40% - Accent1 4 2 8 2" xfId="5661" xr:uid="{00000000-0005-0000-0000-000017160000}"/>
    <cellStyle name="40% - Accent1 4 2 9" xfId="5662" xr:uid="{00000000-0005-0000-0000-000018160000}"/>
    <cellStyle name="40% - Accent1 4 2 9 2" xfId="5663" xr:uid="{00000000-0005-0000-0000-000019160000}"/>
    <cellStyle name="40% - Accent1 4 3" xfId="5664" xr:uid="{00000000-0005-0000-0000-00001A160000}"/>
    <cellStyle name="40% - Accent1 4 3 10" xfId="5665" xr:uid="{00000000-0005-0000-0000-00001B160000}"/>
    <cellStyle name="40% - Accent1 4 3 2" xfId="5666" xr:uid="{00000000-0005-0000-0000-00001C160000}"/>
    <cellStyle name="40% - Accent1 4 3 2 2" xfId="5667" xr:uid="{00000000-0005-0000-0000-00001D160000}"/>
    <cellStyle name="40% - Accent1 4 3 2 2 2" xfId="5668" xr:uid="{00000000-0005-0000-0000-00001E160000}"/>
    <cellStyle name="40% - Accent1 4 3 2 2 2 2" xfId="5669" xr:uid="{00000000-0005-0000-0000-00001F160000}"/>
    <cellStyle name="40% - Accent1 4 3 2 2 2 2 2" xfId="5670" xr:uid="{00000000-0005-0000-0000-000020160000}"/>
    <cellStyle name="40% - Accent1 4 3 2 2 2 3" xfId="5671" xr:uid="{00000000-0005-0000-0000-000021160000}"/>
    <cellStyle name="40% - Accent1 4 3 2 2 2 3 2" xfId="5672" xr:uid="{00000000-0005-0000-0000-000022160000}"/>
    <cellStyle name="40% - Accent1 4 3 2 2 2 4" xfId="5673" xr:uid="{00000000-0005-0000-0000-000023160000}"/>
    <cellStyle name="40% - Accent1 4 3 2 2 3" xfId="5674" xr:uid="{00000000-0005-0000-0000-000024160000}"/>
    <cellStyle name="40% - Accent1 4 3 2 2 3 2" xfId="5675" xr:uid="{00000000-0005-0000-0000-000025160000}"/>
    <cellStyle name="40% - Accent1 4 3 2 2 4" xfId="5676" xr:uid="{00000000-0005-0000-0000-000026160000}"/>
    <cellStyle name="40% - Accent1 4 3 2 2 4 2" xfId="5677" xr:uid="{00000000-0005-0000-0000-000027160000}"/>
    <cellStyle name="40% - Accent1 4 3 2 2 5" xfId="5678" xr:uid="{00000000-0005-0000-0000-000028160000}"/>
    <cellStyle name="40% - Accent1 4 3 2 2 5 2" xfId="5679" xr:uid="{00000000-0005-0000-0000-000029160000}"/>
    <cellStyle name="40% - Accent1 4 3 2 2 6" xfId="5680" xr:uid="{00000000-0005-0000-0000-00002A160000}"/>
    <cellStyle name="40% - Accent1 4 3 2 2 6 2" xfId="5681" xr:uid="{00000000-0005-0000-0000-00002B160000}"/>
    <cellStyle name="40% - Accent1 4 3 2 2 7" xfId="5682" xr:uid="{00000000-0005-0000-0000-00002C160000}"/>
    <cellStyle name="40% - Accent1 4 3 2 3" xfId="5683" xr:uid="{00000000-0005-0000-0000-00002D160000}"/>
    <cellStyle name="40% - Accent1 4 3 2 3 2" xfId="5684" xr:uid="{00000000-0005-0000-0000-00002E160000}"/>
    <cellStyle name="40% - Accent1 4 3 2 3 2 2" xfId="5685" xr:uid="{00000000-0005-0000-0000-00002F160000}"/>
    <cellStyle name="40% - Accent1 4 3 2 3 3" xfId="5686" xr:uid="{00000000-0005-0000-0000-000030160000}"/>
    <cellStyle name="40% - Accent1 4 3 2 3 3 2" xfId="5687" xr:uid="{00000000-0005-0000-0000-000031160000}"/>
    <cellStyle name="40% - Accent1 4 3 2 3 4" xfId="5688" xr:uid="{00000000-0005-0000-0000-000032160000}"/>
    <cellStyle name="40% - Accent1 4 3 2 3 4 2" xfId="5689" xr:uid="{00000000-0005-0000-0000-000033160000}"/>
    <cellStyle name="40% - Accent1 4 3 2 3 5" xfId="5690" xr:uid="{00000000-0005-0000-0000-000034160000}"/>
    <cellStyle name="40% - Accent1 4 3 2 3 5 2" xfId="5691" xr:uid="{00000000-0005-0000-0000-000035160000}"/>
    <cellStyle name="40% - Accent1 4 3 2 3 6" xfId="5692" xr:uid="{00000000-0005-0000-0000-000036160000}"/>
    <cellStyle name="40% - Accent1 4 3 2 4" xfId="5693" xr:uid="{00000000-0005-0000-0000-000037160000}"/>
    <cellStyle name="40% - Accent1 4 3 2 4 2" xfId="5694" xr:uid="{00000000-0005-0000-0000-000038160000}"/>
    <cellStyle name="40% - Accent1 4 3 2 4 2 2" xfId="5695" xr:uid="{00000000-0005-0000-0000-000039160000}"/>
    <cellStyle name="40% - Accent1 4 3 2 4 3" xfId="5696" xr:uid="{00000000-0005-0000-0000-00003A160000}"/>
    <cellStyle name="40% - Accent1 4 3 2 5" xfId="5697" xr:uid="{00000000-0005-0000-0000-00003B160000}"/>
    <cellStyle name="40% - Accent1 4 3 2 5 2" xfId="5698" xr:uid="{00000000-0005-0000-0000-00003C160000}"/>
    <cellStyle name="40% - Accent1 4 3 2 6" xfId="5699" xr:uid="{00000000-0005-0000-0000-00003D160000}"/>
    <cellStyle name="40% - Accent1 4 3 2 6 2" xfId="5700" xr:uid="{00000000-0005-0000-0000-00003E160000}"/>
    <cellStyle name="40% - Accent1 4 3 2 7" xfId="5701" xr:uid="{00000000-0005-0000-0000-00003F160000}"/>
    <cellStyle name="40% - Accent1 4 3 2 7 2" xfId="5702" xr:uid="{00000000-0005-0000-0000-000040160000}"/>
    <cellStyle name="40% - Accent1 4 3 2 8" xfId="5703" xr:uid="{00000000-0005-0000-0000-000041160000}"/>
    <cellStyle name="40% - Accent1 4 3 3" xfId="5704" xr:uid="{00000000-0005-0000-0000-000042160000}"/>
    <cellStyle name="40% - Accent1 4 3 3 2" xfId="5705" xr:uid="{00000000-0005-0000-0000-000043160000}"/>
    <cellStyle name="40% - Accent1 4 3 3 2 2" xfId="5706" xr:uid="{00000000-0005-0000-0000-000044160000}"/>
    <cellStyle name="40% - Accent1 4 3 3 2 2 2" xfId="5707" xr:uid="{00000000-0005-0000-0000-000045160000}"/>
    <cellStyle name="40% - Accent1 4 3 3 2 2 2 2" xfId="5708" xr:uid="{00000000-0005-0000-0000-000046160000}"/>
    <cellStyle name="40% - Accent1 4 3 3 2 2 3" xfId="5709" xr:uid="{00000000-0005-0000-0000-000047160000}"/>
    <cellStyle name="40% - Accent1 4 3 3 2 2 3 2" xfId="5710" xr:uid="{00000000-0005-0000-0000-000048160000}"/>
    <cellStyle name="40% - Accent1 4 3 3 2 2 4" xfId="5711" xr:uid="{00000000-0005-0000-0000-000049160000}"/>
    <cellStyle name="40% - Accent1 4 3 3 2 3" xfId="5712" xr:uid="{00000000-0005-0000-0000-00004A160000}"/>
    <cellStyle name="40% - Accent1 4 3 3 2 3 2" xfId="5713" xr:uid="{00000000-0005-0000-0000-00004B160000}"/>
    <cellStyle name="40% - Accent1 4 3 3 2 4" xfId="5714" xr:uid="{00000000-0005-0000-0000-00004C160000}"/>
    <cellStyle name="40% - Accent1 4 3 3 2 4 2" xfId="5715" xr:uid="{00000000-0005-0000-0000-00004D160000}"/>
    <cellStyle name="40% - Accent1 4 3 3 2 5" xfId="5716" xr:uid="{00000000-0005-0000-0000-00004E160000}"/>
    <cellStyle name="40% - Accent1 4 3 3 2 5 2" xfId="5717" xr:uid="{00000000-0005-0000-0000-00004F160000}"/>
    <cellStyle name="40% - Accent1 4 3 3 2 6" xfId="5718" xr:uid="{00000000-0005-0000-0000-000050160000}"/>
    <cellStyle name="40% - Accent1 4 3 3 2 6 2" xfId="5719" xr:uid="{00000000-0005-0000-0000-000051160000}"/>
    <cellStyle name="40% - Accent1 4 3 3 2 7" xfId="5720" xr:uid="{00000000-0005-0000-0000-000052160000}"/>
    <cellStyle name="40% - Accent1 4 3 3 3" xfId="5721" xr:uid="{00000000-0005-0000-0000-000053160000}"/>
    <cellStyle name="40% - Accent1 4 3 3 3 2" xfId="5722" xr:uid="{00000000-0005-0000-0000-000054160000}"/>
    <cellStyle name="40% - Accent1 4 3 3 3 2 2" xfId="5723" xr:uid="{00000000-0005-0000-0000-000055160000}"/>
    <cellStyle name="40% - Accent1 4 3 3 3 3" xfId="5724" xr:uid="{00000000-0005-0000-0000-000056160000}"/>
    <cellStyle name="40% - Accent1 4 3 3 3 3 2" xfId="5725" xr:uid="{00000000-0005-0000-0000-000057160000}"/>
    <cellStyle name="40% - Accent1 4 3 3 3 4" xfId="5726" xr:uid="{00000000-0005-0000-0000-000058160000}"/>
    <cellStyle name="40% - Accent1 4 3 3 3 4 2" xfId="5727" xr:uid="{00000000-0005-0000-0000-000059160000}"/>
    <cellStyle name="40% - Accent1 4 3 3 3 5" xfId="5728" xr:uid="{00000000-0005-0000-0000-00005A160000}"/>
    <cellStyle name="40% - Accent1 4 3 3 3 5 2" xfId="5729" xr:uid="{00000000-0005-0000-0000-00005B160000}"/>
    <cellStyle name="40% - Accent1 4 3 3 3 6" xfId="5730" xr:uid="{00000000-0005-0000-0000-00005C160000}"/>
    <cellStyle name="40% - Accent1 4 3 3 4" xfId="5731" xr:uid="{00000000-0005-0000-0000-00005D160000}"/>
    <cellStyle name="40% - Accent1 4 3 3 4 2" xfId="5732" xr:uid="{00000000-0005-0000-0000-00005E160000}"/>
    <cellStyle name="40% - Accent1 4 3 3 4 2 2" xfId="5733" xr:uid="{00000000-0005-0000-0000-00005F160000}"/>
    <cellStyle name="40% - Accent1 4 3 3 4 3" xfId="5734" xr:uid="{00000000-0005-0000-0000-000060160000}"/>
    <cellStyle name="40% - Accent1 4 3 3 5" xfId="5735" xr:uid="{00000000-0005-0000-0000-000061160000}"/>
    <cellStyle name="40% - Accent1 4 3 3 5 2" xfId="5736" xr:uid="{00000000-0005-0000-0000-000062160000}"/>
    <cellStyle name="40% - Accent1 4 3 3 6" xfId="5737" xr:uid="{00000000-0005-0000-0000-000063160000}"/>
    <cellStyle name="40% - Accent1 4 3 3 6 2" xfId="5738" xr:uid="{00000000-0005-0000-0000-000064160000}"/>
    <cellStyle name="40% - Accent1 4 3 3 7" xfId="5739" xr:uid="{00000000-0005-0000-0000-000065160000}"/>
    <cellStyle name="40% - Accent1 4 3 3 7 2" xfId="5740" xr:uid="{00000000-0005-0000-0000-000066160000}"/>
    <cellStyle name="40% - Accent1 4 3 3 8" xfId="5741" xr:uid="{00000000-0005-0000-0000-000067160000}"/>
    <cellStyle name="40% - Accent1 4 3 4" xfId="5742" xr:uid="{00000000-0005-0000-0000-000068160000}"/>
    <cellStyle name="40% - Accent1 4 3 4 2" xfId="5743" xr:uid="{00000000-0005-0000-0000-000069160000}"/>
    <cellStyle name="40% - Accent1 4 3 4 2 2" xfId="5744" xr:uid="{00000000-0005-0000-0000-00006A160000}"/>
    <cellStyle name="40% - Accent1 4 3 4 2 2 2" xfId="5745" xr:uid="{00000000-0005-0000-0000-00006B160000}"/>
    <cellStyle name="40% - Accent1 4 3 4 2 3" xfId="5746" xr:uid="{00000000-0005-0000-0000-00006C160000}"/>
    <cellStyle name="40% - Accent1 4 3 4 2 3 2" xfId="5747" xr:uid="{00000000-0005-0000-0000-00006D160000}"/>
    <cellStyle name="40% - Accent1 4 3 4 2 4" xfId="5748" xr:uid="{00000000-0005-0000-0000-00006E160000}"/>
    <cellStyle name="40% - Accent1 4 3 4 3" xfId="5749" xr:uid="{00000000-0005-0000-0000-00006F160000}"/>
    <cellStyle name="40% - Accent1 4 3 4 3 2" xfId="5750" xr:uid="{00000000-0005-0000-0000-000070160000}"/>
    <cellStyle name="40% - Accent1 4 3 4 4" xfId="5751" xr:uid="{00000000-0005-0000-0000-000071160000}"/>
    <cellStyle name="40% - Accent1 4 3 4 4 2" xfId="5752" xr:uid="{00000000-0005-0000-0000-000072160000}"/>
    <cellStyle name="40% - Accent1 4 3 4 5" xfId="5753" xr:uid="{00000000-0005-0000-0000-000073160000}"/>
    <cellStyle name="40% - Accent1 4 3 4 5 2" xfId="5754" xr:uid="{00000000-0005-0000-0000-000074160000}"/>
    <cellStyle name="40% - Accent1 4 3 4 6" xfId="5755" xr:uid="{00000000-0005-0000-0000-000075160000}"/>
    <cellStyle name="40% - Accent1 4 3 4 6 2" xfId="5756" xr:uid="{00000000-0005-0000-0000-000076160000}"/>
    <cellStyle name="40% - Accent1 4 3 4 7" xfId="5757" xr:uid="{00000000-0005-0000-0000-000077160000}"/>
    <cellStyle name="40% - Accent1 4 3 5" xfId="5758" xr:uid="{00000000-0005-0000-0000-000078160000}"/>
    <cellStyle name="40% - Accent1 4 3 5 2" xfId="5759" xr:uid="{00000000-0005-0000-0000-000079160000}"/>
    <cellStyle name="40% - Accent1 4 3 5 2 2" xfId="5760" xr:uid="{00000000-0005-0000-0000-00007A160000}"/>
    <cellStyle name="40% - Accent1 4 3 5 3" xfId="5761" xr:uid="{00000000-0005-0000-0000-00007B160000}"/>
    <cellStyle name="40% - Accent1 4 3 5 3 2" xfId="5762" xr:uid="{00000000-0005-0000-0000-00007C160000}"/>
    <cellStyle name="40% - Accent1 4 3 5 4" xfId="5763" xr:uid="{00000000-0005-0000-0000-00007D160000}"/>
    <cellStyle name="40% - Accent1 4 3 5 4 2" xfId="5764" xr:uid="{00000000-0005-0000-0000-00007E160000}"/>
    <cellStyle name="40% - Accent1 4 3 5 5" xfId="5765" xr:uid="{00000000-0005-0000-0000-00007F160000}"/>
    <cellStyle name="40% - Accent1 4 3 5 5 2" xfId="5766" xr:uid="{00000000-0005-0000-0000-000080160000}"/>
    <cellStyle name="40% - Accent1 4 3 5 6" xfId="5767" xr:uid="{00000000-0005-0000-0000-000081160000}"/>
    <cellStyle name="40% - Accent1 4 3 6" xfId="5768" xr:uid="{00000000-0005-0000-0000-000082160000}"/>
    <cellStyle name="40% - Accent1 4 3 6 2" xfId="5769" xr:uid="{00000000-0005-0000-0000-000083160000}"/>
    <cellStyle name="40% - Accent1 4 3 6 2 2" xfId="5770" xr:uid="{00000000-0005-0000-0000-000084160000}"/>
    <cellStyle name="40% - Accent1 4 3 6 3" xfId="5771" xr:uid="{00000000-0005-0000-0000-000085160000}"/>
    <cellStyle name="40% - Accent1 4 3 7" xfId="5772" xr:uid="{00000000-0005-0000-0000-000086160000}"/>
    <cellStyle name="40% - Accent1 4 3 7 2" xfId="5773" xr:uid="{00000000-0005-0000-0000-000087160000}"/>
    <cellStyle name="40% - Accent1 4 3 8" xfId="5774" xr:uid="{00000000-0005-0000-0000-000088160000}"/>
    <cellStyle name="40% - Accent1 4 3 8 2" xfId="5775" xr:uid="{00000000-0005-0000-0000-000089160000}"/>
    <cellStyle name="40% - Accent1 4 3 9" xfId="5776" xr:uid="{00000000-0005-0000-0000-00008A160000}"/>
    <cellStyle name="40% - Accent1 4 3 9 2" xfId="5777" xr:uid="{00000000-0005-0000-0000-00008B160000}"/>
    <cellStyle name="40% - Accent1 4 4" xfId="5778" xr:uid="{00000000-0005-0000-0000-00008C160000}"/>
    <cellStyle name="40% - Accent1 4 4 2" xfId="5779" xr:uid="{00000000-0005-0000-0000-00008D160000}"/>
    <cellStyle name="40% - Accent1 4 4 2 2" xfId="5780" xr:uid="{00000000-0005-0000-0000-00008E160000}"/>
    <cellStyle name="40% - Accent1 4 4 2 2 2" xfId="5781" xr:uid="{00000000-0005-0000-0000-00008F160000}"/>
    <cellStyle name="40% - Accent1 4 4 2 2 2 2" xfId="5782" xr:uid="{00000000-0005-0000-0000-000090160000}"/>
    <cellStyle name="40% - Accent1 4 4 2 2 3" xfId="5783" xr:uid="{00000000-0005-0000-0000-000091160000}"/>
    <cellStyle name="40% - Accent1 4 4 2 2 3 2" xfId="5784" xr:uid="{00000000-0005-0000-0000-000092160000}"/>
    <cellStyle name="40% - Accent1 4 4 2 2 4" xfId="5785" xr:uid="{00000000-0005-0000-0000-000093160000}"/>
    <cellStyle name="40% - Accent1 4 4 2 3" xfId="5786" xr:uid="{00000000-0005-0000-0000-000094160000}"/>
    <cellStyle name="40% - Accent1 4 4 2 3 2" xfId="5787" xr:uid="{00000000-0005-0000-0000-000095160000}"/>
    <cellStyle name="40% - Accent1 4 4 2 4" xfId="5788" xr:uid="{00000000-0005-0000-0000-000096160000}"/>
    <cellStyle name="40% - Accent1 4 4 2 4 2" xfId="5789" xr:uid="{00000000-0005-0000-0000-000097160000}"/>
    <cellStyle name="40% - Accent1 4 4 2 5" xfId="5790" xr:uid="{00000000-0005-0000-0000-000098160000}"/>
    <cellStyle name="40% - Accent1 4 4 2 5 2" xfId="5791" xr:uid="{00000000-0005-0000-0000-000099160000}"/>
    <cellStyle name="40% - Accent1 4 4 2 6" xfId="5792" xr:uid="{00000000-0005-0000-0000-00009A160000}"/>
    <cellStyle name="40% - Accent1 4 4 2 6 2" xfId="5793" xr:uid="{00000000-0005-0000-0000-00009B160000}"/>
    <cellStyle name="40% - Accent1 4 4 2 7" xfId="5794" xr:uid="{00000000-0005-0000-0000-00009C160000}"/>
    <cellStyle name="40% - Accent1 4 4 3" xfId="5795" xr:uid="{00000000-0005-0000-0000-00009D160000}"/>
    <cellStyle name="40% - Accent1 4 4 3 2" xfId="5796" xr:uid="{00000000-0005-0000-0000-00009E160000}"/>
    <cellStyle name="40% - Accent1 4 4 3 2 2" xfId="5797" xr:uid="{00000000-0005-0000-0000-00009F160000}"/>
    <cellStyle name="40% - Accent1 4 4 3 3" xfId="5798" xr:uid="{00000000-0005-0000-0000-0000A0160000}"/>
    <cellStyle name="40% - Accent1 4 4 3 3 2" xfId="5799" xr:uid="{00000000-0005-0000-0000-0000A1160000}"/>
    <cellStyle name="40% - Accent1 4 4 3 4" xfId="5800" xr:uid="{00000000-0005-0000-0000-0000A2160000}"/>
    <cellStyle name="40% - Accent1 4 4 3 4 2" xfId="5801" xr:uid="{00000000-0005-0000-0000-0000A3160000}"/>
    <cellStyle name="40% - Accent1 4 4 3 5" xfId="5802" xr:uid="{00000000-0005-0000-0000-0000A4160000}"/>
    <cellStyle name="40% - Accent1 4 4 3 5 2" xfId="5803" xr:uid="{00000000-0005-0000-0000-0000A5160000}"/>
    <cellStyle name="40% - Accent1 4 4 3 6" xfId="5804" xr:uid="{00000000-0005-0000-0000-0000A6160000}"/>
    <cellStyle name="40% - Accent1 4 4 4" xfId="5805" xr:uid="{00000000-0005-0000-0000-0000A7160000}"/>
    <cellStyle name="40% - Accent1 4 4 4 2" xfId="5806" xr:uid="{00000000-0005-0000-0000-0000A8160000}"/>
    <cellStyle name="40% - Accent1 4 4 4 2 2" xfId="5807" xr:uid="{00000000-0005-0000-0000-0000A9160000}"/>
    <cellStyle name="40% - Accent1 4 4 4 3" xfId="5808" xr:uid="{00000000-0005-0000-0000-0000AA160000}"/>
    <cellStyle name="40% - Accent1 4 4 5" xfId="5809" xr:uid="{00000000-0005-0000-0000-0000AB160000}"/>
    <cellStyle name="40% - Accent1 4 4 5 2" xfId="5810" xr:uid="{00000000-0005-0000-0000-0000AC160000}"/>
    <cellStyle name="40% - Accent1 4 4 6" xfId="5811" xr:uid="{00000000-0005-0000-0000-0000AD160000}"/>
    <cellStyle name="40% - Accent1 4 4 6 2" xfId="5812" xr:uid="{00000000-0005-0000-0000-0000AE160000}"/>
    <cellStyle name="40% - Accent1 4 4 7" xfId="5813" xr:uid="{00000000-0005-0000-0000-0000AF160000}"/>
    <cellStyle name="40% - Accent1 4 4 7 2" xfId="5814" xr:uid="{00000000-0005-0000-0000-0000B0160000}"/>
    <cellStyle name="40% - Accent1 4 4 8" xfId="5815" xr:uid="{00000000-0005-0000-0000-0000B1160000}"/>
    <cellStyle name="40% - Accent1 4 5" xfId="5816" xr:uid="{00000000-0005-0000-0000-0000B2160000}"/>
    <cellStyle name="40% - Accent1 4 5 2" xfId="5817" xr:uid="{00000000-0005-0000-0000-0000B3160000}"/>
    <cellStyle name="40% - Accent1 4 5 2 2" xfId="5818" xr:uid="{00000000-0005-0000-0000-0000B4160000}"/>
    <cellStyle name="40% - Accent1 4 5 2 2 2" xfId="5819" xr:uid="{00000000-0005-0000-0000-0000B5160000}"/>
    <cellStyle name="40% - Accent1 4 5 2 2 2 2" xfId="5820" xr:uid="{00000000-0005-0000-0000-0000B6160000}"/>
    <cellStyle name="40% - Accent1 4 5 2 2 3" xfId="5821" xr:uid="{00000000-0005-0000-0000-0000B7160000}"/>
    <cellStyle name="40% - Accent1 4 5 2 2 3 2" xfId="5822" xr:uid="{00000000-0005-0000-0000-0000B8160000}"/>
    <cellStyle name="40% - Accent1 4 5 2 2 4" xfId="5823" xr:uid="{00000000-0005-0000-0000-0000B9160000}"/>
    <cellStyle name="40% - Accent1 4 5 2 3" xfId="5824" xr:uid="{00000000-0005-0000-0000-0000BA160000}"/>
    <cellStyle name="40% - Accent1 4 5 2 3 2" xfId="5825" xr:uid="{00000000-0005-0000-0000-0000BB160000}"/>
    <cellStyle name="40% - Accent1 4 5 2 4" xfId="5826" xr:uid="{00000000-0005-0000-0000-0000BC160000}"/>
    <cellStyle name="40% - Accent1 4 5 2 4 2" xfId="5827" xr:uid="{00000000-0005-0000-0000-0000BD160000}"/>
    <cellStyle name="40% - Accent1 4 5 2 5" xfId="5828" xr:uid="{00000000-0005-0000-0000-0000BE160000}"/>
    <cellStyle name="40% - Accent1 4 5 2 5 2" xfId="5829" xr:uid="{00000000-0005-0000-0000-0000BF160000}"/>
    <cellStyle name="40% - Accent1 4 5 2 6" xfId="5830" xr:uid="{00000000-0005-0000-0000-0000C0160000}"/>
    <cellStyle name="40% - Accent1 4 5 2 6 2" xfId="5831" xr:uid="{00000000-0005-0000-0000-0000C1160000}"/>
    <cellStyle name="40% - Accent1 4 5 2 7" xfId="5832" xr:uid="{00000000-0005-0000-0000-0000C2160000}"/>
    <cellStyle name="40% - Accent1 4 5 3" xfId="5833" xr:uid="{00000000-0005-0000-0000-0000C3160000}"/>
    <cellStyle name="40% - Accent1 4 5 3 2" xfId="5834" xr:uid="{00000000-0005-0000-0000-0000C4160000}"/>
    <cellStyle name="40% - Accent1 4 5 3 2 2" xfId="5835" xr:uid="{00000000-0005-0000-0000-0000C5160000}"/>
    <cellStyle name="40% - Accent1 4 5 3 3" xfId="5836" xr:uid="{00000000-0005-0000-0000-0000C6160000}"/>
    <cellStyle name="40% - Accent1 4 5 3 3 2" xfId="5837" xr:uid="{00000000-0005-0000-0000-0000C7160000}"/>
    <cellStyle name="40% - Accent1 4 5 3 4" xfId="5838" xr:uid="{00000000-0005-0000-0000-0000C8160000}"/>
    <cellStyle name="40% - Accent1 4 5 3 4 2" xfId="5839" xr:uid="{00000000-0005-0000-0000-0000C9160000}"/>
    <cellStyle name="40% - Accent1 4 5 3 5" xfId="5840" xr:uid="{00000000-0005-0000-0000-0000CA160000}"/>
    <cellStyle name="40% - Accent1 4 5 3 5 2" xfId="5841" xr:uid="{00000000-0005-0000-0000-0000CB160000}"/>
    <cellStyle name="40% - Accent1 4 5 3 6" xfId="5842" xr:uid="{00000000-0005-0000-0000-0000CC160000}"/>
    <cellStyle name="40% - Accent1 4 5 4" xfId="5843" xr:uid="{00000000-0005-0000-0000-0000CD160000}"/>
    <cellStyle name="40% - Accent1 4 5 4 2" xfId="5844" xr:uid="{00000000-0005-0000-0000-0000CE160000}"/>
    <cellStyle name="40% - Accent1 4 5 4 2 2" xfId="5845" xr:uid="{00000000-0005-0000-0000-0000CF160000}"/>
    <cellStyle name="40% - Accent1 4 5 4 3" xfId="5846" xr:uid="{00000000-0005-0000-0000-0000D0160000}"/>
    <cellStyle name="40% - Accent1 4 5 5" xfId="5847" xr:uid="{00000000-0005-0000-0000-0000D1160000}"/>
    <cellStyle name="40% - Accent1 4 5 5 2" xfId="5848" xr:uid="{00000000-0005-0000-0000-0000D2160000}"/>
    <cellStyle name="40% - Accent1 4 5 6" xfId="5849" xr:uid="{00000000-0005-0000-0000-0000D3160000}"/>
    <cellStyle name="40% - Accent1 4 5 6 2" xfId="5850" xr:uid="{00000000-0005-0000-0000-0000D4160000}"/>
    <cellStyle name="40% - Accent1 4 5 7" xfId="5851" xr:uid="{00000000-0005-0000-0000-0000D5160000}"/>
    <cellStyle name="40% - Accent1 4 5 7 2" xfId="5852" xr:uid="{00000000-0005-0000-0000-0000D6160000}"/>
    <cellStyle name="40% - Accent1 4 5 8" xfId="5853" xr:uid="{00000000-0005-0000-0000-0000D7160000}"/>
    <cellStyle name="40% - Accent1 4 6" xfId="5854" xr:uid="{00000000-0005-0000-0000-0000D8160000}"/>
    <cellStyle name="40% - Accent1 4 6 2" xfId="5855" xr:uid="{00000000-0005-0000-0000-0000D9160000}"/>
    <cellStyle name="40% - Accent1 4 6 2 2" xfId="5856" xr:uid="{00000000-0005-0000-0000-0000DA160000}"/>
    <cellStyle name="40% - Accent1 4 6 2 2 2" xfId="5857" xr:uid="{00000000-0005-0000-0000-0000DB160000}"/>
    <cellStyle name="40% - Accent1 4 6 2 3" xfId="5858" xr:uid="{00000000-0005-0000-0000-0000DC160000}"/>
    <cellStyle name="40% - Accent1 4 6 2 3 2" xfId="5859" xr:uid="{00000000-0005-0000-0000-0000DD160000}"/>
    <cellStyle name="40% - Accent1 4 6 2 4" xfId="5860" xr:uid="{00000000-0005-0000-0000-0000DE160000}"/>
    <cellStyle name="40% - Accent1 4 6 3" xfId="5861" xr:uid="{00000000-0005-0000-0000-0000DF160000}"/>
    <cellStyle name="40% - Accent1 4 6 3 2" xfId="5862" xr:uid="{00000000-0005-0000-0000-0000E0160000}"/>
    <cellStyle name="40% - Accent1 4 6 4" xfId="5863" xr:uid="{00000000-0005-0000-0000-0000E1160000}"/>
    <cellStyle name="40% - Accent1 4 6 4 2" xfId="5864" xr:uid="{00000000-0005-0000-0000-0000E2160000}"/>
    <cellStyle name="40% - Accent1 4 6 5" xfId="5865" xr:uid="{00000000-0005-0000-0000-0000E3160000}"/>
    <cellStyle name="40% - Accent1 4 6 5 2" xfId="5866" xr:uid="{00000000-0005-0000-0000-0000E4160000}"/>
    <cellStyle name="40% - Accent1 4 6 6" xfId="5867" xr:uid="{00000000-0005-0000-0000-0000E5160000}"/>
    <cellStyle name="40% - Accent1 4 6 6 2" xfId="5868" xr:uid="{00000000-0005-0000-0000-0000E6160000}"/>
    <cellStyle name="40% - Accent1 4 6 7" xfId="5869" xr:uid="{00000000-0005-0000-0000-0000E7160000}"/>
    <cellStyle name="40% - Accent1 4 7" xfId="5870" xr:uid="{00000000-0005-0000-0000-0000E8160000}"/>
    <cellStyle name="40% - Accent1 4 7 2" xfId="5871" xr:uid="{00000000-0005-0000-0000-0000E9160000}"/>
    <cellStyle name="40% - Accent1 4 7 2 2" xfId="5872" xr:uid="{00000000-0005-0000-0000-0000EA160000}"/>
    <cellStyle name="40% - Accent1 4 7 3" xfId="5873" xr:uid="{00000000-0005-0000-0000-0000EB160000}"/>
    <cellStyle name="40% - Accent1 4 7 3 2" xfId="5874" xr:uid="{00000000-0005-0000-0000-0000EC160000}"/>
    <cellStyle name="40% - Accent1 4 7 4" xfId="5875" xr:uid="{00000000-0005-0000-0000-0000ED160000}"/>
    <cellStyle name="40% - Accent1 4 7 4 2" xfId="5876" xr:uid="{00000000-0005-0000-0000-0000EE160000}"/>
    <cellStyle name="40% - Accent1 4 7 5" xfId="5877" xr:uid="{00000000-0005-0000-0000-0000EF160000}"/>
    <cellStyle name="40% - Accent1 4 7 5 2" xfId="5878" xr:uid="{00000000-0005-0000-0000-0000F0160000}"/>
    <cellStyle name="40% - Accent1 4 7 6" xfId="5879" xr:uid="{00000000-0005-0000-0000-0000F1160000}"/>
    <cellStyle name="40% - Accent1 4 8" xfId="5880" xr:uid="{00000000-0005-0000-0000-0000F2160000}"/>
    <cellStyle name="40% - Accent1 4 8 2" xfId="5881" xr:uid="{00000000-0005-0000-0000-0000F3160000}"/>
    <cellStyle name="40% - Accent1 4 8 2 2" xfId="5882" xr:uid="{00000000-0005-0000-0000-0000F4160000}"/>
    <cellStyle name="40% - Accent1 4 8 3" xfId="5883" xr:uid="{00000000-0005-0000-0000-0000F5160000}"/>
    <cellStyle name="40% - Accent1 4 8 3 2" xfId="5884" xr:uid="{00000000-0005-0000-0000-0000F6160000}"/>
    <cellStyle name="40% - Accent1 4 8 4" xfId="5885" xr:uid="{00000000-0005-0000-0000-0000F7160000}"/>
    <cellStyle name="40% - Accent1 4 9" xfId="5886" xr:uid="{00000000-0005-0000-0000-0000F8160000}"/>
    <cellStyle name="40% - Accent1 4 9 2" xfId="5887" xr:uid="{00000000-0005-0000-0000-0000F9160000}"/>
    <cellStyle name="40% - Accent1 4 9 2 2" xfId="5888" xr:uid="{00000000-0005-0000-0000-0000FA160000}"/>
    <cellStyle name="40% - Accent1 4 9 3" xfId="5889" xr:uid="{00000000-0005-0000-0000-0000FB160000}"/>
    <cellStyle name="40% - Accent1 5" xfId="5890" xr:uid="{00000000-0005-0000-0000-0000FC160000}"/>
    <cellStyle name="40% - Accent1 5 2" xfId="5891" xr:uid="{00000000-0005-0000-0000-0000FD160000}"/>
    <cellStyle name="40% - Accent1 5 2 2" xfId="5892" xr:uid="{00000000-0005-0000-0000-0000FE160000}"/>
    <cellStyle name="40% - Accent1 5 2 2 2" xfId="5893" xr:uid="{00000000-0005-0000-0000-0000FF160000}"/>
    <cellStyle name="40% - Accent1 5 2 3" xfId="5894" xr:uid="{00000000-0005-0000-0000-000000170000}"/>
    <cellStyle name="40% - Accent1 5 3" xfId="5895" xr:uid="{00000000-0005-0000-0000-000001170000}"/>
    <cellStyle name="40% - Accent1 5 3 2" xfId="5896" xr:uid="{00000000-0005-0000-0000-000002170000}"/>
    <cellStyle name="40% - Accent1 5 3 2 2" xfId="5897" xr:uid="{00000000-0005-0000-0000-000003170000}"/>
    <cellStyle name="40% - Accent1 5 3 3" xfId="5898" xr:uid="{00000000-0005-0000-0000-000004170000}"/>
    <cellStyle name="40% - Accent1 5 4" xfId="5899" xr:uid="{00000000-0005-0000-0000-000005170000}"/>
    <cellStyle name="40% - Accent1 6" xfId="5900" xr:uid="{00000000-0005-0000-0000-000006170000}"/>
    <cellStyle name="40% - Accent1 6 10" xfId="5901" xr:uid="{00000000-0005-0000-0000-000007170000}"/>
    <cellStyle name="40% - Accent1 6 10 2" xfId="5902" xr:uid="{00000000-0005-0000-0000-000008170000}"/>
    <cellStyle name="40% - Accent1 6 11" xfId="5903" xr:uid="{00000000-0005-0000-0000-000009170000}"/>
    <cellStyle name="40% - Accent1 6 2" xfId="5904" xr:uid="{00000000-0005-0000-0000-00000A170000}"/>
    <cellStyle name="40% - Accent1 6 2 10" xfId="5905" xr:uid="{00000000-0005-0000-0000-00000B170000}"/>
    <cellStyle name="40% - Accent1 6 2 2" xfId="5906" xr:uid="{00000000-0005-0000-0000-00000C170000}"/>
    <cellStyle name="40% - Accent1 6 2 2 2" xfId="5907" xr:uid="{00000000-0005-0000-0000-00000D170000}"/>
    <cellStyle name="40% - Accent1 6 2 2 2 2" xfId="5908" xr:uid="{00000000-0005-0000-0000-00000E170000}"/>
    <cellStyle name="40% - Accent1 6 2 2 2 2 2" xfId="5909" xr:uid="{00000000-0005-0000-0000-00000F170000}"/>
    <cellStyle name="40% - Accent1 6 2 2 2 2 2 2" xfId="5910" xr:uid="{00000000-0005-0000-0000-000010170000}"/>
    <cellStyle name="40% - Accent1 6 2 2 2 2 3" xfId="5911" xr:uid="{00000000-0005-0000-0000-000011170000}"/>
    <cellStyle name="40% - Accent1 6 2 2 2 2 3 2" xfId="5912" xr:uid="{00000000-0005-0000-0000-000012170000}"/>
    <cellStyle name="40% - Accent1 6 2 2 2 2 4" xfId="5913" xr:uid="{00000000-0005-0000-0000-000013170000}"/>
    <cellStyle name="40% - Accent1 6 2 2 2 3" xfId="5914" xr:uid="{00000000-0005-0000-0000-000014170000}"/>
    <cellStyle name="40% - Accent1 6 2 2 2 3 2" xfId="5915" xr:uid="{00000000-0005-0000-0000-000015170000}"/>
    <cellStyle name="40% - Accent1 6 2 2 2 4" xfId="5916" xr:uid="{00000000-0005-0000-0000-000016170000}"/>
    <cellStyle name="40% - Accent1 6 2 2 2 4 2" xfId="5917" xr:uid="{00000000-0005-0000-0000-000017170000}"/>
    <cellStyle name="40% - Accent1 6 2 2 2 5" xfId="5918" xr:uid="{00000000-0005-0000-0000-000018170000}"/>
    <cellStyle name="40% - Accent1 6 2 2 2 5 2" xfId="5919" xr:uid="{00000000-0005-0000-0000-000019170000}"/>
    <cellStyle name="40% - Accent1 6 2 2 2 6" xfId="5920" xr:uid="{00000000-0005-0000-0000-00001A170000}"/>
    <cellStyle name="40% - Accent1 6 2 2 2 6 2" xfId="5921" xr:uid="{00000000-0005-0000-0000-00001B170000}"/>
    <cellStyle name="40% - Accent1 6 2 2 2 7" xfId="5922" xr:uid="{00000000-0005-0000-0000-00001C170000}"/>
    <cellStyle name="40% - Accent1 6 2 2 3" xfId="5923" xr:uid="{00000000-0005-0000-0000-00001D170000}"/>
    <cellStyle name="40% - Accent1 6 2 2 3 2" xfId="5924" xr:uid="{00000000-0005-0000-0000-00001E170000}"/>
    <cellStyle name="40% - Accent1 6 2 2 3 2 2" xfId="5925" xr:uid="{00000000-0005-0000-0000-00001F170000}"/>
    <cellStyle name="40% - Accent1 6 2 2 3 3" xfId="5926" xr:uid="{00000000-0005-0000-0000-000020170000}"/>
    <cellStyle name="40% - Accent1 6 2 2 3 3 2" xfId="5927" xr:uid="{00000000-0005-0000-0000-000021170000}"/>
    <cellStyle name="40% - Accent1 6 2 2 3 4" xfId="5928" xr:uid="{00000000-0005-0000-0000-000022170000}"/>
    <cellStyle name="40% - Accent1 6 2 2 3 4 2" xfId="5929" xr:uid="{00000000-0005-0000-0000-000023170000}"/>
    <cellStyle name="40% - Accent1 6 2 2 3 5" xfId="5930" xr:uid="{00000000-0005-0000-0000-000024170000}"/>
    <cellStyle name="40% - Accent1 6 2 2 3 5 2" xfId="5931" xr:uid="{00000000-0005-0000-0000-000025170000}"/>
    <cellStyle name="40% - Accent1 6 2 2 3 6" xfId="5932" xr:uid="{00000000-0005-0000-0000-000026170000}"/>
    <cellStyle name="40% - Accent1 6 2 2 4" xfId="5933" xr:uid="{00000000-0005-0000-0000-000027170000}"/>
    <cellStyle name="40% - Accent1 6 2 2 4 2" xfId="5934" xr:uid="{00000000-0005-0000-0000-000028170000}"/>
    <cellStyle name="40% - Accent1 6 2 2 4 2 2" xfId="5935" xr:uid="{00000000-0005-0000-0000-000029170000}"/>
    <cellStyle name="40% - Accent1 6 2 2 4 3" xfId="5936" xr:uid="{00000000-0005-0000-0000-00002A170000}"/>
    <cellStyle name="40% - Accent1 6 2 2 5" xfId="5937" xr:uid="{00000000-0005-0000-0000-00002B170000}"/>
    <cellStyle name="40% - Accent1 6 2 2 5 2" xfId="5938" xr:uid="{00000000-0005-0000-0000-00002C170000}"/>
    <cellStyle name="40% - Accent1 6 2 2 6" xfId="5939" xr:uid="{00000000-0005-0000-0000-00002D170000}"/>
    <cellStyle name="40% - Accent1 6 2 2 6 2" xfId="5940" xr:uid="{00000000-0005-0000-0000-00002E170000}"/>
    <cellStyle name="40% - Accent1 6 2 2 7" xfId="5941" xr:uid="{00000000-0005-0000-0000-00002F170000}"/>
    <cellStyle name="40% - Accent1 6 2 2 7 2" xfId="5942" xr:uid="{00000000-0005-0000-0000-000030170000}"/>
    <cellStyle name="40% - Accent1 6 2 2 8" xfId="5943" xr:uid="{00000000-0005-0000-0000-000031170000}"/>
    <cellStyle name="40% - Accent1 6 2 3" xfId="5944" xr:uid="{00000000-0005-0000-0000-000032170000}"/>
    <cellStyle name="40% - Accent1 6 2 3 2" xfId="5945" xr:uid="{00000000-0005-0000-0000-000033170000}"/>
    <cellStyle name="40% - Accent1 6 2 3 2 2" xfId="5946" xr:uid="{00000000-0005-0000-0000-000034170000}"/>
    <cellStyle name="40% - Accent1 6 2 3 2 2 2" xfId="5947" xr:uid="{00000000-0005-0000-0000-000035170000}"/>
    <cellStyle name="40% - Accent1 6 2 3 2 2 2 2" xfId="5948" xr:uid="{00000000-0005-0000-0000-000036170000}"/>
    <cellStyle name="40% - Accent1 6 2 3 2 2 3" xfId="5949" xr:uid="{00000000-0005-0000-0000-000037170000}"/>
    <cellStyle name="40% - Accent1 6 2 3 2 2 3 2" xfId="5950" xr:uid="{00000000-0005-0000-0000-000038170000}"/>
    <cellStyle name="40% - Accent1 6 2 3 2 2 4" xfId="5951" xr:uid="{00000000-0005-0000-0000-000039170000}"/>
    <cellStyle name="40% - Accent1 6 2 3 2 3" xfId="5952" xr:uid="{00000000-0005-0000-0000-00003A170000}"/>
    <cellStyle name="40% - Accent1 6 2 3 2 3 2" xfId="5953" xr:uid="{00000000-0005-0000-0000-00003B170000}"/>
    <cellStyle name="40% - Accent1 6 2 3 2 4" xfId="5954" xr:uid="{00000000-0005-0000-0000-00003C170000}"/>
    <cellStyle name="40% - Accent1 6 2 3 2 4 2" xfId="5955" xr:uid="{00000000-0005-0000-0000-00003D170000}"/>
    <cellStyle name="40% - Accent1 6 2 3 2 5" xfId="5956" xr:uid="{00000000-0005-0000-0000-00003E170000}"/>
    <cellStyle name="40% - Accent1 6 2 3 2 5 2" xfId="5957" xr:uid="{00000000-0005-0000-0000-00003F170000}"/>
    <cellStyle name="40% - Accent1 6 2 3 2 6" xfId="5958" xr:uid="{00000000-0005-0000-0000-000040170000}"/>
    <cellStyle name="40% - Accent1 6 2 3 2 6 2" xfId="5959" xr:uid="{00000000-0005-0000-0000-000041170000}"/>
    <cellStyle name="40% - Accent1 6 2 3 2 7" xfId="5960" xr:uid="{00000000-0005-0000-0000-000042170000}"/>
    <cellStyle name="40% - Accent1 6 2 3 3" xfId="5961" xr:uid="{00000000-0005-0000-0000-000043170000}"/>
    <cellStyle name="40% - Accent1 6 2 3 3 2" xfId="5962" xr:uid="{00000000-0005-0000-0000-000044170000}"/>
    <cellStyle name="40% - Accent1 6 2 3 3 2 2" xfId="5963" xr:uid="{00000000-0005-0000-0000-000045170000}"/>
    <cellStyle name="40% - Accent1 6 2 3 3 3" xfId="5964" xr:uid="{00000000-0005-0000-0000-000046170000}"/>
    <cellStyle name="40% - Accent1 6 2 3 3 3 2" xfId="5965" xr:uid="{00000000-0005-0000-0000-000047170000}"/>
    <cellStyle name="40% - Accent1 6 2 3 3 4" xfId="5966" xr:uid="{00000000-0005-0000-0000-000048170000}"/>
    <cellStyle name="40% - Accent1 6 2 3 3 4 2" xfId="5967" xr:uid="{00000000-0005-0000-0000-000049170000}"/>
    <cellStyle name="40% - Accent1 6 2 3 3 5" xfId="5968" xr:uid="{00000000-0005-0000-0000-00004A170000}"/>
    <cellStyle name="40% - Accent1 6 2 3 3 5 2" xfId="5969" xr:uid="{00000000-0005-0000-0000-00004B170000}"/>
    <cellStyle name="40% - Accent1 6 2 3 3 6" xfId="5970" xr:uid="{00000000-0005-0000-0000-00004C170000}"/>
    <cellStyle name="40% - Accent1 6 2 3 4" xfId="5971" xr:uid="{00000000-0005-0000-0000-00004D170000}"/>
    <cellStyle name="40% - Accent1 6 2 3 4 2" xfId="5972" xr:uid="{00000000-0005-0000-0000-00004E170000}"/>
    <cellStyle name="40% - Accent1 6 2 3 4 2 2" xfId="5973" xr:uid="{00000000-0005-0000-0000-00004F170000}"/>
    <cellStyle name="40% - Accent1 6 2 3 4 3" xfId="5974" xr:uid="{00000000-0005-0000-0000-000050170000}"/>
    <cellStyle name="40% - Accent1 6 2 3 5" xfId="5975" xr:uid="{00000000-0005-0000-0000-000051170000}"/>
    <cellStyle name="40% - Accent1 6 2 3 5 2" xfId="5976" xr:uid="{00000000-0005-0000-0000-000052170000}"/>
    <cellStyle name="40% - Accent1 6 2 3 6" xfId="5977" xr:uid="{00000000-0005-0000-0000-000053170000}"/>
    <cellStyle name="40% - Accent1 6 2 3 6 2" xfId="5978" xr:uid="{00000000-0005-0000-0000-000054170000}"/>
    <cellStyle name="40% - Accent1 6 2 3 7" xfId="5979" xr:uid="{00000000-0005-0000-0000-000055170000}"/>
    <cellStyle name="40% - Accent1 6 2 3 7 2" xfId="5980" xr:uid="{00000000-0005-0000-0000-000056170000}"/>
    <cellStyle name="40% - Accent1 6 2 3 8" xfId="5981" xr:uid="{00000000-0005-0000-0000-000057170000}"/>
    <cellStyle name="40% - Accent1 6 2 4" xfId="5982" xr:uid="{00000000-0005-0000-0000-000058170000}"/>
    <cellStyle name="40% - Accent1 6 2 4 2" xfId="5983" xr:uid="{00000000-0005-0000-0000-000059170000}"/>
    <cellStyle name="40% - Accent1 6 2 4 2 2" xfId="5984" xr:uid="{00000000-0005-0000-0000-00005A170000}"/>
    <cellStyle name="40% - Accent1 6 2 4 2 2 2" xfId="5985" xr:uid="{00000000-0005-0000-0000-00005B170000}"/>
    <cellStyle name="40% - Accent1 6 2 4 2 3" xfId="5986" xr:uid="{00000000-0005-0000-0000-00005C170000}"/>
    <cellStyle name="40% - Accent1 6 2 4 2 3 2" xfId="5987" xr:uid="{00000000-0005-0000-0000-00005D170000}"/>
    <cellStyle name="40% - Accent1 6 2 4 2 4" xfId="5988" xr:uid="{00000000-0005-0000-0000-00005E170000}"/>
    <cellStyle name="40% - Accent1 6 2 4 3" xfId="5989" xr:uid="{00000000-0005-0000-0000-00005F170000}"/>
    <cellStyle name="40% - Accent1 6 2 4 3 2" xfId="5990" xr:uid="{00000000-0005-0000-0000-000060170000}"/>
    <cellStyle name="40% - Accent1 6 2 4 4" xfId="5991" xr:uid="{00000000-0005-0000-0000-000061170000}"/>
    <cellStyle name="40% - Accent1 6 2 4 4 2" xfId="5992" xr:uid="{00000000-0005-0000-0000-000062170000}"/>
    <cellStyle name="40% - Accent1 6 2 4 5" xfId="5993" xr:uid="{00000000-0005-0000-0000-000063170000}"/>
    <cellStyle name="40% - Accent1 6 2 4 5 2" xfId="5994" xr:uid="{00000000-0005-0000-0000-000064170000}"/>
    <cellStyle name="40% - Accent1 6 2 4 6" xfId="5995" xr:uid="{00000000-0005-0000-0000-000065170000}"/>
    <cellStyle name="40% - Accent1 6 2 4 6 2" xfId="5996" xr:uid="{00000000-0005-0000-0000-000066170000}"/>
    <cellStyle name="40% - Accent1 6 2 4 7" xfId="5997" xr:uid="{00000000-0005-0000-0000-000067170000}"/>
    <cellStyle name="40% - Accent1 6 2 5" xfId="5998" xr:uid="{00000000-0005-0000-0000-000068170000}"/>
    <cellStyle name="40% - Accent1 6 2 5 2" xfId="5999" xr:uid="{00000000-0005-0000-0000-000069170000}"/>
    <cellStyle name="40% - Accent1 6 2 5 2 2" xfId="6000" xr:uid="{00000000-0005-0000-0000-00006A170000}"/>
    <cellStyle name="40% - Accent1 6 2 5 3" xfId="6001" xr:uid="{00000000-0005-0000-0000-00006B170000}"/>
    <cellStyle name="40% - Accent1 6 2 5 3 2" xfId="6002" xr:uid="{00000000-0005-0000-0000-00006C170000}"/>
    <cellStyle name="40% - Accent1 6 2 5 4" xfId="6003" xr:uid="{00000000-0005-0000-0000-00006D170000}"/>
    <cellStyle name="40% - Accent1 6 2 5 4 2" xfId="6004" xr:uid="{00000000-0005-0000-0000-00006E170000}"/>
    <cellStyle name="40% - Accent1 6 2 5 5" xfId="6005" xr:uid="{00000000-0005-0000-0000-00006F170000}"/>
    <cellStyle name="40% - Accent1 6 2 5 5 2" xfId="6006" xr:uid="{00000000-0005-0000-0000-000070170000}"/>
    <cellStyle name="40% - Accent1 6 2 5 6" xfId="6007" xr:uid="{00000000-0005-0000-0000-000071170000}"/>
    <cellStyle name="40% - Accent1 6 2 6" xfId="6008" xr:uid="{00000000-0005-0000-0000-000072170000}"/>
    <cellStyle name="40% - Accent1 6 2 6 2" xfId="6009" xr:uid="{00000000-0005-0000-0000-000073170000}"/>
    <cellStyle name="40% - Accent1 6 2 6 2 2" xfId="6010" xr:uid="{00000000-0005-0000-0000-000074170000}"/>
    <cellStyle name="40% - Accent1 6 2 6 3" xfId="6011" xr:uid="{00000000-0005-0000-0000-000075170000}"/>
    <cellStyle name="40% - Accent1 6 2 7" xfId="6012" xr:uid="{00000000-0005-0000-0000-000076170000}"/>
    <cellStyle name="40% - Accent1 6 2 7 2" xfId="6013" xr:uid="{00000000-0005-0000-0000-000077170000}"/>
    <cellStyle name="40% - Accent1 6 2 8" xfId="6014" xr:uid="{00000000-0005-0000-0000-000078170000}"/>
    <cellStyle name="40% - Accent1 6 2 8 2" xfId="6015" xr:uid="{00000000-0005-0000-0000-000079170000}"/>
    <cellStyle name="40% - Accent1 6 2 9" xfId="6016" xr:uid="{00000000-0005-0000-0000-00007A170000}"/>
    <cellStyle name="40% - Accent1 6 2 9 2" xfId="6017" xr:uid="{00000000-0005-0000-0000-00007B170000}"/>
    <cellStyle name="40% - Accent1 6 3" xfId="6018" xr:uid="{00000000-0005-0000-0000-00007C170000}"/>
    <cellStyle name="40% - Accent1 6 3 2" xfId="6019" xr:uid="{00000000-0005-0000-0000-00007D170000}"/>
    <cellStyle name="40% - Accent1 6 3 2 2" xfId="6020" xr:uid="{00000000-0005-0000-0000-00007E170000}"/>
    <cellStyle name="40% - Accent1 6 3 2 2 2" xfId="6021" xr:uid="{00000000-0005-0000-0000-00007F170000}"/>
    <cellStyle name="40% - Accent1 6 3 2 2 2 2" xfId="6022" xr:uid="{00000000-0005-0000-0000-000080170000}"/>
    <cellStyle name="40% - Accent1 6 3 2 2 3" xfId="6023" xr:uid="{00000000-0005-0000-0000-000081170000}"/>
    <cellStyle name="40% - Accent1 6 3 2 2 3 2" xfId="6024" xr:uid="{00000000-0005-0000-0000-000082170000}"/>
    <cellStyle name="40% - Accent1 6 3 2 2 4" xfId="6025" xr:uid="{00000000-0005-0000-0000-000083170000}"/>
    <cellStyle name="40% - Accent1 6 3 2 3" xfId="6026" xr:uid="{00000000-0005-0000-0000-000084170000}"/>
    <cellStyle name="40% - Accent1 6 3 2 3 2" xfId="6027" xr:uid="{00000000-0005-0000-0000-000085170000}"/>
    <cellStyle name="40% - Accent1 6 3 2 4" xfId="6028" xr:uid="{00000000-0005-0000-0000-000086170000}"/>
    <cellStyle name="40% - Accent1 6 3 2 4 2" xfId="6029" xr:uid="{00000000-0005-0000-0000-000087170000}"/>
    <cellStyle name="40% - Accent1 6 3 2 5" xfId="6030" xr:uid="{00000000-0005-0000-0000-000088170000}"/>
    <cellStyle name="40% - Accent1 6 3 2 5 2" xfId="6031" xr:uid="{00000000-0005-0000-0000-000089170000}"/>
    <cellStyle name="40% - Accent1 6 3 2 6" xfId="6032" xr:uid="{00000000-0005-0000-0000-00008A170000}"/>
    <cellStyle name="40% - Accent1 6 3 2 6 2" xfId="6033" xr:uid="{00000000-0005-0000-0000-00008B170000}"/>
    <cellStyle name="40% - Accent1 6 3 2 7" xfId="6034" xr:uid="{00000000-0005-0000-0000-00008C170000}"/>
    <cellStyle name="40% - Accent1 6 3 3" xfId="6035" xr:uid="{00000000-0005-0000-0000-00008D170000}"/>
    <cellStyle name="40% - Accent1 6 3 3 2" xfId="6036" xr:uid="{00000000-0005-0000-0000-00008E170000}"/>
    <cellStyle name="40% - Accent1 6 3 3 2 2" xfId="6037" xr:uid="{00000000-0005-0000-0000-00008F170000}"/>
    <cellStyle name="40% - Accent1 6 3 3 3" xfId="6038" xr:uid="{00000000-0005-0000-0000-000090170000}"/>
    <cellStyle name="40% - Accent1 6 3 3 3 2" xfId="6039" xr:uid="{00000000-0005-0000-0000-000091170000}"/>
    <cellStyle name="40% - Accent1 6 3 3 4" xfId="6040" xr:uid="{00000000-0005-0000-0000-000092170000}"/>
    <cellStyle name="40% - Accent1 6 3 3 4 2" xfId="6041" xr:uid="{00000000-0005-0000-0000-000093170000}"/>
    <cellStyle name="40% - Accent1 6 3 3 5" xfId="6042" xr:uid="{00000000-0005-0000-0000-000094170000}"/>
    <cellStyle name="40% - Accent1 6 3 3 5 2" xfId="6043" xr:uid="{00000000-0005-0000-0000-000095170000}"/>
    <cellStyle name="40% - Accent1 6 3 3 6" xfId="6044" xr:uid="{00000000-0005-0000-0000-000096170000}"/>
    <cellStyle name="40% - Accent1 6 3 4" xfId="6045" xr:uid="{00000000-0005-0000-0000-000097170000}"/>
    <cellStyle name="40% - Accent1 6 3 4 2" xfId="6046" xr:uid="{00000000-0005-0000-0000-000098170000}"/>
    <cellStyle name="40% - Accent1 6 3 4 2 2" xfId="6047" xr:uid="{00000000-0005-0000-0000-000099170000}"/>
    <cellStyle name="40% - Accent1 6 3 4 3" xfId="6048" xr:uid="{00000000-0005-0000-0000-00009A170000}"/>
    <cellStyle name="40% - Accent1 6 3 5" xfId="6049" xr:uid="{00000000-0005-0000-0000-00009B170000}"/>
    <cellStyle name="40% - Accent1 6 3 5 2" xfId="6050" xr:uid="{00000000-0005-0000-0000-00009C170000}"/>
    <cellStyle name="40% - Accent1 6 3 6" xfId="6051" xr:uid="{00000000-0005-0000-0000-00009D170000}"/>
    <cellStyle name="40% - Accent1 6 3 6 2" xfId="6052" xr:uid="{00000000-0005-0000-0000-00009E170000}"/>
    <cellStyle name="40% - Accent1 6 3 7" xfId="6053" xr:uid="{00000000-0005-0000-0000-00009F170000}"/>
    <cellStyle name="40% - Accent1 6 3 7 2" xfId="6054" xr:uid="{00000000-0005-0000-0000-0000A0170000}"/>
    <cellStyle name="40% - Accent1 6 3 8" xfId="6055" xr:uid="{00000000-0005-0000-0000-0000A1170000}"/>
    <cellStyle name="40% - Accent1 6 4" xfId="6056" xr:uid="{00000000-0005-0000-0000-0000A2170000}"/>
    <cellStyle name="40% - Accent1 6 4 2" xfId="6057" xr:uid="{00000000-0005-0000-0000-0000A3170000}"/>
    <cellStyle name="40% - Accent1 6 4 2 2" xfId="6058" xr:uid="{00000000-0005-0000-0000-0000A4170000}"/>
    <cellStyle name="40% - Accent1 6 4 2 2 2" xfId="6059" xr:uid="{00000000-0005-0000-0000-0000A5170000}"/>
    <cellStyle name="40% - Accent1 6 4 2 2 2 2" xfId="6060" xr:uid="{00000000-0005-0000-0000-0000A6170000}"/>
    <cellStyle name="40% - Accent1 6 4 2 2 3" xfId="6061" xr:uid="{00000000-0005-0000-0000-0000A7170000}"/>
    <cellStyle name="40% - Accent1 6 4 2 2 3 2" xfId="6062" xr:uid="{00000000-0005-0000-0000-0000A8170000}"/>
    <cellStyle name="40% - Accent1 6 4 2 2 4" xfId="6063" xr:uid="{00000000-0005-0000-0000-0000A9170000}"/>
    <cellStyle name="40% - Accent1 6 4 2 3" xfId="6064" xr:uid="{00000000-0005-0000-0000-0000AA170000}"/>
    <cellStyle name="40% - Accent1 6 4 2 3 2" xfId="6065" xr:uid="{00000000-0005-0000-0000-0000AB170000}"/>
    <cellStyle name="40% - Accent1 6 4 2 4" xfId="6066" xr:uid="{00000000-0005-0000-0000-0000AC170000}"/>
    <cellStyle name="40% - Accent1 6 4 2 4 2" xfId="6067" xr:uid="{00000000-0005-0000-0000-0000AD170000}"/>
    <cellStyle name="40% - Accent1 6 4 2 5" xfId="6068" xr:uid="{00000000-0005-0000-0000-0000AE170000}"/>
    <cellStyle name="40% - Accent1 6 4 2 5 2" xfId="6069" xr:uid="{00000000-0005-0000-0000-0000AF170000}"/>
    <cellStyle name="40% - Accent1 6 4 2 6" xfId="6070" xr:uid="{00000000-0005-0000-0000-0000B0170000}"/>
    <cellStyle name="40% - Accent1 6 4 2 6 2" xfId="6071" xr:uid="{00000000-0005-0000-0000-0000B1170000}"/>
    <cellStyle name="40% - Accent1 6 4 2 7" xfId="6072" xr:uid="{00000000-0005-0000-0000-0000B2170000}"/>
    <cellStyle name="40% - Accent1 6 4 3" xfId="6073" xr:uid="{00000000-0005-0000-0000-0000B3170000}"/>
    <cellStyle name="40% - Accent1 6 4 3 2" xfId="6074" xr:uid="{00000000-0005-0000-0000-0000B4170000}"/>
    <cellStyle name="40% - Accent1 6 4 3 2 2" xfId="6075" xr:uid="{00000000-0005-0000-0000-0000B5170000}"/>
    <cellStyle name="40% - Accent1 6 4 3 3" xfId="6076" xr:uid="{00000000-0005-0000-0000-0000B6170000}"/>
    <cellStyle name="40% - Accent1 6 4 3 3 2" xfId="6077" xr:uid="{00000000-0005-0000-0000-0000B7170000}"/>
    <cellStyle name="40% - Accent1 6 4 3 4" xfId="6078" xr:uid="{00000000-0005-0000-0000-0000B8170000}"/>
    <cellStyle name="40% - Accent1 6 4 3 4 2" xfId="6079" xr:uid="{00000000-0005-0000-0000-0000B9170000}"/>
    <cellStyle name="40% - Accent1 6 4 3 5" xfId="6080" xr:uid="{00000000-0005-0000-0000-0000BA170000}"/>
    <cellStyle name="40% - Accent1 6 4 3 5 2" xfId="6081" xr:uid="{00000000-0005-0000-0000-0000BB170000}"/>
    <cellStyle name="40% - Accent1 6 4 3 6" xfId="6082" xr:uid="{00000000-0005-0000-0000-0000BC170000}"/>
    <cellStyle name="40% - Accent1 6 4 4" xfId="6083" xr:uid="{00000000-0005-0000-0000-0000BD170000}"/>
    <cellStyle name="40% - Accent1 6 4 4 2" xfId="6084" xr:uid="{00000000-0005-0000-0000-0000BE170000}"/>
    <cellStyle name="40% - Accent1 6 4 4 2 2" xfId="6085" xr:uid="{00000000-0005-0000-0000-0000BF170000}"/>
    <cellStyle name="40% - Accent1 6 4 4 3" xfId="6086" xr:uid="{00000000-0005-0000-0000-0000C0170000}"/>
    <cellStyle name="40% - Accent1 6 4 5" xfId="6087" xr:uid="{00000000-0005-0000-0000-0000C1170000}"/>
    <cellStyle name="40% - Accent1 6 4 5 2" xfId="6088" xr:uid="{00000000-0005-0000-0000-0000C2170000}"/>
    <cellStyle name="40% - Accent1 6 4 6" xfId="6089" xr:uid="{00000000-0005-0000-0000-0000C3170000}"/>
    <cellStyle name="40% - Accent1 6 4 6 2" xfId="6090" xr:uid="{00000000-0005-0000-0000-0000C4170000}"/>
    <cellStyle name="40% - Accent1 6 4 7" xfId="6091" xr:uid="{00000000-0005-0000-0000-0000C5170000}"/>
    <cellStyle name="40% - Accent1 6 4 7 2" xfId="6092" xr:uid="{00000000-0005-0000-0000-0000C6170000}"/>
    <cellStyle name="40% - Accent1 6 4 8" xfId="6093" xr:uid="{00000000-0005-0000-0000-0000C7170000}"/>
    <cellStyle name="40% - Accent1 6 5" xfId="6094" xr:uid="{00000000-0005-0000-0000-0000C8170000}"/>
    <cellStyle name="40% - Accent1 6 5 2" xfId="6095" xr:uid="{00000000-0005-0000-0000-0000C9170000}"/>
    <cellStyle name="40% - Accent1 6 5 2 2" xfId="6096" xr:uid="{00000000-0005-0000-0000-0000CA170000}"/>
    <cellStyle name="40% - Accent1 6 5 2 2 2" xfId="6097" xr:uid="{00000000-0005-0000-0000-0000CB170000}"/>
    <cellStyle name="40% - Accent1 6 5 2 3" xfId="6098" xr:uid="{00000000-0005-0000-0000-0000CC170000}"/>
    <cellStyle name="40% - Accent1 6 5 2 3 2" xfId="6099" xr:uid="{00000000-0005-0000-0000-0000CD170000}"/>
    <cellStyle name="40% - Accent1 6 5 2 4" xfId="6100" xr:uid="{00000000-0005-0000-0000-0000CE170000}"/>
    <cellStyle name="40% - Accent1 6 5 3" xfId="6101" xr:uid="{00000000-0005-0000-0000-0000CF170000}"/>
    <cellStyle name="40% - Accent1 6 5 3 2" xfId="6102" xr:uid="{00000000-0005-0000-0000-0000D0170000}"/>
    <cellStyle name="40% - Accent1 6 5 4" xfId="6103" xr:uid="{00000000-0005-0000-0000-0000D1170000}"/>
    <cellStyle name="40% - Accent1 6 5 4 2" xfId="6104" xr:uid="{00000000-0005-0000-0000-0000D2170000}"/>
    <cellStyle name="40% - Accent1 6 5 5" xfId="6105" xr:uid="{00000000-0005-0000-0000-0000D3170000}"/>
    <cellStyle name="40% - Accent1 6 5 5 2" xfId="6106" xr:uid="{00000000-0005-0000-0000-0000D4170000}"/>
    <cellStyle name="40% - Accent1 6 5 6" xfId="6107" xr:uid="{00000000-0005-0000-0000-0000D5170000}"/>
    <cellStyle name="40% - Accent1 6 5 6 2" xfId="6108" xr:uid="{00000000-0005-0000-0000-0000D6170000}"/>
    <cellStyle name="40% - Accent1 6 5 7" xfId="6109" xr:uid="{00000000-0005-0000-0000-0000D7170000}"/>
    <cellStyle name="40% - Accent1 6 6" xfId="6110" xr:uid="{00000000-0005-0000-0000-0000D8170000}"/>
    <cellStyle name="40% - Accent1 6 6 2" xfId="6111" xr:uid="{00000000-0005-0000-0000-0000D9170000}"/>
    <cellStyle name="40% - Accent1 6 6 2 2" xfId="6112" xr:uid="{00000000-0005-0000-0000-0000DA170000}"/>
    <cellStyle name="40% - Accent1 6 6 3" xfId="6113" xr:uid="{00000000-0005-0000-0000-0000DB170000}"/>
    <cellStyle name="40% - Accent1 6 6 3 2" xfId="6114" xr:uid="{00000000-0005-0000-0000-0000DC170000}"/>
    <cellStyle name="40% - Accent1 6 6 4" xfId="6115" xr:uid="{00000000-0005-0000-0000-0000DD170000}"/>
    <cellStyle name="40% - Accent1 6 6 4 2" xfId="6116" xr:uid="{00000000-0005-0000-0000-0000DE170000}"/>
    <cellStyle name="40% - Accent1 6 6 5" xfId="6117" xr:uid="{00000000-0005-0000-0000-0000DF170000}"/>
    <cellStyle name="40% - Accent1 6 6 5 2" xfId="6118" xr:uid="{00000000-0005-0000-0000-0000E0170000}"/>
    <cellStyle name="40% - Accent1 6 6 6" xfId="6119" xr:uid="{00000000-0005-0000-0000-0000E1170000}"/>
    <cellStyle name="40% - Accent1 6 7" xfId="6120" xr:uid="{00000000-0005-0000-0000-0000E2170000}"/>
    <cellStyle name="40% - Accent1 6 7 2" xfId="6121" xr:uid="{00000000-0005-0000-0000-0000E3170000}"/>
    <cellStyle name="40% - Accent1 6 7 2 2" xfId="6122" xr:uid="{00000000-0005-0000-0000-0000E4170000}"/>
    <cellStyle name="40% - Accent1 6 7 3" xfId="6123" xr:uid="{00000000-0005-0000-0000-0000E5170000}"/>
    <cellStyle name="40% - Accent1 6 8" xfId="6124" xr:uid="{00000000-0005-0000-0000-0000E6170000}"/>
    <cellStyle name="40% - Accent1 6 8 2" xfId="6125" xr:uid="{00000000-0005-0000-0000-0000E7170000}"/>
    <cellStyle name="40% - Accent1 6 9" xfId="6126" xr:uid="{00000000-0005-0000-0000-0000E8170000}"/>
    <cellStyle name="40% - Accent1 6 9 2" xfId="6127" xr:uid="{00000000-0005-0000-0000-0000E9170000}"/>
    <cellStyle name="40% - Accent1 7" xfId="6128" xr:uid="{00000000-0005-0000-0000-0000EA170000}"/>
    <cellStyle name="40% - Accent1 7 2" xfId="6129" xr:uid="{00000000-0005-0000-0000-0000EB170000}"/>
    <cellStyle name="40% - Accent1 8" xfId="6130" xr:uid="{00000000-0005-0000-0000-0000EC170000}"/>
    <cellStyle name="40% - Accent1 8 2" xfId="6131" xr:uid="{00000000-0005-0000-0000-0000ED170000}"/>
    <cellStyle name="40% - Accent1 8 2 2" xfId="6132" xr:uid="{00000000-0005-0000-0000-0000EE170000}"/>
    <cellStyle name="40% - Accent1 8 2 2 2" xfId="6133" xr:uid="{00000000-0005-0000-0000-0000EF170000}"/>
    <cellStyle name="40% - Accent1 8 2 2 2 2" xfId="6134" xr:uid="{00000000-0005-0000-0000-0000F0170000}"/>
    <cellStyle name="40% - Accent1 8 2 2 2 2 2" xfId="6135" xr:uid="{00000000-0005-0000-0000-0000F1170000}"/>
    <cellStyle name="40% - Accent1 8 2 2 2 3" xfId="6136" xr:uid="{00000000-0005-0000-0000-0000F2170000}"/>
    <cellStyle name="40% - Accent1 8 2 2 2 3 2" xfId="6137" xr:uid="{00000000-0005-0000-0000-0000F3170000}"/>
    <cellStyle name="40% - Accent1 8 2 2 2 4" xfId="6138" xr:uid="{00000000-0005-0000-0000-0000F4170000}"/>
    <cellStyle name="40% - Accent1 8 2 2 3" xfId="6139" xr:uid="{00000000-0005-0000-0000-0000F5170000}"/>
    <cellStyle name="40% - Accent1 8 2 2 3 2" xfId="6140" xr:uid="{00000000-0005-0000-0000-0000F6170000}"/>
    <cellStyle name="40% - Accent1 8 2 2 4" xfId="6141" xr:uid="{00000000-0005-0000-0000-0000F7170000}"/>
    <cellStyle name="40% - Accent1 8 2 2 4 2" xfId="6142" xr:uid="{00000000-0005-0000-0000-0000F8170000}"/>
    <cellStyle name="40% - Accent1 8 2 2 5" xfId="6143" xr:uid="{00000000-0005-0000-0000-0000F9170000}"/>
    <cellStyle name="40% - Accent1 8 2 2 5 2" xfId="6144" xr:uid="{00000000-0005-0000-0000-0000FA170000}"/>
    <cellStyle name="40% - Accent1 8 2 2 6" xfId="6145" xr:uid="{00000000-0005-0000-0000-0000FB170000}"/>
    <cellStyle name="40% - Accent1 8 2 2 6 2" xfId="6146" xr:uid="{00000000-0005-0000-0000-0000FC170000}"/>
    <cellStyle name="40% - Accent1 8 2 2 7" xfId="6147" xr:uid="{00000000-0005-0000-0000-0000FD170000}"/>
    <cellStyle name="40% - Accent1 8 2 3" xfId="6148" xr:uid="{00000000-0005-0000-0000-0000FE170000}"/>
    <cellStyle name="40% - Accent1 8 2 3 2" xfId="6149" xr:uid="{00000000-0005-0000-0000-0000FF170000}"/>
    <cellStyle name="40% - Accent1 8 2 3 2 2" xfId="6150" xr:uid="{00000000-0005-0000-0000-000000180000}"/>
    <cellStyle name="40% - Accent1 8 2 3 3" xfId="6151" xr:uid="{00000000-0005-0000-0000-000001180000}"/>
    <cellStyle name="40% - Accent1 8 2 3 3 2" xfId="6152" xr:uid="{00000000-0005-0000-0000-000002180000}"/>
    <cellStyle name="40% - Accent1 8 2 3 4" xfId="6153" xr:uid="{00000000-0005-0000-0000-000003180000}"/>
    <cellStyle name="40% - Accent1 8 2 3 4 2" xfId="6154" xr:uid="{00000000-0005-0000-0000-000004180000}"/>
    <cellStyle name="40% - Accent1 8 2 3 5" xfId="6155" xr:uid="{00000000-0005-0000-0000-000005180000}"/>
    <cellStyle name="40% - Accent1 8 2 3 5 2" xfId="6156" xr:uid="{00000000-0005-0000-0000-000006180000}"/>
    <cellStyle name="40% - Accent1 8 2 3 6" xfId="6157" xr:uid="{00000000-0005-0000-0000-000007180000}"/>
    <cellStyle name="40% - Accent1 8 2 4" xfId="6158" xr:uid="{00000000-0005-0000-0000-000008180000}"/>
    <cellStyle name="40% - Accent1 8 2 4 2" xfId="6159" xr:uid="{00000000-0005-0000-0000-000009180000}"/>
    <cellStyle name="40% - Accent1 8 2 4 2 2" xfId="6160" xr:uid="{00000000-0005-0000-0000-00000A180000}"/>
    <cellStyle name="40% - Accent1 8 2 4 3" xfId="6161" xr:uid="{00000000-0005-0000-0000-00000B180000}"/>
    <cellStyle name="40% - Accent1 8 2 5" xfId="6162" xr:uid="{00000000-0005-0000-0000-00000C180000}"/>
    <cellStyle name="40% - Accent1 8 2 5 2" xfId="6163" xr:uid="{00000000-0005-0000-0000-00000D180000}"/>
    <cellStyle name="40% - Accent1 8 2 6" xfId="6164" xr:uid="{00000000-0005-0000-0000-00000E180000}"/>
    <cellStyle name="40% - Accent1 8 2 6 2" xfId="6165" xr:uid="{00000000-0005-0000-0000-00000F180000}"/>
    <cellStyle name="40% - Accent1 8 2 7" xfId="6166" xr:uid="{00000000-0005-0000-0000-000010180000}"/>
    <cellStyle name="40% - Accent1 8 2 7 2" xfId="6167" xr:uid="{00000000-0005-0000-0000-000011180000}"/>
    <cellStyle name="40% - Accent1 8 2 8" xfId="6168" xr:uid="{00000000-0005-0000-0000-000012180000}"/>
    <cellStyle name="40% - Accent1 8 3" xfId="6169" xr:uid="{00000000-0005-0000-0000-000013180000}"/>
    <cellStyle name="40% - Accent1 8 3 2" xfId="6170" xr:uid="{00000000-0005-0000-0000-000014180000}"/>
    <cellStyle name="40% - Accent1 8 3 2 2" xfId="6171" xr:uid="{00000000-0005-0000-0000-000015180000}"/>
    <cellStyle name="40% - Accent1 8 3 2 2 2" xfId="6172" xr:uid="{00000000-0005-0000-0000-000016180000}"/>
    <cellStyle name="40% - Accent1 8 3 2 3" xfId="6173" xr:uid="{00000000-0005-0000-0000-000017180000}"/>
    <cellStyle name="40% - Accent1 8 3 2 3 2" xfId="6174" xr:uid="{00000000-0005-0000-0000-000018180000}"/>
    <cellStyle name="40% - Accent1 8 3 2 4" xfId="6175" xr:uid="{00000000-0005-0000-0000-000019180000}"/>
    <cellStyle name="40% - Accent1 8 3 3" xfId="6176" xr:uid="{00000000-0005-0000-0000-00001A180000}"/>
    <cellStyle name="40% - Accent1 8 3 3 2" xfId="6177" xr:uid="{00000000-0005-0000-0000-00001B180000}"/>
    <cellStyle name="40% - Accent1 8 3 4" xfId="6178" xr:uid="{00000000-0005-0000-0000-00001C180000}"/>
    <cellStyle name="40% - Accent1 8 3 4 2" xfId="6179" xr:uid="{00000000-0005-0000-0000-00001D180000}"/>
    <cellStyle name="40% - Accent1 8 3 5" xfId="6180" xr:uid="{00000000-0005-0000-0000-00001E180000}"/>
    <cellStyle name="40% - Accent1 8 3 5 2" xfId="6181" xr:uid="{00000000-0005-0000-0000-00001F180000}"/>
    <cellStyle name="40% - Accent1 8 3 6" xfId="6182" xr:uid="{00000000-0005-0000-0000-000020180000}"/>
    <cellStyle name="40% - Accent1 8 3 6 2" xfId="6183" xr:uid="{00000000-0005-0000-0000-000021180000}"/>
    <cellStyle name="40% - Accent1 8 3 7" xfId="6184" xr:uid="{00000000-0005-0000-0000-000022180000}"/>
    <cellStyle name="40% - Accent1 8 4" xfId="6185" xr:uid="{00000000-0005-0000-0000-000023180000}"/>
    <cellStyle name="40% - Accent1 8 4 2" xfId="6186" xr:uid="{00000000-0005-0000-0000-000024180000}"/>
    <cellStyle name="40% - Accent1 8 4 2 2" xfId="6187" xr:uid="{00000000-0005-0000-0000-000025180000}"/>
    <cellStyle name="40% - Accent1 8 4 3" xfId="6188" xr:uid="{00000000-0005-0000-0000-000026180000}"/>
    <cellStyle name="40% - Accent1 8 4 3 2" xfId="6189" xr:uid="{00000000-0005-0000-0000-000027180000}"/>
    <cellStyle name="40% - Accent1 8 4 4" xfId="6190" xr:uid="{00000000-0005-0000-0000-000028180000}"/>
    <cellStyle name="40% - Accent1 8 4 4 2" xfId="6191" xr:uid="{00000000-0005-0000-0000-000029180000}"/>
    <cellStyle name="40% - Accent1 8 4 5" xfId="6192" xr:uid="{00000000-0005-0000-0000-00002A180000}"/>
    <cellStyle name="40% - Accent1 8 4 5 2" xfId="6193" xr:uid="{00000000-0005-0000-0000-00002B180000}"/>
    <cellStyle name="40% - Accent1 8 4 6" xfId="6194" xr:uid="{00000000-0005-0000-0000-00002C180000}"/>
    <cellStyle name="40% - Accent1 8 5" xfId="6195" xr:uid="{00000000-0005-0000-0000-00002D180000}"/>
    <cellStyle name="40% - Accent1 8 5 2" xfId="6196" xr:uid="{00000000-0005-0000-0000-00002E180000}"/>
    <cellStyle name="40% - Accent1 8 5 2 2" xfId="6197" xr:uid="{00000000-0005-0000-0000-00002F180000}"/>
    <cellStyle name="40% - Accent1 8 5 3" xfId="6198" xr:uid="{00000000-0005-0000-0000-000030180000}"/>
    <cellStyle name="40% - Accent1 8 6" xfId="6199" xr:uid="{00000000-0005-0000-0000-000031180000}"/>
    <cellStyle name="40% - Accent1 8 6 2" xfId="6200" xr:uid="{00000000-0005-0000-0000-000032180000}"/>
    <cellStyle name="40% - Accent1 8 7" xfId="6201" xr:uid="{00000000-0005-0000-0000-000033180000}"/>
    <cellStyle name="40% - Accent1 8 7 2" xfId="6202" xr:uid="{00000000-0005-0000-0000-000034180000}"/>
    <cellStyle name="40% - Accent1 8 8" xfId="6203" xr:uid="{00000000-0005-0000-0000-000035180000}"/>
    <cellStyle name="40% - Accent1 8 8 2" xfId="6204" xr:uid="{00000000-0005-0000-0000-000036180000}"/>
    <cellStyle name="40% - Accent1 8 9" xfId="6205" xr:uid="{00000000-0005-0000-0000-000037180000}"/>
    <cellStyle name="40% - Accent1 9" xfId="6206" xr:uid="{00000000-0005-0000-0000-000038180000}"/>
    <cellStyle name="40% - Accent1 9 2" xfId="6207" xr:uid="{00000000-0005-0000-0000-000039180000}"/>
    <cellStyle name="40% - Accent1 9 2 2" xfId="6208" xr:uid="{00000000-0005-0000-0000-00003A180000}"/>
    <cellStyle name="40% - Accent1 9 2 2 2" xfId="6209" xr:uid="{00000000-0005-0000-0000-00003B180000}"/>
    <cellStyle name="40% - Accent1 9 2 2 2 2" xfId="6210" xr:uid="{00000000-0005-0000-0000-00003C180000}"/>
    <cellStyle name="40% - Accent1 9 2 2 3" xfId="6211" xr:uid="{00000000-0005-0000-0000-00003D180000}"/>
    <cellStyle name="40% - Accent1 9 2 3" xfId="6212" xr:uid="{00000000-0005-0000-0000-00003E180000}"/>
    <cellStyle name="40% - Accent1 9 2 3 2" xfId="6213" xr:uid="{00000000-0005-0000-0000-00003F180000}"/>
    <cellStyle name="40% - Accent1 9 2 4" xfId="6214" xr:uid="{00000000-0005-0000-0000-000040180000}"/>
    <cellStyle name="40% - Accent1 9 3" xfId="6215" xr:uid="{00000000-0005-0000-0000-000041180000}"/>
    <cellStyle name="40% - Accent1 9 3 2" xfId="6216" xr:uid="{00000000-0005-0000-0000-000042180000}"/>
    <cellStyle name="40% - Accent1 9 3 2 2" xfId="6217" xr:uid="{00000000-0005-0000-0000-000043180000}"/>
    <cellStyle name="40% - Accent1 9 3 3" xfId="6218" xr:uid="{00000000-0005-0000-0000-000044180000}"/>
    <cellStyle name="40% - Accent1 9 4" xfId="6219" xr:uid="{00000000-0005-0000-0000-000045180000}"/>
    <cellStyle name="40% - Accent1 9 4 2" xfId="6220" xr:uid="{00000000-0005-0000-0000-000046180000}"/>
    <cellStyle name="40% - Accent1 9 5" xfId="6221" xr:uid="{00000000-0005-0000-0000-000047180000}"/>
    <cellStyle name="40% - Accent1 9 5 2" xfId="6222" xr:uid="{00000000-0005-0000-0000-000048180000}"/>
    <cellStyle name="40% - Accent1 9 6" xfId="6223" xr:uid="{00000000-0005-0000-0000-000049180000}"/>
    <cellStyle name="40% - Accent1 9 6 2" xfId="6224" xr:uid="{00000000-0005-0000-0000-00004A180000}"/>
    <cellStyle name="40% - Accent1 9 7" xfId="6225" xr:uid="{00000000-0005-0000-0000-00004B180000}"/>
    <cellStyle name="40% - Accent2 10" xfId="6226" xr:uid="{00000000-0005-0000-0000-00004C180000}"/>
    <cellStyle name="40% - Accent2 10 2" xfId="6227" xr:uid="{00000000-0005-0000-0000-00004D180000}"/>
    <cellStyle name="40% - Accent2 10 2 2" xfId="6228" xr:uid="{00000000-0005-0000-0000-00004E180000}"/>
    <cellStyle name="40% - Accent2 10 2 2 2" xfId="6229" xr:uid="{00000000-0005-0000-0000-00004F180000}"/>
    <cellStyle name="40% - Accent2 10 2 2 2 2" xfId="6230" xr:uid="{00000000-0005-0000-0000-000050180000}"/>
    <cellStyle name="40% - Accent2 10 2 2 3" xfId="6231" xr:uid="{00000000-0005-0000-0000-000051180000}"/>
    <cellStyle name="40% - Accent2 10 2 3" xfId="6232" xr:uid="{00000000-0005-0000-0000-000052180000}"/>
    <cellStyle name="40% - Accent2 10 2 3 2" xfId="6233" xr:uid="{00000000-0005-0000-0000-000053180000}"/>
    <cellStyle name="40% - Accent2 10 2 4" xfId="6234" xr:uid="{00000000-0005-0000-0000-000054180000}"/>
    <cellStyle name="40% - Accent2 10 3" xfId="6235" xr:uid="{00000000-0005-0000-0000-000055180000}"/>
    <cellStyle name="40% - Accent2 10 3 2" xfId="6236" xr:uid="{00000000-0005-0000-0000-000056180000}"/>
    <cellStyle name="40% - Accent2 10 3 2 2" xfId="6237" xr:uid="{00000000-0005-0000-0000-000057180000}"/>
    <cellStyle name="40% - Accent2 10 3 3" xfId="6238" xr:uid="{00000000-0005-0000-0000-000058180000}"/>
    <cellStyle name="40% - Accent2 10 4" xfId="6239" xr:uid="{00000000-0005-0000-0000-000059180000}"/>
    <cellStyle name="40% - Accent2 10 4 2" xfId="6240" xr:uid="{00000000-0005-0000-0000-00005A180000}"/>
    <cellStyle name="40% - Accent2 10 5" xfId="6241" xr:uid="{00000000-0005-0000-0000-00005B180000}"/>
    <cellStyle name="40% - Accent2 11" xfId="6242" xr:uid="{00000000-0005-0000-0000-00005C180000}"/>
    <cellStyle name="40% - Accent2 11 2" xfId="6243" xr:uid="{00000000-0005-0000-0000-00005D180000}"/>
    <cellStyle name="40% - Accent2 11 2 2" xfId="6244" xr:uid="{00000000-0005-0000-0000-00005E180000}"/>
    <cellStyle name="40% - Accent2 11 2 2 2" xfId="6245" xr:uid="{00000000-0005-0000-0000-00005F180000}"/>
    <cellStyle name="40% - Accent2 11 2 2 2 2" xfId="6246" xr:uid="{00000000-0005-0000-0000-000060180000}"/>
    <cellStyle name="40% - Accent2 11 2 2 3" xfId="6247" xr:uid="{00000000-0005-0000-0000-000061180000}"/>
    <cellStyle name="40% - Accent2 11 2 3" xfId="6248" xr:uid="{00000000-0005-0000-0000-000062180000}"/>
    <cellStyle name="40% - Accent2 11 2 3 2" xfId="6249" xr:uid="{00000000-0005-0000-0000-000063180000}"/>
    <cellStyle name="40% - Accent2 11 2 4" xfId="6250" xr:uid="{00000000-0005-0000-0000-000064180000}"/>
    <cellStyle name="40% - Accent2 11 3" xfId="6251" xr:uid="{00000000-0005-0000-0000-000065180000}"/>
    <cellStyle name="40% - Accent2 11 3 2" xfId="6252" xr:uid="{00000000-0005-0000-0000-000066180000}"/>
    <cellStyle name="40% - Accent2 11 3 2 2" xfId="6253" xr:uid="{00000000-0005-0000-0000-000067180000}"/>
    <cellStyle name="40% - Accent2 11 3 3" xfId="6254" xr:uid="{00000000-0005-0000-0000-000068180000}"/>
    <cellStyle name="40% - Accent2 11 4" xfId="6255" xr:uid="{00000000-0005-0000-0000-000069180000}"/>
    <cellStyle name="40% - Accent2 11 4 2" xfId="6256" xr:uid="{00000000-0005-0000-0000-00006A180000}"/>
    <cellStyle name="40% - Accent2 11 5" xfId="6257" xr:uid="{00000000-0005-0000-0000-00006B180000}"/>
    <cellStyle name="40% - Accent2 12" xfId="6258" xr:uid="{00000000-0005-0000-0000-00006C180000}"/>
    <cellStyle name="40% - Accent2 12 2" xfId="6259" xr:uid="{00000000-0005-0000-0000-00006D180000}"/>
    <cellStyle name="40% - Accent2 13" xfId="6260" xr:uid="{00000000-0005-0000-0000-00006E180000}"/>
    <cellStyle name="40% - Accent2 13 2" xfId="6261" xr:uid="{00000000-0005-0000-0000-00006F180000}"/>
    <cellStyle name="40% - Accent2 13 2 2" xfId="6262" xr:uid="{00000000-0005-0000-0000-000070180000}"/>
    <cellStyle name="40% - Accent2 13 2 2 2" xfId="6263" xr:uid="{00000000-0005-0000-0000-000071180000}"/>
    <cellStyle name="40% - Accent2 13 2 3" xfId="6264" xr:uid="{00000000-0005-0000-0000-000072180000}"/>
    <cellStyle name="40% - Accent2 13 3" xfId="6265" xr:uid="{00000000-0005-0000-0000-000073180000}"/>
    <cellStyle name="40% - Accent2 13 3 2" xfId="6266" xr:uid="{00000000-0005-0000-0000-000074180000}"/>
    <cellStyle name="40% - Accent2 13 4" xfId="6267" xr:uid="{00000000-0005-0000-0000-000075180000}"/>
    <cellStyle name="40% - Accent2 14" xfId="6268" xr:uid="{00000000-0005-0000-0000-000076180000}"/>
    <cellStyle name="40% - Accent2 14 2" xfId="6269" xr:uid="{00000000-0005-0000-0000-000077180000}"/>
    <cellStyle name="40% - Accent2 2" xfId="6270" xr:uid="{00000000-0005-0000-0000-000078180000}"/>
    <cellStyle name="40% - Accent2 2 2" xfId="6271" xr:uid="{00000000-0005-0000-0000-000079180000}"/>
    <cellStyle name="40% - Accent2 2 2 2" xfId="6272" xr:uid="{00000000-0005-0000-0000-00007A180000}"/>
    <cellStyle name="40% - Accent2 2 2 3" xfId="6273" xr:uid="{00000000-0005-0000-0000-00007B180000}"/>
    <cellStyle name="40% - Accent2 2 3" xfId="6274" xr:uid="{00000000-0005-0000-0000-00007C180000}"/>
    <cellStyle name="40% - Accent2 2 3 2" xfId="6275" xr:uid="{00000000-0005-0000-0000-00007D180000}"/>
    <cellStyle name="40% - Accent2 2 4" xfId="6276" xr:uid="{00000000-0005-0000-0000-00007E180000}"/>
    <cellStyle name="40% - Accent2 2 4 2" xfId="6277" xr:uid="{00000000-0005-0000-0000-00007F180000}"/>
    <cellStyle name="40% - Accent2 2 4 3" xfId="6278" xr:uid="{00000000-0005-0000-0000-000080180000}"/>
    <cellStyle name="40% - Accent2 3" xfId="6279" xr:uid="{00000000-0005-0000-0000-000081180000}"/>
    <cellStyle name="40% - Accent2 3 2" xfId="6280" xr:uid="{00000000-0005-0000-0000-000082180000}"/>
    <cellStyle name="40% - Accent2 3 2 2" xfId="6281" xr:uid="{00000000-0005-0000-0000-000083180000}"/>
    <cellStyle name="40% - Accent2 3 2 2 2" xfId="6282" xr:uid="{00000000-0005-0000-0000-000084180000}"/>
    <cellStyle name="40% - Accent2 3 2 2 2 2" xfId="6283" xr:uid="{00000000-0005-0000-0000-000085180000}"/>
    <cellStyle name="40% - Accent2 3 2 2 3" xfId="6284" xr:uid="{00000000-0005-0000-0000-000086180000}"/>
    <cellStyle name="40% - Accent2 3 2 2 3 2" xfId="6285" xr:uid="{00000000-0005-0000-0000-000087180000}"/>
    <cellStyle name="40% - Accent2 3 2 2 4" xfId="6286" xr:uid="{00000000-0005-0000-0000-000088180000}"/>
    <cellStyle name="40% - Accent2 3 2 3" xfId="6287" xr:uid="{00000000-0005-0000-0000-000089180000}"/>
    <cellStyle name="40% - Accent2 3 2 3 2" xfId="6288" xr:uid="{00000000-0005-0000-0000-00008A180000}"/>
    <cellStyle name="40% - Accent2 3 2 4" xfId="6289" xr:uid="{00000000-0005-0000-0000-00008B180000}"/>
    <cellStyle name="40% - Accent2 3 2 4 2" xfId="6290" xr:uid="{00000000-0005-0000-0000-00008C180000}"/>
    <cellStyle name="40% - Accent2 3 2 5" xfId="6291" xr:uid="{00000000-0005-0000-0000-00008D180000}"/>
    <cellStyle name="40% - Accent2 3 3" xfId="6292" xr:uid="{00000000-0005-0000-0000-00008E180000}"/>
    <cellStyle name="40% - Accent2 3 3 2" xfId="6293" xr:uid="{00000000-0005-0000-0000-00008F180000}"/>
    <cellStyle name="40% - Accent2 3 3 2 2" xfId="6294" xr:uid="{00000000-0005-0000-0000-000090180000}"/>
    <cellStyle name="40% - Accent2 3 3 3" xfId="6295" xr:uid="{00000000-0005-0000-0000-000091180000}"/>
    <cellStyle name="40% - Accent2 3 3 3 2" xfId="6296" xr:uid="{00000000-0005-0000-0000-000092180000}"/>
    <cellStyle name="40% - Accent2 3 3 4" xfId="6297" xr:uid="{00000000-0005-0000-0000-000093180000}"/>
    <cellStyle name="40% - Accent2 3 3 4 2" xfId="6298" xr:uid="{00000000-0005-0000-0000-000094180000}"/>
    <cellStyle name="40% - Accent2 3 3 5" xfId="6299" xr:uid="{00000000-0005-0000-0000-000095180000}"/>
    <cellStyle name="40% - Accent2 3 4" xfId="6300" xr:uid="{00000000-0005-0000-0000-000096180000}"/>
    <cellStyle name="40% - Accent2 3 4 2" xfId="6301" xr:uid="{00000000-0005-0000-0000-000097180000}"/>
    <cellStyle name="40% - Accent2 3 4 2 2" xfId="6302" xr:uid="{00000000-0005-0000-0000-000098180000}"/>
    <cellStyle name="40% - Accent2 3 4 3" xfId="6303" xr:uid="{00000000-0005-0000-0000-000099180000}"/>
    <cellStyle name="40% - Accent2 3 4 3 2" xfId="6304" xr:uid="{00000000-0005-0000-0000-00009A180000}"/>
    <cellStyle name="40% - Accent2 3 4 4" xfId="6305" xr:uid="{00000000-0005-0000-0000-00009B180000}"/>
    <cellStyle name="40% - Accent2 3 5" xfId="6306" xr:uid="{00000000-0005-0000-0000-00009C180000}"/>
    <cellStyle name="40% - Accent2 3 5 2" xfId="6307" xr:uid="{00000000-0005-0000-0000-00009D180000}"/>
    <cellStyle name="40% - Accent2 3 6" xfId="6308" xr:uid="{00000000-0005-0000-0000-00009E180000}"/>
    <cellStyle name="40% - Accent2 3 6 2" xfId="6309" xr:uid="{00000000-0005-0000-0000-00009F180000}"/>
    <cellStyle name="40% - Accent2 3 7" xfId="6310" xr:uid="{00000000-0005-0000-0000-0000A0180000}"/>
    <cellStyle name="40% - Accent2 3 7 2" xfId="6311" xr:uid="{00000000-0005-0000-0000-0000A1180000}"/>
    <cellStyle name="40% - Accent2 3 8" xfId="6312" xr:uid="{00000000-0005-0000-0000-0000A2180000}"/>
    <cellStyle name="40% - Accent2 4" xfId="6313" xr:uid="{00000000-0005-0000-0000-0000A3180000}"/>
    <cellStyle name="40% - Accent2 4 10" xfId="6314" xr:uid="{00000000-0005-0000-0000-0000A4180000}"/>
    <cellStyle name="40% - Accent2 4 10 2" xfId="6315" xr:uid="{00000000-0005-0000-0000-0000A5180000}"/>
    <cellStyle name="40% - Accent2 4 11" xfId="6316" xr:uid="{00000000-0005-0000-0000-0000A6180000}"/>
    <cellStyle name="40% - Accent2 4 11 2" xfId="6317" xr:uid="{00000000-0005-0000-0000-0000A7180000}"/>
    <cellStyle name="40% - Accent2 4 12" xfId="6318" xr:uid="{00000000-0005-0000-0000-0000A8180000}"/>
    <cellStyle name="40% - Accent2 4 12 2" xfId="6319" xr:uid="{00000000-0005-0000-0000-0000A9180000}"/>
    <cellStyle name="40% - Accent2 4 13" xfId="6320" xr:uid="{00000000-0005-0000-0000-0000AA180000}"/>
    <cellStyle name="40% - Accent2 4 2" xfId="6321" xr:uid="{00000000-0005-0000-0000-0000AB180000}"/>
    <cellStyle name="40% - Accent2 4 2 10" xfId="6322" xr:uid="{00000000-0005-0000-0000-0000AC180000}"/>
    <cellStyle name="40% - Accent2 4 2 10 2" xfId="6323" xr:uid="{00000000-0005-0000-0000-0000AD180000}"/>
    <cellStyle name="40% - Accent2 4 2 11" xfId="6324" xr:uid="{00000000-0005-0000-0000-0000AE180000}"/>
    <cellStyle name="40% - Accent2 4 2 2" xfId="6325" xr:uid="{00000000-0005-0000-0000-0000AF180000}"/>
    <cellStyle name="40% - Accent2 4 2 2 10" xfId="6326" xr:uid="{00000000-0005-0000-0000-0000B0180000}"/>
    <cellStyle name="40% - Accent2 4 2 2 2" xfId="6327" xr:uid="{00000000-0005-0000-0000-0000B1180000}"/>
    <cellStyle name="40% - Accent2 4 2 2 2 2" xfId="6328" xr:uid="{00000000-0005-0000-0000-0000B2180000}"/>
    <cellStyle name="40% - Accent2 4 2 2 2 2 2" xfId="6329" xr:uid="{00000000-0005-0000-0000-0000B3180000}"/>
    <cellStyle name="40% - Accent2 4 2 2 2 2 2 2" xfId="6330" xr:uid="{00000000-0005-0000-0000-0000B4180000}"/>
    <cellStyle name="40% - Accent2 4 2 2 2 2 2 2 2" xfId="6331" xr:uid="{00000000-0005-0000-0000-0000B5180000}"/>
    <cellStyle name="40% - Accent2 4 2 2 2 2 2 3" xfId="6332" xr:uid="{00000000-0005-0000-0000-0000B6180000}"/>
    <cellStyle name="40% - Accent2 4 2 2 2 2 2 3 2" xfId="6333" xr:uid="{00000000-0005-0000-0000-0000B7180000}"/>
    <cellStyle name="40% - Accent2 4 2 2 2 2 2 4" xfId="6334" xr:uid="{00000000-0005-0000-0000-0000B8180000}"/>
    <cellStyle name="40% - Accent2 4 2 2 2 2 3" xfId="6335" xr:uid="{00000000-0005-0000-0000-0000B9180000}"/>
    <cellStyle name="40% - Accent2 4 2 2 2 2 3 2" xfId="6336" xr:uid="{00000000-0005-0000-0000-0000BA180000}"/>
    <cellStyle name="40% - Accent2 4 2 2 2 2 4" xfId="6337" xr:uid="{00000000-0005-0000-0000-0000BB180000}"/>
    <cellStyle name="40% - Accent2 4 2 2 2 2 4 2" xfId="6338" xr:uid="{00000000-0005-0000-0000-0000BC180000}"/>
    <cellStyle name="40% - Accent2 4 2 2 2 2 5" xfId="6339" xr:uid="{00000000-0005-0000-0000-0000BD180000}"/>
    <cellStyle name="40% - Accent2 4 2 2 2 2 5 2" xfId="6340" xr:uid="{00000000-0005-0000-0000-0000BE180000}"/>
    <cellStyle name="40% - Accent2 4 2 2 2 2 6" xfId="6341" xr:uid="{00000000-0005-0000-0000-0000BF180000}"/>
    <cellStyle name="40% - Accent2 4 2 2 2 2 6 2" xfId="6342" xr:uid="{00000000-0005-0000-0000-0000C0180000}"/>
    <cellStyle name="40% - Accent2 4 2 2 2 2 7" xfId="6343" xr:uid="{00000000-0005-0000-0000-0000C1180000}"/>
    <cellStyle name="40% - Accent2 4 2 2 2 3" xfId="6344" xr:uid="{00000000-0005-0000-0000-0000C2180000}"/>
    <cellStyle name="40% - Accent2 4 2 2 2 3 2" xfId="6345" xr:uid="{00000000-0005-0000-0000-0000C3180000}"/>
    <cellStyle name="40% - Accent2 4 2 2 2 3 2 2" xfId="6346" xr:uid="{00000000-0005-0000-0000-0000C4180000}"/>
    <cellStyle name="40% - Accent2 4 2 2 2 3 3" xfId="6347" xr:uid="{00000000-0005-0000-0000-0000C5180000}"/>
    <cellStyle name="40% - Accent2 4 2 2 2 3 3 2" xfId="6348" xr:uid="{00000000-0005-0000-0000-0000C6180000}"/>
    <cellStyle name="40% - Accent2 4 2 2 2 3 4" xfId="6349" xr:uid="{00000000-0005-0000-0000-0000C7180000}"/>
    <cellStyle name="40% - Accent2 4 2 2 2 3 4 2" xfId="6350" xr:uid="{00000000-0005-0000-0000-0000C8180000}"/>
    <cellStyle name="40% - Accent2 4 2 2 2 3 5" xfId="6351" xr:uid="{00000000-0005-0000-0000-0000C9180000}"/>
    <cellStyle name="40% - Accent2 4 2 2 2 3 5 2" xfId="6352" xr:uid="{00000000-0005-0000-0000-0000CA180000}"/>
    <cellStyle name="40% - Accent2 4 2 2 2 3 6" xfId="6353" xr:uid="{00000000-0005-0000-0000-0000CB180000}"/>
    <cellStyle name="40% - Accent2 4 2 2 2 4" xfId="6354" xr:uid="{00000000-0005-0000-0000-0000CC180000}"/>
    <cellStyle name="40% - Accent2 4 2 2 2 4 2" xfId="6355" xr:uid="{00000000-0005-0000-0000-0000CD180000}"/>
    <cellStyle name="40% - Accent2 4 2 2 2 4 2 2" xfId="6356" xr:uid="{00000000-0005-0000-0000-0000CE180000}"/>
    <cellStyle name="40% - Accent2 4 2 2 2 4 3" xfId="6357" xr:uid="{00000000-0005-0000-0000-0000CF180000}"/>
    <cellStyle name="40% - Accent2 4 2 2 2 5" xfId="6358" xr:uid="{00000000-0005-0000-0000-0000D0180000}"/>
    <cellStyle name="40% - Accent2 4 2 2 2 5 2" xfId="6359" xr:uid="{00000000-0005-0000-0000-0000D1180000}"/>
    <cellStyle name="40% - Accent2 4 2 2 2 6" xfId="6360" xr:uid="{00000000-0005-0000-0000-0000D2180000}"/>
    <cellStyle name="40% - Accent2 4 2 2 2 6 2" xfId="6361" xr:uid="{00000000-0005-0000-0000-0000D3180000}"/>
    <cellStyle name="40% - Accent2 4 2 2 2 7" xfId="6362" xr:uid="{00000000-0005-0000-0000-0000D4180000}"/>
    <cellStyle name="40% - Accent2 4 2 2 2 7 2" xfId="6363" xr:uid="{00000000-0005-0000-0000-0000D5180000}"/>
    <cellStyle name="40% - Accent2 4 2 2 2 8" xfId="6364" xr:uid="{00000000-0005-0000-0000-0000D6180000}"/>
    <cellStyle name="40% - Accent2 4 2 2 3" xfId="6365" xr:uid="{00000000-0005-0000-0000-0000D7180000}"/>
    <cellStyle name="40% - Accent2 4 2 2 3 2" xfId="6366" xr:uid="{00000000-0005-0000-0000-0000D8180000}"/>
    <cellStyle name="40% - Accent2 4 2 2 3 2 2" xfId="6367" xr:uid="{00000000-0005-0000-0000-0000D9180000}"/>
    <cellStyle name="40% - Accent2 4 2 2 3 2 2 2" xfId="6368" xr:uid="{00000000-0005-0000-0000-0000DA180000}"/>
    <cellStyle name="40% - Accent2 4 2 2 3 2 2 2 2" xfId="6369" xr:uid="{00000000-0005-0000-0000-0000DB180000}"/>
    <cellStyle name="40% - Accent2 4 2 2 3 2 2 3" xfId="6370" xr:uid="{00000000-0005-0000-0000-0000DC180000}"/>
    <cellStyle name="40% - Accent2 4 2 2 3 2 2 3 2" xfId="6371" xr:uid="{00000000-0005-0000-0000-0000DD180000}"/>
    <cellStyle name="40% - Accent2 4 2 2 3 2 2 4" xfId="6372" xr:uid="{00000000-0005-0000-0000-0000DE180000}"/>
    <cellStyle name="40% - Accent2 4 2 2 3 2 3" xfId="6373" xr:uid="{00000000-0005-0000-0000-0000DF180000}"/>
    <cellStyle name="40% - Accent2 4 2 2 3 2 3 2" xfId="6374" xr:uid="{00000000-0005-0000-0000-0000E0180000}"/>
    <cellStyle name="40% - Accent2 4 2 2 3 2 4" xfId="6375" xr:uid="{00000000-0005-0000-0000-0000E1180000}"/>
    <cellStyle name="40% - Accent2 4 2 2 3 2 4 2" xfId="6376" xr:uid="{00000000-0005-0000-0000-0000E2180000}"/>
    <cellStyle name="40% - Accent2 4 2 2 3 2 5" xfId="6377" xr:uid="{00000000-0005-0000-0000-0000E3180000}"/>
    <cellStyle name="40% - Accent2 4 2 2 3 2 5 2" xfId="6378" xr:uid="{00000000-0005-0000-0000-0000E4180000}"/>
    <cellStyle name="40% - Accent2 4 2 2 3 2 6" xfId="6379" xr:uid="{00000000-0005-0000-0000-0000E5180000}"/>
    <cellStyle name="40% - Accent2 4 2 2 3 2 6 2" xfId="6380" xr:uid="{00000000-0005-0000-0000-0000E6180000}"/>
    <cellStyle name="40% - Accent2 4 2 2 3 2 7" xfId="6381" xr:uid="{00000000-0005-0000-0000-0000E7180000}"/>
    <cellStyle name="40% - Accent2 4 2 2 3 3" xfId="6382" xr:uid="{00000000-0005-0000-0000-0000E8180000}"/>
    <cellStyle name="40% - Accent2 4 2 2 3 3 2" xfId="6383" xr:uid="{00000000-0005-0000-0000-0000E9180000}"/>
    <cellStyle name="40% - Accent2 4 2 2 3 3 2 2" xfId="6384" xr:uid="{00000000-0005-0000-0000-0000EA180000}"/>
    <cellStyle name="40% - Accent2 4 2 2 3 3 3" xfId="6385" xr:uid="{00000000-0005-0000-0000-0000EB180000}"/>
    <cellStyle name="40% - Accent2 4 2 2 3 3 3 2" xfId="6386" xr:uid="{00000000-0005-0000-0000-0000EC180000}"/>
    <cellStyle name="40% - Accent2 4 2 2 3 3 4" xfId="6387" xr:uid="{00000000-0005-0000-0000-0000ED180000}"/>
    <cellStyle name="40% - Accent2 4 2 2 3 3 4 2" xfId="6388" xr:uid="{00000000-0005-0000-0000-0000EE180000}"/>
    <cellStyle name="40% - Accent2 4 2 2 3 3 5" xfId="6389" xr:uid="{00000000-0005-0000-0000-0000EF180000}"/>
    <cellStyle name="40% - Accent2 4 2 2 3 3 5 2" xfId="6390" xr:uid="{00000000-0005-0000-0000-0000F0180000}"/>
    <cellStyle name="40% - Accent2 4 2 2 3 3 6" xfId="6391" xr:uid="{00000000-0005-0000-0000-0000F1180000}"/>
    <cellStyle name="40% - Accent2 4 2 2 3 4" xfId="6392" xr:uid="{00000000-0005-0000-0000-0000F2180000}"/>
    <cellStyle name="40% - Accent2 4 2 2 3 4 2" xfId="6393" xr:uid="{00000000-0005-0000-0000-0000F3180000}"/>
    <cellStyle name="40% - Accent2 4 2 2 3 4 2 2" xfId="6394" xr:uid="{00000000-0005-0000-0000-0000F4180000}"/>
    <cellStyle name="40% - Accent2 4 2 2 3 4 3" xfId="6395" xr:uid="{00000000-0005-0000-0000-0000F5180000}"/>
    <cellStyle name="40% - Accent2 4 2 2 3 5" xfId="6396" xr:uid="{00000000-0005-0000-0000-0000F6180000}"/>
    <cellStyle name="40% - Accent2 4 2 2 3 5 2" xfId="6397" xr:uid="{00000000-0005-0000-0000-0000F7180000}"/>
    <cellStyle name="40% - Accent2 4 2 2 3 6" xfId="6398" xr:uid="{00000000-0005-0000-0000-0000F8180000}"/>
    <cellStyle name="40% - Accent2 4 2 2 3 6 2" xfId="6399" xr:uid="{00000000-0005-0000-0000-0000F9180000}"/>
    <cellStyle name="40% - Accent2 4 2 2 3 7" xfId="6400" xr:uid="{00000000-0005-0000-0000-0000FA180000}"/>
    <cellStyle name="40% - Accent2 4 2 2 3 7 2" xfId="6401" xr:uid="{00000000-0005-0000-0000-0000FB180000}"/>
    <cellStyle name="40% - Accent2 4 2 2 3 8" xfId="6402" xr:uid="{00000000-0005-0000-0000-0000FC180000}"/>
    <cellStyle name="40% - Accent2 4 2 2 4" xfId="6403" xr:uid="{00000000-0005-0000-0000-0000FD180000}"/>
    <cellStyle name="40% - Accent2 4 2 2 4 2" xfId="6404" xr:uid="{00000000-0005-0000-0000-0000FE180000}"/>
    <cellStyle name="40% - Accent2 4 2 2 4 2 2" xfId="6405" xr:uid="{00000000-0005-0000-0000-0000FF180000}"/>
    <cellStyle name="40% - Accent2 4 2 2 4 2 2 2" xfId="6406" xr:uid="{00000000-0005-0000-0000-000000190000}"/>
    <cellStyle name="40% - Accent2 4 2 2 4 2 3" xfId="6407" xr:uid="{00000000-0005-0000-0000-000001190000}"/>
    <cellStyle name="40% - Accent2 4 2 2 4 2 3 2" xfId="6408" xr:uid="{00000000-0005-0000-0000-000002190000}"/>
    <cellStyle name="40% - Accent2 4 2 2 4 2 4" xfId="6409" xr:uid="{00000000-0005-0000-0000-000003190000}"/>
    <cellStyle name="40% - Accent2 4 2 2 4 3" xfId="6410" xr:uid="{00000000-0005-0000-0000-000004190000}"/>
    <cellStyle name="40% - Accent2 4 2 2 4 3 2" xfId="6411" xr:uid="{00000000-0005-0000-0000-000005190000}"/>
    <cellStyle name="40% - Accent2 4 2 2 4 4" xfId="6412" xr:uid="{00000000-0005-0000-0000-000006190000}"/>
    <cellStyle name="40% - Accent2 4 2 2 4 4 2" xfId="6413" xr:uid="{00000000-0005-0000-0000-000007190000}"/>
    <cellStyle name="40% - Accent2 4 2 2 4 5" xfId="6414" xr:uid="{00000000-0005-0000-0000-000008190000}"/>
    <cellStyle name="40% - Accent2 4 2 2 4 5 2" xfId="6415" xr:uid="{00000000-0005-0000-0000-000009190000}"/>
    <cellStyle name="40% - Accent2 4 2 2 4 6" xfId="6416" xr:uid="{00000000-0005-0000-0000-00000A190000}"/>
    <cellStyle name="40% - Accent2 4 2 2 4 6 2" xfId="6417" xr:uid="{00000000-0005-0000-0000-00000B190000}"/>
    <cellStyle name="40% - Accent2 4 2 2 4 7" xfId="6418" xr:uid="{00000000-0005-0000-0000-00000C190000}"/>
    <cellStyle name="40% - Accent2 4 2 2 5" xfId="6419" xr:uid="{00000000-0005-0000-0000-00000D190000}"/>
    <cellStyle name="40% - Accent2 4 2 2 5 2" xfId="6420" xr:uid="{00000000-0005-0000-0000-00000E190000}"/>
    <cellStyle name="40% - Accent2 4 2 2 5 2 2" xfId="6421" xr:uid="{00000000-0005-0000-0000-00000F190000}"/>
    <cellStyle name="40% - Accent2 4 2 2 5 3" xfId="6422" xr:uid="{00000000-0005-0000-0000-000010190000}"/>
    <cellStyle name="40% - Accent2 4 2 2 5 3 2" xfId="6423" xr:uid="{00000000-0005-0000-0000-000011190000}"/>
    <cellStyle name="40% - Accent2 4 2 2 5 4" xfId="6424" xr:uid="{00000000-0005-0000-0000-000012190000}"/>
    <cellStyle name="40% - Accent2 4 2 2 5 4 2" xfId="6425" xr:uid="{00000000-0005-0000-0000-000013190000}"/>
    <cellStyle name="40% - Accent2 4 2 2 5 5" xfId="6426" xr:uid="{00000000-0005-0000-0000-000014190000}"/>
    <cellStyle name="40% - Accent2 4 2 2 5 5 2" xfId="6427" xr:uid="{00000000-0005-0000-0000-000015190000}"/>
    <cellStyle name="40% - Accent2 4 2 2 5 6" xfId="6428" xr:uid="{00000000-0005-0000-0000-000016190000}"/>
    <cellStyle name="40% - Accent2 4 2 2 6" xfId="6429" xr:uid="{00000000-0005-0000-0000-000017190000}"/>
    <cellStyle name="40% - Accent2 4 2 2 6 2" xfId="6430" xr:uid="{00000000-0005-0000-0000-000018190000}"/>
    <cellStyle name="40% - Accent2 4 2 2 6 2 2" xfId="6431" xr:uid="{00000000-0005-0000-0000-000019190000}"/>
    <cellStyle name="40% - Accent2 4 2 2 6 3" xfId="6432" xr:uid="{00000000-0005-0000-0000-00001A190000}"/>
    <cellStyle name="40% - Accent2 4 2 2 7" xfId="6433" xr:uid="{00000000-0005-0000-0000-00001B190000}"/>
    <cellStyle name="40% - Accent2 4 2 2 7 2" xfId="6434" xr:uid="{00000000-0005-0000-0000-00001C190000}"/>
    <cellStyle name="40% - Accent2 4 2 2 8" xfId="6435" xr:uid="{00000000-0005-0000-0000-00001D190000}"/>
    <cellStyle name="40% - Accent2 4 2 2 8 2" xfId="6436" xr:uid="{00000000-0005-0000-0000-00001E190000}"/>
    <cellStyle name="40% - Accent2 4 2 2 9" xfId="6437" xr:uid="{00000000-0005-0000-0000-00001F190000}"/>
    <cellStyle name="40% - Accent2 4 2 2 9 2" xfId="6438" xr:uid="{00000000-0005-0000-0000-000020190000}"/>
    <cellStyle name="40% - Accent2 4 2 3" xfId="6439" xr:uid="{00000000-0005-0000-0000-000021190000}"/>
    <cellStyle name="40% - Accent2 4 2 3 2" xfId="6440" xr:uid="{00000000-0005-0000-0000-000022190000}"/>
    <cellStyle name="40% - Accent2 4 2 3 2 2" xfId="6441" xr:uid="{00000000-0005-0000-0000-000023190000}"/>
    <cellStyle name="40% - Accent2 4 2 3 2 2 2" xfId="6442" xr:uid="{00000000-0005-0000-0000-000024190000}"/>
    <cellStyle name="40% - Accent2 4 2 3 2 2 2 2" xfId="6443" xr:uid="{00000000-0005-0000-0000-000025190000}"/>
    <cellStyle name="40% - Accent2 4 2 3 2 2 3" xfId="6444" xr:uid="{00000000-0005-0000-0000-000026190000}"/>
    <cellStyle name="40% - Accent2 4 2 3 2 2 3 2" xfId="6445" xr:uid="{00000000-0005-0000-0000-000027190000}"/>
    <cellStyle name="40% - Accent2 4 2 3 2 2 4" xfId="6446" xr:uid="{00000000-0005-0000-0000-000028190000}"/>
    <cellStyle name="40% - Accent2 4 2 3 2 3" xfId="6447" xr:uid="{00000000-0005-0000-0000-000029190000}"/>
    <cellStyle name="40% - Accent2 4 2 3 2 3 2" xfId="6448" xr:uid="{00000000-0005-0000-0000-00002A190000}"/>
    <cellStyle name="40% - Accent2 4 2 3 2 4" xfId="6449" xr:uid="{00000000-0005-0000-0000-00002B190000}"/>
    <cellStyle name="40% - Accent2 4 2 3 2 4 2" xfId="6450" xr:uid="{00000000-0005-0000-0000-00002C190000}"/>
    <cellStyle name="40% - Accent2 4 2 3 2 5" xfId="6451" xr:uid="{00000000-0005-0000-0000-00002D190000}"/>
    <cellStyle name="40% - Accent2 4 2 3 2 5 2" xfId="6452" xr:uid="{00000000-0005-0000-0000-00002E190000}"/>
    <cellStyle name="40% - Accent2 4 2 3 2 6" xfId="6453" xr:uid="{00000000-0005-0000-0000-00002F190000}"/>
    <cellStyle name="40% - Accent2 4 2 3 2 6 2" xfId="6454" xr:uid="{00000000-0005-0000-0000-000030190000}"/>
    <cellStyle name="40% - Accent2 4 2 3 2 7" xfId="6455" xr:uid="{00000000-0005-0000-0000-000031190000}"/>
    <cellStyle name="40% - Accent2 4 2 3 3" xfId="6456" xr:uid="{00000000-0005-0000-0000-000032190000}"/>
    <cellStyle name="40% - Accent2 4 2 3 3 2" xfId="6457" xr:uid="{00000000-0005-0000-0000-000033190000}"/>
    <cellStyle name="40% - Accent2 4 2 3 3 2 2" xfId="6458" xr:uid="{00000000-0005-0000-0000-000034190000}"/>
    <cellStyle name="40% - Accent2 4 2 3 3 3" xfId="6459" xr:uid="{00000000-0005-0000-0000-000035190000}"/>
    <cellStyle name="40% - Accent2 4 2 3 3 3 2" xfId="6460" xr:uid="{00000000-0005-0000-0000-000036190000}"/>
    <cellStyle name="40% - Accent2 4 2 3 3 4" xfId="6461" xr:uid="{00000000-0005-0000-0000-000037190000}"/>
    <cellStyle name="40% - Accent2 4 2 3 3 4 2" xfId="6462" xr:uid="{00000000-0005-0000-0000-000038190000}"/>
    <cellStyle name="40% - Accent2 4 2 3 3 5" xfId="6463" xr:uid="{00000000-0005-0000-0000-000039190000}"/>
    <cellStyle name="40% - Accent2 4 2 3 3 5 2" xfId="6464" xr:uid="{00000000-0005-0000-0000-00003A190000}"/>
    <cellStyle name="40% - Accent2 4 2 3 3 6" xfId="6465" xr:uid="{00000000-0005-0000-0000-00003B190000}"/>
    <cellStyle name="40% - Accent2 4 2 3 4" xfId="6466" xr:uid="{00000000-0005-0000-0000-00003C190000}"/>
    <cellStyle name="40% - Accent2 4 2 3 4 2" xfId="6467" xr:uid="{00000000-0005-0000-0000-00003D190000}"/>
    <cellStyle name="40% - Accent2 4 2 3 4 2 2" xfId="6468" xr:uid="{00000000-0005-0000-0000-00003E190000}"/>
    <cellStyle name="40% - Accent2 4 2 3 4 3" xfId="6469" xr:uid="{00000000-0005-0000-0000-00003F190000}"/>
    <cellStyle name="40% - Accent2 4 2 3 5" xfId="6470" xr:uid="{00000000-0005-0000-0000-000040190000}"/>
    <cellStyle name="40% - Accent2 4 2 3 5 2" xfId="6471" xr:uid="{00000000-0005-0000-0000-000041190000}"/>
    <cellStyle name="40% - Accent2 4 2 3 6" xfId="6472" xr:uid="{00000000-0005-0000-0000-000042190000}"/>
    <cellStyle name="40% - Accent2 4 2 3 6 2" xfId="6473" xr:uid="{00000000-0005-0000-0000-000043190000}"/>
    <cellStyle name="40% - Accent2 4 2 3 7" xfId="6474" xr:uid="{00000000-0005-0000-0000-000044190000}"/>
    <cellStyle name="40% - Accent2 4 2 3 7 2" xfId="6475" xr:uid="{00000000-0005-0000-0000-000045190000}"/>
    <cellStyle name="40% - Accent2 4 2 3 8" xfId="6476" xr:uid="{00000000-0005-0000-0000-000046190000}"/>
    <cellStyle name="40% - Accent2 4 2 4" xfId="6477" xr:uid="{00000000-0005-0000-0000-000047190000}"/>
    <cellStyle name="40% - Accent2 4 2 4 2" xfId="6478" xr:uid="{00000000-0005-0000-0000-000048190000}"/>
    <cellStyle name="40% - Accent2 4 2 4 2 2" xfId="6479" xr:uid="{00000000-0005-0000-0000-000049190000}"/>
    <cellStyle name="40% - Accent2 4 2 4 2 2 2" xfId="6480" xr:uid="{00000000-0005-0000-0000-00004A190000}"/>
    <cellStyle name="40% - Accent2 4 2 4 2 2 2 2" xfId="6481" xr:uid="{00000000-0005-0000-0000-00004B190000}"/>
    <cellStyle name="40% - Accent2 4 2 4 2 2 3" xfId="6482" xr:uid="{00000000-0005-0000-0000-00004C190000}"/>
    <cellStyle name="40% - Accent2 4 2 4 2 2 3 2" xfId="6483" xr:uid="{00000000-0005-0000-0000-00004D190000}"/>
    <cellStyle name="40% - Accent2 4 2 4 2 2 4" xfId="6484" xr:uid="{00000000-0005-0000-0000-00004E190000}"/>
    <cellStyle name="40% - Accent2 4 2 4 2 3" xfId="6485" xr:uid="{00000000-0005-0000-0000-00004F190000}"/>
    <cellStyle name="40% - Accent2 4 2 4 2 3 2" xfId="6486" xr:uid="{00000000-0005-0000-0000-000050190000}"/>
    <cellStyle name="40% - Accent2 4 2 4 2 4" xfId="6487" xr:uid="{00000000-0005-0000-0000-000051190000}"/>
    <cellStyle name="40% - Accent2 4 2 4 2 4 2" xfId="6488" xr:uid="{00000000-0005-0000-0000-000052190000}"/>
    <cellStyle name="40% - Accent2 4 2 4 2 5" xfId="6489" xr:uid="{00000000-0005-0000-0000-000053190000}"/>
    <cellStyle name="40% - Accent2 4 2 4 2 5 2" xfId="6490" xr:uid="{00000000-0005-0000-0000-000054190000}"/>
    <cellStyle name="40% - Accent2 4 2 4 2 6" xfId="6491" xr:uid="{00000000-0005-0000-0000-000055190000}"/>
    <cellStyle name="40% - Accent2 4 2 4 2 6 2" xfId="6492" xr:uid="{00000000-0005-0000-0000-000056190000}"/>
    <cellStyle name="40% - Accent2 4 2 4 2 7" xfId="6493" xr:uid="{00000000-0005-0000-0000-000057190000}"/>
    <cellStyle name="40% - Accent2 4 2 4 3" xfId="6494" xr:uid="{00000000-0005-0000-0000-000058190000}"/>
    <cellStyle name="40% - Accent2 4 2 4 3 2" xfId="6495" xr:uid="{00000000-0005-0000-0000-000059190000}"/>
    <cellStyle name="40% - Accent2 4 2 4 3 2 2" xfId="6496" xr:uid="{00000000-0005-0000-0000-00005A190000}"/>
    <cellStyle name="40% - Accent2 4 2 4 3 3" xfId="6497" xr:uid="{00000000-0005-0000-0000-00005B190000}"/>
    <cellStyle name="40% - Accent2 4 2 4 3 3 2" xfId="6498" xr:uid="{00000000-0005-0000-0000-00005C190000}"/>
    <cellStyle name="40% - Accent2 4 2 4 3 4" xfId="6499" xr:uid="{00000000-0005-0000-0000-00005D190000}"/>
    <cellStyle name="40% - Accent2 4 2 4 3 4 2" xfId="6500" xr:uid="{00000000-0005-0000-0000-00005E190000}"/>
    <cellStyle name="40% - Accent2 4 2 4 3 5" xfId="6501" xr:uid="{00000000-0005-0000-0000-00005F190000}"/>
    <cellStyle name="40% - Accent2 4 2 4 3 5 2" xfId="6502" xr:uid="{00000000-0005-0000-0000-000060190000}"/>
    <cellStyle name="40% - Accent2 4 2 4 3 6" xfId="6503" xr:uid="{00000000-0005-0000-0000-000061190000}"/>
    <cellStyle name="40% - Accent2 4 2 4 4" xfId="6504" xr:uid="{00000000-0005-0000-0000-000062190000}"/>
    <cellStyle name="40% - Accent2 4 2 4 4 2" xfId="6505" xr:uid="{00000000-0005-0000-0000-000063190000}"/>
    <cellStyle name="40% - Accent2 4 2 4 4 2 2" xfId="6506" xr:uid="{00000000-0005-0000-0000-000064190000}"/>
    <cellStyle name="40% - Accent2 4 2 4 4 3" xfId="6507" xr:uid="{00000000-0005-0000-0000-000065190000}"/>
    <cellStyle name="40% - Accent2 4 2 4 5" xfId="6508" xr:uid="{00000000-0005-0000-0000-000066190000}"/>
    <cellStyle name="40% - Accent2 4 2 4 5 2" xfId="6509" xr:uid="{00000000-0005-0000-0000-000067190000}"/>
    <cellStyle name="40% - Accent2 4 2 4 6" xfId="6510" xr:uid="{00000000-0005-0000-0000-000068190000}"/>
    <cellStyle name="40% - Accent2 4 2 4 6 2" xfId="6511" xr:uid="{00000000-0005-0000-0000-000069190000}"/>
    <cellStyle name="40% - Accent2 4 2 4 7" xfId="6512" xr:uid="{00000000-0005-0000-0000-00006A190000}"/>
    <cellStyle name="40% - Accent2 4 2 4 7 2" xfId="6513" xr:uid="{00000000-0005-0000-0000-00006B190000}"/>
    <cellStyle name="40% - Accent2 4 2 4 8" xfId="6514" xr:uid="{00000000-0005-0000-0000-00006C190000}"/>
    <cellStyle name="40% - Accent2 4 2 5" xfId="6515" xr:uid="{00000000-0005-0000-0000-00006D190000}"/>
    <cellStyle name="40% - Accent2 4 2 5 2" xfId="6516" xr:uid="{00000000-0005-0000-0000-00006E190000}"/>
    <cellStyle name="40% - Accent2 4 2 5 2 2" xfId="6517" xr:uid="{00000000-0005-0000-0000-00006F190000}"/>
    <cellStyle name="40% - Accent2 4 2 5 2 2 2" xfId="6518" xr:uid="{00000000-0005-0000-0000-000070190000}"/>
    <cellStyle name="40% - Accent2 4 2 5 2 3" xfId="6519" xr:uid="{00000000-0005-0000-0000-000071190000}"/>
    <cellStyle name="40% - Accent2 4 2 5 2 3 2" xfId="6520" xr:uid="{00000000-0005-0000-0000-000072190000}"/>
    <cellStyle name="40% - Accent2 4 2 5 2 4" xfId="6521" xr:uid="{00000000-0005-0000-0000-000073190000}"/>
    <cellStyle name="40% - Accent2 4 2 5 3" xfId="6522" xr:uid="{00000000-0005-0000-0000-000074190000}"/>
    <cellStyle name="40% - Accent2 4 2 5 3 2" xfId="6523" xr:uid="{00000000-0005-0000-0000-000075190000}"/>
    <cellStyle name="40% - Accent2 4 2 5 4" xfId="6524" xr:uid="{00000000-0005-0000-0000-000076190000}"/>
    <cellStyle name="40% - Accent2 4 2 5 4 2" xfId="6525" xr:uid="{00000000-0005-0000-0000-000077190000}"/>
    <cellStyle name="40% - Accent2 4 2 5 5" xfId="6526" xr:uid="{00000000-0005-0000-0000-000078190000}"/>
    <cellStyle name="40% - Accent2 4 2 5 5 2" xfId="6527" xr:uid="{00000000-0005-0000-0000-000079190000}"/>
    <cellStyle name="40% - Accent2 4 2 5 6" xfId="6528" xr:uid="{00000000-0005-0000-0000-00007A190000}"/>
    <cellStyle name="40% - Accent2 4 2 5 6 2" xfId="6529" xr:uid="{00000000-0005-0000-0000-00007B190000}"/>
    <cellStyle name="40% - Accent2 4 2 5 7" xfId="6530" xr:uid="{00000000-0005-0000-0000-00007C190000}"/>
    <cellStyle name="40% - Accent2 4 2 6" xfId="6531" xr:uid="{00000000-0005-0000-0000-00007D190000}"/>
    <cellStyle name="40% - Accent2 4 2 6 2" xfId="6532" xr:uid="{00000000-0005-0000-0000-00007E190000}"/>
    <cellStyle name="40% - Accent2 4 2 6 2 2" xfId="6533" xr:uid="{00000000-0005-0000-0000-00007F190000}"/>
    <cellStyle name="40% - Accent2 4 2 6 3" xfId="6534" xr:uid="{00000000-0005-0000-0000-000080190000}"/>
    <cellStyle name="40% - Accent2 4 2 6 3 2" xfId="6535" xr:uid="{00000000-0005-0000-0000-000081190000}"/>
    <cellStyle name="40% - Accent2 4 2 6 4" xfId="6536" xr:uid="{00000000-0005-0000-0000-000082190000}"/>
    <cellStyle name="40% - Accent2 4 2 6 4 2" xfId="6537" xr:uid="{00000000-0005-0000-0000-000083190000}"/>
    <cellStyle name="40% - Accent2 4 2 6 5" xfId="6538" xr:uid="{00000000-0005-0000-0000-000084190000}"/>
    <cellStyle name="40% - Accent2 4 2 6 5 2" xfId="6539" xr:uid="{00000000-0005-0000-0000-000085190000}"/>
    <cellStyle name="40% - Accent2 4 2 6 6" xfId="6540" xr:uid="{00000000-0005-0000-0000-000086190000}"/>
    <cellStyle name="40% - Accent2 4 2 7" xfId="6541" xr:uid="{00000000-0005-0000-0000-000087190000}"/>
    <cellStyle name="40% - Accent2 4 2 7 2" xfId="6542" xr:uid="{00000000-0005-0000-0000-000088190000}"/>
    <cellStyle name="40% - Accent2 4 2 7 2 2" xfId="6543" xr:uid="{00000000-0005-0000-0000-000089190000}"/>
    <cellStyle name="40% - Accent2 4 2 7 3" xfId="6544" xr:uid="{00000000-0005-0000-0000-00008A190000}"/>
    <cellStyle name="40% - Accent2 4 2 8" xfId="6545" xr:uid="{00000000-0005-0000-0000-00008B190000}"/>
    <cellStyle name="40% - Accent2 4 2 8 2" xfId="6546" xr:uid="{00000000-0005-0000-0000-00008C190000}"/>
    <cellStyle name="40% - Accent2 4 2 9" xfId="6547" xr:uid="{00000000-0005-0000-0000-00008D190000}"/>
    <cellStyle name="40% - Accent2 4 2 9 2" xfId="6548" xr:uid="{00000000-0005-0000-0000-00008E190000}"/>
    <cellStyle name="40% - Accent2 4 3" xfId="6549" xr:uid="{00000000-0005-0000-0000-00008F190000}"/>
    <cellStyle name="40% - Accent2 4 3 10" xfId="6550" xr:uid="{00000000-0005-0000-0000-000090190000}"/>
    <cellStyle name="40% - Accent2 4 3 2" xfId="6551" xr:uid="{00000000-0005-0000-0000-000091190000}"/>
    <cellStyle name="40% - Accent2 4 3 2 2" xfId="6552" xr:uid="{00000000-0005-0000-0000-000092190000}"/>
    <cellStyle name="40% - Accent2 4 3 2 2 2" xfId="6553" xr:uid="{00000000-0005-0000-0000-000093190000}"/>
    <cellStyle name="40% - Accent2 4 3 2 2 2 2" xfId="6554" xr:uid="{00000000-0005-0000-0000-000094190000}"/>
    <cellStyle name="40% - Accent2 4 3 2 2 2 2 2" xfId="6555" xr:uid="{00000000-0005-0000-0000-000095190000}"/>
    <cellStyle name="40% - Accent2 4 3 2 2 2 3" xfId="6556" xr:uid="{00000000-0005-0000-0000-000096190000}"/>
    <cellStyle name="40% - Accent2 4 3 2 2 2 3 2" xfId="6557" xr:uid="{00000000-0005-0000-0000-000097190000}"/>
    <cellStyle name="40% - Accent2 4 3 2 2 2 4" xfId="6558" xr:uid="{00000000-0005-0000-0000-000098190000}"/>
    <cellStyle name="40% - Accent2 4 3 2 2 3" xfId="6559" xr:uid="{00000000-0005-0000-0000-000099190000}"/>
    <cellStyle name="40% - Accent2 4 3 2 2 3 2" xfId="6560" xr:uid="{00000000-0005-0000-0000-00009A190000}"/>
    <cellStyle name="40% - Accent2 4 3 2 2 4" xfId="6561" xr:uid="{00000000-0005-0000-0000-00009B190000}"/>
    <cellStyle name="40% - Accent2 4 3 2 2 4 2" xfId="6562" xr:uid="{00000000-0005-0000-0000-00009C190000}"/>
    <cellStyle name="40% - Accent2 4 3 2 2 5" xfId="6563" xr:uid="{00000000-0005-0000-0000-00009D190000}"/>
    <cellStyle name="40% - Accent2 4 3 2 2 5 2" xfId="6564" xr:uid="{00000000-0005-0000-0000-00009E190000}"/>
    <cellStyle name="40% - Accent2 4 3 2 2 6" xfId="6565" xr:uid="{00000000-0005-0000-0000-00009F190000}"/>
    <cellStyle name="40% - Accent2 4 3 2 2 6 2" xfId="6566" xr:uid="{00000000-0005-0000-0000-0000A0190000}"/>
    <cellStyle name="40% - Accent2 4 3 2 2 7" xfId="6567" xr:uid="{00000000-0005-0000-0000-0000A1190000}"/>
    <cellStyle name="40% - Accent2 4 3 2 3" xfId="6568" xr:uid="{00000000-0005-0000-0000-0000A2190000}"/>
    <cellStyle name="40% - Accent2 4 3 2 3 2" xfId="6569" xr:uid="{00000000-0005-0000-0000-0000A3190000}"/>
    <cellStyle name="40% - Accent2 4 3 2 3 2 2" xfId="6570" xr:uid="{00000000-0005-0000-0000-0000A4190000}"/>
    <cellStyle name="40% - Accent2 4 3 2 3 3" xfId="6571" xr:uid="{00000000-0005-0000-0000-0000A5190000}"/>
    <cellStyle name="40% - Accent2 4 3 2 3 3 2" xfId="6572" xr:uid="{00000000-0005-0000-0000-0000A6190000}"/>
    <cellStyle name="40% - Accent2 4 3 2 3 4" xfId="6573" xr:uid="{00000000-0005-0000-0000-0000A7190000}"/>
    <cellStyle name="40% - Accent2 4 3 2 3 4 2" xfId="6574" xr:uid="{00000000-0005-0000-0000-0000A8190000}"/>
    <cellStyle name="40% - Accent2 4 3 2 3 5" xfId="6575" xr:uid="{00000000-0005-0000-0000-0000A9190000}"/>
    <cellStyle name="40% - Accent2 4 3 2 3 5 2" xfId="6576" xr:uid="{00000000-0005-0000-0000-0000AA190000}"/>
    <cellStyle name="40% - Accent2 4 3 2 3 6" xfId="6577" xr:uid="{00000000-0005-0000-0000-0000AB190000}"/>
    <cellStyle name="40% - Accent2 4 3 2 4" xfId="6578" xr:uid="{00000000-0005-0000-0000-0000AC190000}"/>
    <cellStyle name="40% - Accent2 4 3 2 4 2" xfId="6579" xr:uid="{00000000-0005-0000-0000-0000AD190000}"/>
    <cellStyle name="40% - Accent2 4 3 2 4 2 2" xfId="6580" xr:uid="{00000000-0005-0000-0000-0000AE190000}"/>
    <cellStyle name="40% - Accent2 4 3 2 4 3" xfId="6581" xr:uid="{00000000-0005-0000-0000-0000AF190000}"/>
    <cellStyle name="40% - Accent2 4 3 2 5" xfId="6582" xr:uid="{00000000-0005-0000-0000-0000B0190000}"/>
    <cellStyle name="40% - Accent2 4 3 2 5 2" xfId="6583" xr:uid="{00000000-0005-0000-0000-0000B1190000}"/>
    <cellStyle name="40% - Accent2 4 3 2 6" xfId="6584" xr:uid="{00000000-0005-0000-0000-0000B2190000}"/>
    <cellStyle name="40% - Accent2 4 3 2 6 2" xfId="6585" xr:uid="{00000000-0005-0000-0000-0000B3190000}"/>
    <cellStyle name="40% - Accent2 4 3 2 7" xfId="6586" xr:uid="{00000000-0005-0000-0000-0000B4190000}"/>
    <cellStyle name="40% - Accent2 4 3 2 7 2" xfId="6587" xr:uid="{00000000-0005-0000-0000-0000B5190000}"/>
    <cellStyle name="40% - Accent2 4 3 2 8" xfId="6588" xr:uid="{00000000-0005-0000-0000-0000B6190000}"/>
    <cellStyle name="40% - Accent2 4 3 3" xfId="6589" xr:uid="{00000000-0005-0000-0000-0000B7190000}"/>
    <cellStyle name="40% - Accent2 4 3 3 2" xfId="6590" xr:uid="{00000000-0005-0000-0000-0000B8190000}"/>
    <cellStyle name="40% - Accent2 4 3 3 2 2" xfId="6591" xr:uid="{00000000-0005-0000-0000-0000B9190000}"/>
    <cellStyle name="40% - Accent2 4 3 3 2 2 2" xfId="6592" xr:uid="{00000000-0005-0000-0000-0000BA190000}"/>
    <cellStyle name="40% - Accent2 4 3 3 2 2 2 2" xfId="6593" xr:uid="{00000000-0005-0000-0000-0000BB190000}"/>
    <cellStyle name="40% - Accent2 4 3 3 2 2 3" xfId="6594" xr:uid="{00000000-0005-0000-0000-0000BC190000}"/>
    <cellStyle name="40% - Accent2 4 3 3 2 2 3 2" xfId="6595" xr:uid="{00000000-0005-0000-0000-0000BD190000}"/>
    <cellStyle name="40% - Accent2 4 3 3 2 2 4" xfId="6596" xr:uid="{00000000-0005-0000-0000-0000BE190000}"/>
    <cellStyle name="40% - Accent2 4 3 3 2 3" xfId="6597" xr:uid="{00000000-0005-0000-0000-0000BF190000}"/>
    <cellStyle name="40% - Accent2 4 3 3 2 3 2" xfId="6598" xr:uid="{00000000-0005-0000-0000-0000C0190000}"/>
    <cellStyle name="40% - Accent2 4 3 3 2 4" xfId="6599" xr:uid="{00000000-0005-0000-0000-0000C1190000}"/>
    <cellStyle name="40% - Accent2 4 3 3 2 4 2" xfId="6600" xr:uid="{00000000-0005-0000-0000-0000C2190000}"/>
    <cellStyle name="40% - Accent2 4 3 3 2 5" xfId="6601" xr:uid="{00000000-0005-0000-0000-0000C3190000}"/>
    <cellStyle name="40% - Accent2 4 3 3 2 5 2" xfId="6602" xr:uid="{00000000-0005-0000-0000-0000C4190000}"/>
    <cellStyle name="40% - Accent2 4 3 3 2 6" xfId="6603" xr:uid="{00000000-0005-0000-0000-0000C5190000}"/>
    <cellStyle name="40% - Accent2 4 3 3 2 6 2" xfId="6604" xr:uid="{00000000-0005-0000-0000-0000C6190000}"/>
    <cellStyle name="40% - Accent2 4 3 3 2 7" xfId="6605" xr:uid="{00000000-0005-0000-0000-0000C7190000}"/>
    <cellStyle name="40% - Accent2 4 3 3 3" xfId="6606" xr:uid="{00000000-0005-0000-0000-0000C8190000}"/>
    <cellStyle name="40% - Accent2 4 3 3 3 2" xfId="6607" xr:uid="{00000000-0005-0000-0000-0000C9190000}"/>
    <cellStyle name="40% - Accent2 4 3 3 3 2 2" xfId="6608" xr:uid="{00000000-0005-0000-0000-0000CA190000}"/>
    <cellStyle name="40% - Accent2 4 3 3 3 3" xfId="6609" xr:uid="{00000000-0005-0000-0000-0000CB190000}"/>
    <cellStyle name="40% - Accent2 4 3 3 3 3 2" xfId="6610" xr:uid="{00000000-0005-0000-0000-0000CC190000}"/>
    <cellStyle name="40% - Accent2 4 3 3 3 4" xfId="6611" xr:uid="{00000000-0005-0000-0000-0000CD190000}"/>
    <cellStyle name="40% - Accent2 4 3 3 3 4 2" xfId="6612" xr:uid="{00000000-0005-0000-0000-0000CE190000}"/>
    <cellStyle name="40% - Accent2 4 3 3 3 5" xfId="6613" xr:uid="{00000000-0005-0000-0000-0000CF190000}"/>
    <cellStyle name="40% - Accent2 4 3 3 3 5 2" xfId="6614" xr:uid="{00000000-0005-0000-0000-0000D0190000}"/>
    <cellStyle name="40% - Accent2 4 3 3 3 6" xfId="6615" xr:uid="{00000000-0005-0000-0000-0000D1190000}"/>
    <cellStyle name="40% - Accent2 4 3 3 4" xfId="6616" xr:uid="{00000000-0005-0000-0000-0000D2190000}"/>
    <cellStyle name="40% - Accent2 4 3 3 4 2" xfId="6617" xr:uid="{00000000-0005-0000-0000-0000D3190000}"/>
    <cellStyle name="40% - Accent2 4 3 3 4 2 2" xfId="6618" xr:uid="{00000000-0005-0000-0000-0000D4190000}"/>
    <cellStyle name="40% - Accent2 4 3 3 4 3" xfId="6619" xr:uid="{00000000-0005-0000-0000-0000D5190000}"/>
    <cellStyle name="40% - Accent2 4 3 3 5" xfId="6620" xr:uid="{00000000-0005-0000-0000-0000D6190000}"/>
    <cellStyle name="40% - Accent2 4 3 3 5 2" xfId="6621" xr:uid="{00000000-0005-0000-0000-0000D7190000}"/>
    <cellStyle name="40% - Accent2 4 3 3 6" xfId="6622" xr:uid="{00000000-0005-0000-0000-0000D8190000}"/>
    <cellStyle name="40% - Accent2 4 3 3 6 2" xfId="6623" xr:uid="{00000000-0005-0000-0000-0000D9190000}"/>
    <cellStyle name="40% - Accent2 4 3 3 7" xfId="6624" xr:uid="{00000000-0005-0000-0000-0000DA190000}"/>
    <cellStyle name="40% - Accent2 4 3 3 7 2" xfId="6625" xr:uid="{00000000-0005-0000-0000-0000DB190000}"/>
    <cellStyle name="40% - Accent2 4 3 3 8" xfId="6626" xr:uid="{00000000-0005-0000-0000-0000DC190000}"/>
    <cellStyle name="40% - Accent2 4 3 4" xfId="6627" xr:uid="{00000000-0005-0000-0000-0000DD190000}"/>
    <cellStyle name="40% - Accent2 4 3 4 2" xfId="6628" xr:uid="{00000000-0005-0000-0000-0000DE190000}"/>
    <cellStyle name="40% - Accent2 4 3 4 2 2" xfId="6629" xr:uid="{00000000-0005-0000-0000-0000DF190000}"/>
    <cellStyle name="40% - Accent2 4 3 4 2 2 2" xfId="6630" xr:uid="{00000000-0005-0000-0000-0000E0190000}"/>
    <cellStyle name="40% - Accent2 4 3 4 2 3" xfId="6631" xr:uid="{00000000-0005-0000-0000-0000E1190000}"/>
    <cellStyle name="40% - Accent2 4 3 4 2 3 2" xfId="6632" xr:uid="{00000000-0005-0000-0000-0000E2190000}"/>
    <cellStyle name="40% - Accent2 4 3 4 2 4" xfId="6633" xr:uid="{00000000-0005-0000-0000-0000E3190000}"/>
    <cellStyle name="40% - Accent2 4 3 4 3" xfId="6634" xr:uid="{00000000-0005-0000-0000-0000E4190000}"/>
    <cellStyle name="40% - Accent2 4 3 4 3 2" xfId="6635" xr:uid="{00000000-0005-0000-0000-0000E5190000}"/>
    <cellStyle name="40% - Accent2 4 3 4 4" xfId="6636" xr:uid="{00000000-0005-0000-0000-0000E6190000}"/>
    <cellStyle name="40% - Accent2 4 3 4 4 2" xfId="6637" xr:uid="{00000000-0005-0000-0000-0000E7190000}"/>
    <cellStyle name="40% - Accent2 4 3 4 5" xfId="6638" xr:uid="{00000000-0005-0000-0000-0000E8190000}"/>
    <cellStyle name="40% - Accent2 4 3 4 5 2" xfId="6639" xr:uid="{00000000-0005-0000-0000-0000E9190000}"/>
    <cellStyle name="40% - Accent2 4 3 4 6" xfId="6640" xr:uid="{00000000-0005-0000-0000-0000EA190000}"/>
    <cellStyle name="40% - Accent2 4 3 4 6 2" xfId="6641" xr:uid="{00000000-0005-0000-0000-0000EB190000}"/>
    <cellStyle name="40% - Accent2 4 3 4 7" xfId="6642" xr:uid="{00000000-0005-0000-0000-0000EC190000}"/>
    <cellStyle name="40% - Accent2 4 3 5" xfId="6643" xr:uid="{00000000-0005-0000-0000-0000ED190000}"/>
    <cellStyle name="40% - Accent2 4 3 5 2" xfId="6644" xr:uid="{00000000-0005-0000-0000-0000EE190000}"/>
    <cellStyle name="40% - Accent2 4 3 5 2 2" xfId="6645" xr:uid="{00000000-0005-0000-0000-0000EF190000}"/>
    <cellStyle name="40% - Accent2 4 3 5 3" xfId="6646" xr:uid="{00000000-0005-0000-0000-0000F0190000}"/>
    <cellStyle name="40% - Accent2 4 3 5 3 2" xfId="6647" xr:uid="{00000000-0005-0000-0000-0000F1190000}"/>
    <cellStyle name="40% - Accent2 4 3 5 4" xfId="6648" xr:uid="{00000000-0005-0000-0000-0000F2190000}"/>
    <cellStyle name="40% - Accent2 4 3 5 4 2" xfId="6649" xr:uid="{00000000-0005-0000-0000-0000F3190000}"/>
    <cellStyle name="40% - Accent2 4 3 5 5" xfId="6650" xr:uid="{00000000-0005-0000-0000-0000F4190000}"/>
    <cellStyle name="40% - Accent2 4 3 5 5 2" xfId="6651" xr:uid="{00000000-0005-0000-0000-0000F5190000}"/>
    <cellStyle name="40% - Accent2 4 3 5 6" xfId="6652" xr:uid="{00000000-0005-0000-0000-0000F6190000}"/>
    <cellStyle name="40% - Accent2 4 3 6" xfId="6653" xr:uid="{00000000-0005-0000-0000-0000F7190000}"/>
    <cellStyle name="40% - Accent2 4 3 6 2" xfId="6654" xr:uid="{00000000-0005-0000-0000-0000F8190000}"/>
    <cellStyle name="40% - Accent2 4 3 6 2 2" xfId="6655" xr:uid="{00000000-0005-0000-0000-0000F9190000}"/>
    <cellStyle name="40% - Accent2 4 3 6 3" xfId="6656" xr:uid="{00000000-0005-0000-0000-0000FA190000}"/>
    <cellStyle name="40% - Accent2 4 3 7" xfId="6657" xr:uid="{00000000-0005-0000-0000-0000FB190000}"/>
    <cellStyle name="40% - Accent2 4 3 7 2" xfId="6658" xr:uid="{00000000-0005-0000-0000-0000FC190000}"/>
    <cellStyle name="40% - Accent2 4 3 8" xfId="6659" xr:uid="{00000000-0005-0000-0000-0000FD190000}"/>
    <cellStyle name="40% - Accent2 4 3 8 2" xfId="6660" xr:uid="{00000000-0005-0000-0000-0000FE190000}"/>
    <cellStyle name="40% - Accent2 4 3 9" xfId="6661" xr:uid="{00000000-0005-0000-0000-0000FF190000}"/>
    <cellStyle name="40% - Accent2 4 3 9 2" xfId="6662" xr:uid="{00000000-0005-0000-0000-0000001A0000}"/>
    <cellStyle name="40% - Accent2 4 4" xfId="6663" xr:uid="{00000000-0005-0000-0000-0000011A0000}"/>
    <cellStyle name="40% - Accent2 4 4 2" xfId="6664" xr:uid="{00000000-0005-0000-0000-0000021A0000}"/>
    <cellStyle name="40% - Accent2 4 4 2 2" xfId="6665" xr:uid="{00000000-0005-0000-0000-0000031A0000}"/>
    <cellStyle name="40% - Accent2 4 4 2 2 2" xfId="6666" xr:uid="{00000000-0005-0000-0000-0000041A0000}"/>
    <cellStyle name="40% - Accent2 4 4 2 2 2 2" xfId="6667" xr:uid="{00000000-0005-0000-0000-0000051A0000}"/>
    <cellStyle name="40% - Accent2 4 4 2 2 3" xfId="6668" xr:uid="{00000000-0005-0000-0000-0000061A0000}"/>
    <cellStyle name="40% - Accent2 4 4 2 2 3 2" xfId="6669" xr:uid="{00000000-0005-0000-0000-0000071A0000}"/>
    <cellStyle name="40% - Accent2 4 4 2 2 4" xfId="6670" xr:uid="{00000000-0005-0000-0000-0000081A0000}"/>
    <cellStyle name="40% - Accent2 4 4 2 3" xfId="6671" xr:uid="{00000000-0005-0000-0000-0000091A0000}"/>
    <cellStyle name="40% - Accent2 4 4 2 3 2" xfId="6672" xr:uid="{00000000-0005-0000-0000-00000A1A0000}"/>
    <cellStyle name="40% - Accent2 4 4 2 4" xfId="6673" xr:uid="{00000000-0005-0000-0000-00000B1A0000}"/>
    <cellStyle name="40% - Accent2 4 4 2 4 2" xfId="6674" xr:uid="{00000000-0005-0000-0000-00000C1A0000}"/>
    <cellStyle name="40% - Accent2 4 4 2 5" xfId="6675" xr:uid="{00000000-0005-0000-0000-00000D1A0000}"/>
    <cellStyle name="40% - Accent2 4 4 2 5 2" xfId="6676" xr:uid="{00000000-0005-0000-0000-00000E1A0000}"/>
    <cellStyle name="40% - Accent2 4 4 2 6" xfId="6677" xr:uid="{00000000-0005-0000-0000-00000F1A0000}"/>
    <cellStyle name="40% - Accent2 4 4 2 6 2" xfId="6678" xr:uid="{00000000-0005-0000-0000-0000101A0000}"/>
    <cellStyle name="40% - Accent2 4 4 2 7" xfId="6679" xr:uid="{00000000-0005-0000-0000-0000111A0000}"/>
    <cellStyle name="40% - Accent2 4 4 3" xfId="6680" xr:uid="{00000000-0005-0000-0000-0000121A0000}"/>
    <cellStyle name="40% - Accent2 4 4 3 2" xfId="6681" xr:uid="{00000000-0005-0000-0000-0000131A0000}"/>
    <cellStyle name="40% - Accent2 4 4 3 2 2" xfId="6682" xr:uid="{00000000-0005-0000-0000-0000141A0000}"/>
    <cellStyle name="40% - Accent2 4 4 3 3" xfId="6683" xr:uid="{00000000-0005-0000-0000-0000151A0000}"/>
    <cellStyle name="40% - Accent2 4 4 3 3 2" xfId="6684" xr:uid="{00000000-0005-0000-0000-0000161A0000}"/>
    <cellStyle name="40% - Accent2 4 4 3 4" xfId="6685" xr:uid="{00000000-0005-0000-0000-0000171A0000}"/>
    <cellStyle name="40% - Accent2 4 4 3 4 2" xfId="6686" xr:uid="{00000000-0005-0000-0000-0000181A0000}"/>
    <cellStyle name="40% - Accent2 4 4 3 5" xfId="6687" xr:uid="{00000000-0005-0000-0000-0000191A0000}"/>
    <cellStyle name="40% - Accent2 4 4 3 5 2" xfId="6688" xr:uid="{00000000-0005-0000-0000-00001A1A0000}"/>
    <cellStyle name="40% - Accent2 4 4 3 6" xfId="6689" xr:uid="{00000000-0005-0000-0000-00001B1A0000}"/>
    <cellStyle name="40% - Accent2 4 4 4" xfId="6690" xr:uid="{00000000-0005-0000-0000-00001C1A0000}"/>
    <cellStyle name="40% - Accent2 4 4 4 2" xfId="6691" xr:uid="{00000000-0005-0000-0000-00001D1A0000}"/>
    <cellStyle name="40% - Accent2 4 4 4 2 2" xfId="6692" xr:uid="{00000000-0005-0000-0000-00001E1A0000}"/>
    <cellStyle name="40% - Accent2 4 4 4 3" xfId="6693" xr:uid="{00000000-0005-0000-0000-00001F1A0000}"/>
    <cellStyle name="40% - Accent2 4 4 5" xfId="6694" xr:uid="{00000000-0005-0000-0000-0000201A0000}"/>
    <cellStyle name="40% - Accent2 4 4 5 2" xfId="6695" xr:uid="{00000000-0005-0000-0000-0000211A0000}"/>
    <cellStyle name="40% - Accent2 4 4 6" xfId="6696" xr:uid="{00000000-0005-0000-0000-0000221A0000}"/>
    <cellStyle name="40% - Accent2 4 4 6 2" xfId="6697" xr:uid="{00000000-0005-0000-0000-0000231A0000}"/>
    <cellStyle name="40% - Accent2 4 4 7" xfId="6698" xr:uid="{00000000-0005-0000-0000-0000241A0000}"/>
    <cellStyle name="40% - Accent2 4 4 7 2" xfId="6699" xr:uid="{00000000-0005-0000-0000-0000251A0000}"/>
    <cellStyle name="40% - Accent2 4 4 8" xfId="6700" xr:uid="{00000000-0005-0000-0000-0000261A0000}"/>
    <cellStyle name="40% - Accent2 4 5" xfId="6701" xr:uid="{00000000-0005-0000-0000-0000271A0000}"/>
    <cellStyle name="40% - Accent2 4 5 2" xfId="6702" xr:uid="{00000000-0005-0000-0000-0000281A0000}"/>
    <cellStyle name="40% - Accent2 4 5 2 2" xfId="6703" xr:uid="{00000000-0005-0000-0000-0000291A0000}"/>
    <cellStyle name="40% - Accent2 4 5 2 2 2" xfId="6704" xr:uid="{00000000-0005-0000-0000-00002A1A0000}"/>
    <cellStyle name="40% - Accent2 4 5 2 2 2 2" xfId="6705" xr:uid="{00000000-0005-0000-0000-00002B1A0000}"/>
    <cellStyle name="40% - Accent2 4 5 2 2 3" xfId="6706" xr:uid="{00000000-0005-0000-0000-00002C1A0000}"/>
    <cellStyle name="40% - Accent2 4 5 2 2 3 2" xfId="6707" xr:uid="{00000000-0005-0000-0000-00002D1A0000}"/>
    <cellStyle name="40% - Accent2 4 5 2 2 4" xfId="6708" xr:uid="{00000000-0005-0000-0000-00002E1A0000}"/>
    <cellStyle name="40% - Accent2 4 5 2 3" xfId="6709" xr:uid="{00000000-0005-0000-0000-00002F1A0000}"/>
    <cellStyle name="40% - Accent2 4 5 2 3 2" xfId="6710" xr:uid="{00000000-0005-0000-0000-0000301A0000}"/>
    <cellStyle name="40% - Accent2 4 5 2 4" xfId="6711" xr:uid="{00000000-0005-0000-0000-0000311A0000}"/>
    <cellStyle name="40% - Accent2 4 5 2 4 2" xfId="6712" xr:uid="{00000000-0005-0000-0000-0000321A0000}"/>
    <cellStyle name="40% - Accent2 4 5 2 5" xfId="6713" xr:uid="{00000000-0005-0000-0000-0000331A0000}"/>
    <cellStyle name="40% - Accent2 4 5 2 5 2" xfId="6714" xr:uid="{00000000-0005-0000-0000-0000341A0000}"/>
    <cellStyle name="40% - Accent2 4 5 2 6" xfId="6715" xr:uid="{00000000-0005-0000-0000-0000351A0000}"/>
    <cellStyle name="40% - Accent2 4 5 2 6 2" xfId="6716" xr:uid="{00000000-0005-0000-0000-0000361A0000}"/>
    <cellStyle name="40% - Accent2 4 5 2 7" xfId="6717" xr:uid="{00000000-0005-0000-0000-0000371A0000}"/>
    <cellStyle name="40% - Accent2 4 5 3" xfId="6718" xr:uid="{00000000-0005-0000-0000-0000381A0000}"/>
    <cellStyle name="40% - Accent2 4 5 3 2" xfId="6719" xr:uid="{00000000-0005-0000-0000-0000391A0000}"/>
    <cellStyle name="40% - Accent2 4 5 3 2 2" xfId="6720" xr:uid="{00000000-0005-0000-0000-00003A1A0000}"/>
    <cellStyle name="40% - Accent2 4 5 3 3" xfId="6721" xr:uid="{00000000-0005-0000-0000-00003B1A0000}"/>
    <cellStyle name="40% - Accent2 4 5 3 3 2" xfId="6722" xr:uid="{00000000-0005-0000-0000-00003C1A0000}"/>
    <cellStyle name="40% - Accent2 4 5 3 4" xfId="6723" xr:uid="{00000000-0005-0000-0000-00003D1A0000}"/>
    <cellStyle name="40% - Accent2 4 5 3 4 2" xfId="6724" xr:uid="{00000000-0005-0000-0000-00003E1A0000}"/>
    <cellStyle name="40% - Accent2 4 5 3 5" xfId="6725" xr:uid="{00000000-0005-0000-0000-00003F1A0000}"/>
    <cellStyle name="40% - Accent2 4 5 3 5 2" xfId="6726" xr:uid="{00000000-0005-0000-0000-0000401A0000}"/>
    <cellStyle name="40% - Accent2 4 5 3 6" xfId="6727" xr:uid="{00000000-0005-0000-0000-0000411A0000}"/>
    <cellStyle name="40% - Accent2 4 5 4" xfId="6728" xr:uid="{00000000-0005-0000-0000-0000421A0000}"/>
    <cellStyle name="40% - Accent2 4 5 4 2" xfId="6729" xr:uid="{00000000-0005-0000-0000-0000431A0000}"/>
    <cellStyle name="40% - Accent2 4 5 4 2 2" xfId="6730" xr:uid="{00000000-0005-0000-0000-0000441A0000}"/>
    <cellStyle name="40% - Accent2 4 5 4 3" xfId="6731" xr:uid="{00000000-0005-0000-0000-0000451A0000}"/>
    <cellStyle name="40% - Accent2 4 5 5" xfId="6732" xr:uid="{00000000-0005-0000-0000-0000461A0000}"/>
    <cellStyle name="40% - Accent2 4 5 5 2" xfId="6733" xr:uid="{00000000-0005-0000-0000-0000471A0000}"/>
    <cellStyle name="40% - Accent2 4 5 6" xfId="6734" xr:uid="{00000000-0005-0000-0000-0000481A0000}"/>
    <cellStyle name="40% - Accent2 4 5 6 2" xfId="6735" xr:uid="{00000000-0005-0000-0000-0000491A0000}"/>
    <cellStyle name="40% - Accent2 4 5 7" xfId="6736" xr:uid="{00000000-0005-0000-0000-00004A1A0000}"/>
    <cellStyle name="40% - Accent2 4 5 7 2" xfId="6737" xr:uid="{00000000-0005-0000-0000-00004B1A0000}"/>
    <cellStyle name="40% - Accent2 4 5 8" xfId="6738" xr:uid="{00000000-0005-0000-0000-00004C1A0000}"/>
    <cellStyle name="40% - Accent2 4 6" xfId="6739" xr:uid="{00000000-0005-0000-0000-00004D1A0000}"/>
    <cellStyle name="40% - Accent2 4 6 2" xfId="6740" xr:uid="{00000000-0005-0000-0000-00004E1A0000}"/>
    <cellStyle name="40% - Accent2 4 6 2 2" xfId="6741" xr:uid="{00000000-0005-0000-0000-00004F1A0000}"/>
    <cellStyle name="40% - Accent2 4 6 2 2 2" xfId="6742" xr:uid="{00000000-0005-0000-0000-0000501A0000}"/>
    <cellStyle name="40% - Accent2 4 6 2 3" xfId="6743" xr:uid="{00000000-0005-0000-0000-0000511A0000}"/>
    <cellStyle name="40% - Accent2 4 6 2 3 2" xfId="6744" xr:uid="{00000000-0005-0000-0000-0000521A0000}"/>
    <cellStyle name="40% - Accent2 4 6 2 4" xfId="6745" xr:uid="{00000000-0005-0000-0000-0000531A0000}"/>
    <cellStyle name="40% - Accent2 4 6 3" xfId="6746" xr:uid="{00000000-0005-0000-0000-0000541A0000}"/>
    <cellStyle name="40% - Accent2 4 6 3 2" xfId="6747" xr:uid="{00000000-0005-0000-0000-0000551A0000}"/>
    <cellStyle name="40% - Accent2 4 6 4" xfId="6748" xr:uid="{00000000-0005-0000-0000-0000561A0000}"/>
    <cellStyle name="40% - Accent2 4 6 4 2" xfId="6749" xr:uid="{00000000-0005-0000-0000-0000571A0000}"/>
    <cellStyle name="40% - Accent2 4 6 5" xfId="6750" xr:uid="{00000000-0005-0000-0000-0000581A0000}"/>
    <cellStyle name="40% - Accent2 4 6 5 2" xfId="6751" xr:uid="{00000000-0005-0000-0000-0000591A0000}"/>
    <cellStyle name="40% - Accent2 4 6 6" xfId="6752" xr:uid="{00000000-0005-0000-0000-00005A1A0000}"/>
    <cellStyle name="40% - Accent2 4 6 6 2" xfId="6753" xr:uid="{00000000-0005-0000-0000-00005B1A0000}"/>
    <cellStyle name="40% - Accent2 4 6 7" xfId="6754" xr:uid="{00000000-0005-0000-0000-00005C1A0000}"/>
    <cellStyle name="40% - Accent2 4 7" xfId="6755" xr:uid="{00000000-0005-0000-0000-00005D1A0000}"/>
    <cellStyle name="40% - Accent2 4 7 2" xfId="6756" xr:uid="{00000000-0005-0000-0000-00005E1A0000}"/>
    <cellStyle name="40% - Accent2 4 7 2 2" xfId="6757" xr:uid="{00000000-0005-0000-0000-00005F1A0000}"/>
    <cellStyle name="40% - Accent2 4 7 3" xfId="6758" xr:uid="{00000000-0005-0000-0000-0000601A0000}"/>
    <cellStyle name="40% - Accent2 4 7 3 2" xfId="6759" xr:uid="{00000000-0005-0000-0000-0000611A0000}"/>
    <cellStyle name="40% - Accent2 4 7 4" xfId="6760" xr:uid="{00000000-0005-0000-0000-0000621A0000}"/>
    <cellStyle name="40% - Accent2 4 7 4 2" xfId="6761" xr:uid="{00000000-0005-0000-0000-0000631A0000}"/>
    <cellStyle name="40% - Accent2 4 7 5" xfId="6762" xr:uid="{00000000-0005-0000-0000-0000641A0000}"/>
    <cellStyle name="40% - Accent2 4 7 5 2" xfId="6763" xr:uid="{00000000-0005-0000-0000-0000651A0000}"/>
    <cellStyle name="40% - Accent2 4 7 6" xfId="6764" xr:uid="{00000000-0005-0000-0000-0000661A0000}"/>
    <cellStyle name="40% - Accent2 4 8" xfId="6765" xr:uid="{00000000-0005-0000-0000-0000671A0000}"/>
    <cellStyle name="40% - Accent2 4 8 2" xfId="6766" xr:uid="{00000000-0005-0000-0000-0000681A0000}"/>
    <cellStyle name="40% - Accent2 4 8 2 2" xfId="6767" xr:uid="{00000000-0005-0000-0000-0000691A0000}"/>
    <cellStyle name="40% - Accent2 4 8 3" xfId="6768" xr:uid="{00000000-0005-0000-0000-00006A1A0000}"/>
    <cellStyle name="40% - Accent2 4 8 3 2" xfId="6769" xr:uid="{00000000-0005-0000-0000-00006B1A0000}"/>
    <cellStyle name="40% - Accent2 4 8 4" xfId="6770" xr:uid="{00000000-0005-0000-0000-00006C1A0000}"/>
    <cellStyle name="40% - Accent2 4 9" xfId="6771" xr:uid="{00000000-0005-0000-0000-00006D1A0000}"/>
    <cellStyle name="40% - Accent2 4 9 2" xfId="6772" xr:uid="{00000000-0005-0000-0000-00006E1A0000}"/>
    <cellStyle name="40% - Accent2 4 9 2 2" xfId="6773" xr:uid="{00000000-0005-0000-0000-00006F1A0000}"/>
    <cellStyle name="40% - Accent2 4 9 3" xfId="6774" xr:uid="{00000000-0005-0000-0000-0000701A0000}"/>
    <cellStyle name="40% - Accent2 5" xfId="6775" xr:uid="{00000000-0005-0000-0000-0000711A0000}"/>
    <cellStyle name="40% - Accent2 5 2" xfId="6776" xr:uid="{00000000-0005-0000-0000-0000721A0000}"/>
    <cellStyle name="40% - Accent2 6" xfId="6777" xr:uid="{00000000-0005-0000-0000-0000731A0000}"/>
    <cellStyle name="40% - Accent2 6 10" xfId="6778" xr:uid="{00000000-0005-0000-0000-0000741A0000}"/>
    <cellStyle name="40% - Accent2 6 10 2" xfId="6779" xr:uid="{00000000-0005-0000-0000-0000751A0000}"/>
    <cellStyle name="40% - Accent2 6 11" xfId="6780" xr:uid="{00000000-0005-0000-0000-0000761A0000}"/>
    <cellStyle name="40% - Accent2 6 2" xfId="6781" xr:uid="{00000000-0005-0000-0000-0000771A0000}"/>
    <cellStyle name="40% - Accent2 6 2 10" xfId="6782" xr:uid="{00000000-0005-0000-0000-0000781A0000}"/>
    <cellStyle name="40% - Accent2 6 2 2" xfId="6783" xr:uid="{00000000-0005-0000-0000-0000791A0000}"/>
    <cellStyle name="40% - Accent2 6 2 2 2" xfId="6784" xr:uid="{00000000-0005-0000-0000-00007A1A0000}"/>
    <cellStyle name="40% - Accent2 6 2 2 2 2" xfId="6785" xr:uid="{00000000-0005-0000-0000-00007B1A0000}"/>
    <cellStyle name="40% - Accent2 6 2 2 2 2 2" xfId="6786" xr:uid="{00000000-0005-0000-0000-00007C1A0000}"/>
    <cellStyle name="40% - Accent2 6 2 2 2 2 2 2" xfId="6787" xr:uid="{00000000-0005-0000-0000-00007D1A0000}"/>
    <cellStyle name="40% - Accent2 6 2 2 2 2 3" xfId="6788" xr:uid="{00000000-0005-0000-0000-00007E1A0000}"/>
    <cellStyle name="40% - Accent2 6 2 2 2 2 3 2" xfId="6789" xr:uid="{00000000-0005-0000-0000-00007F1A0000}"/>
    <cellStyle name="40% - Accent2 6 2 2 2 2 4" xfId="6790" xr:uid="{00000000-0005-0000-0000-0000801A0000}"/>
    <cellStyle name="40% - Accent2 6 2 2 2 3" xfId="6791" xr:uid="{00000000-0005-0000-0000-0000811A0000}"/>
    <cellStyle name="40% - Accent2 6 2 2 2 3 2" xfId="6792" xr:uid="{00000000-0005-0000-0000-0000821A0000}"/>
    <cellStyle name="40% - Accent2 6 2 2 2 4" xfId="6793" xr:uid="{00000000-0005-0000-0000-0000831A0000}"/>
    <cellStyle name="40% - Accent2 6 2 2 2 4 2" xfId="6794" xr:uid="{00000000-0005-0000-0000-0000841A0000}"/>
    <cellStyle name="40% - Accent2 6 2 2 2 5" xfId="6795" xr:uid="{00000000-0005-0000-0000-0000851A0000}"/>
    <cellStyle name="40% - Accent2 6 2 2 2 5 2" xfId="6796" xr:uid="{00000000-0005-0000-0000-0000861A0000}"/>
    <cellStyle name="40% - Accent2 6 2 2 2 6" xfId="6797" xr:uid="{00000000-0005-0000-0000-0000871A0000}"/>
    <cellStyle name="40% - Accent2 6 2 2 2 6 2" xfId="6798" xr:uid="{00000000-0005-0000-0000-0000881A0000}"/>
    <cellStyle name="40% - Accent2 6 2 2 2 7" xfId="6799" xr:uid="{00000000-0005-0000-0000-0000891A0000}"/>
    <cellStyle name="40% - Accent2 6 2 2 3" xfId="6800" xr:uid="{00000000-0005-0000-0000-00008A1A0000}"/>
    <cellStyle name="40% - Accent2 6 2 2 3 2" xfId="6801" xr:uid="{00000000-0005-0000-0000-00008B1A0000}"/>
    <cellStyle name="40% - Accent2 6 2 2 3 2 2" xfId="6802" xr:uid="{00000000-0005-0000-0000-00008C1A0000}"/>
    <cellStyle name="40% - Accent2 6 2 2 3 3" xfId="6803" xr:uid="{00000000-0005-0000-0000-00008D1A0000}"/>
    <cellStyle name="40% - Accent2 6 2 2 3 3 2" xfId="6804" xr:uid="{00000000-0005-0000-0000-00008E1A0000}"/>
    <cellStyle name="40% - Accent2 6 2 2 3 4" xfId="6805" xr:uid="{00000000-0005-0000-0000-00008F1A0000}"/>
    <cellStyle name="40% - Accent2 6 2 2 3 4 2" xfId="6806" xr:uid="{00000000-0005-0000-0000-0000901A0000}"/>
    <cellStyle name="40% - Accent2 6 2 2 3 5" xfId="6807" xr:uid="{00000000-0005-0000-0000-0000911A0000}"/>
    <cellStyle name="40% - Accent2 6 2 2 3 5 2" xfId="6808" xr:uid="{00000000-0005-0000-0000-0000921A0000}"/>
    <cellStyle name="40% - Accent2 6 2 2 3 6" xfId="6809" xr:uid="{00000000-0005-0000-0000-0000931A0000}"/>
    <cellStyle name="40% - Accent2 6 2 2 4" xfId="6810" xr:uid="{00000000-0005-0000-0000-0000941A0000}"/>
    <cellStyle name="40% - Accent2 6 2 2 4 2" xfId="6811" xr:uid="{00000000-0005-0000-0000-0000951A0000}"/>
    <cellStyle name="40% - Accent2 6 2 2 4 2 2" xfId="6812" xr:uid="{00000000-0005-0000-0000-0000961A0000}"/>
    <cellStyle name="40% - Accent2 6 2 2 4 3" xfId="6813" xr:uid="{00000000-0005-0000-0000-0000971A0000}"/>
    <cellStyle name="40% - Accent2 6 2 2 5" xfId="6814" xr:uid="{00000000-0005-0000-0000-0000981A0000}"/>
    <cellStyle name="40% - Accent2 6 2 2 5 2" xfId="6815" xr:uid="{00000000-0005-0000-0000-0000991A0000}"/>
    <cellStyle name="40% - Accent2 6 2 2 6" xfId="6816" xr:uid="{00000000-0005-0000-0000-00009A1A0000}"/>
    <cellStyle name="40% - Accent2 6 2 2 6 2" xfId="6817" xr:uid="{00000000-0005-0000-0000-00009B1A0000}"/>
    <cellStyle name="40% - Accent2 6 2 2 7" xfId="6818" xr:uid="{00000000-0005-0000-0000-00009C1A0000}"/>
    <cellStyle name="40% - Accent2 6 2 2 7 2" xfId="6819" xr:uid="{00000000-0005-0000-0000-00009D1A0000}"/>
    <cellStyle name="40% - Accent2 6 2 2 8" xfId="6820" xr:uid="{00000000-0005-0000-0000-00009E1A0000}"/>
    <cellStyle name="40% - Accent2 6 2 3" xfId="6821" xr:uid="{00000000-0005-0000-0000-00009F1A0000}"/>
    <cellStyle name="40% - Accent2 6 2 3 2" xfId="6822" xr:uid="{00000000-0005-0000-0000-0000A01A0000}"/>
    <cellStyle name="40% - Accent2 6 2 3 2 2" xfId="6823" xr:uid="{00000000-0005-0000-0000-0000A11A0000}"/>
    <cellStyle name="40% - Accent2 6 2 3 2 2 2" xfId="6824" xr:uid="{00000000-0005-0000-0000-0000A21A0000}"/>
    <cellStyle name="40% - Accent2 6 2 3 2 2 2 2" xfId="6825" xr:uid="{00000000-0005-0000-0000-0000A31A0000}"/>
    <cellStyle name="40% - Accent2 6 2 3 2 2 3" xfId="6826" xr:uid="{00000000-0005-0000-0000-0000A41A0000}"/>
    <cellStyle name="40% - Accent2 6 2 3 2 2 3 2" xfId="6827" xr:uid="{00000000-0005-0000-0000-0000A51A0000}"/>
    <cellStyle name="40% - Accent2 6 2 3 2 2 4" xfId="6828" xr:uid="{00000000-0005-0000-0000-0000A61A0000}"/>
    <cellStyle name="40% - Accent2 6 2 3 2 3" xfId="6829" xr:uid="{00000000-0005-0000-0000-0000A71A0000}"/>
    <cellStyle name="40% - Accent2 6 2 3 2 3 2" xfId="6830" xr:uid="{00000000-0005-0000-0000-0000A81A0000}"/>
    <cellStyle name="40% - Accent2 6 2 3 2 4" xfId="6831" xr:uid="{00000000-0005-0000-0000-0000A91A0000}"/>
    <cellStyle name="40% - Accent2 6 2 3 2 4 2" xfId="6832" xr:uid="{00000000-0005-0000-0000-0000AA1A0000}"/>
    <cellStyle name="40% - Accent2 6 2 3 2 5" xfId="6833" xr:uid="{00000000-0005-0000-0000-0000AB1A0000}"/>
    <cellStyle name="40% - Accent2 6 2 3 2 5 2" xfId="6834" xr:uid="{00000000-0005-0000-0000-0000AC1A0000}"/>
    <cellStyle name="40% - Accent2 6 2 3 2 6" xfId="6835" xr:uid="{00000000-0005-0000-0000-0000AD1A0000}"/>
    <cellStyle name="40% - Accent2 6 2 3 2 6 2" xfId="6836" xr:uid="{00000000-0005-0000-0000-0000AE1A0000}"/>
    <cellStyle name="40% - Accent2 6 2 3 2 7" xfId="6837" xr:uid="{00000000-0005-0000-0000-0000AF1A0000}"/>
    <cellStyle name="40% - Accent2 6 2 3 3" xfId="6838" xr:uid="{00000000-0005-0000-0000-0000B01A0000}"/>
    <cellStyle name="40% - Accent2 6 2 3 3 2" xfId="6839" xr:uid="{00000000-0005-0000-0000-0000B11A0000}"/>
    <cellStyle name="40% - Accent2 6 2 3 3 2 2" xfId="6840" xr:uid="{00000000-0005-0000-0000-0000B21A0000}"/>
    <cellStyle name="40% - Accent2 6 2 3 3 3" xfId="6841" xr:uid="{00000000-0005-0000-0000-0000B31A0000}"/>
    <cellStyle name="40% - Accent2 6 2 3 3 3 2" xfId="6842" xr:uid="{00000000-0005-0000-0000-0000B41A0000}"/>
    <cellStyle name="40% - Accent2 6 2 3 3 4" xfId="6843" xr:uid="{00000000-0005-0000-0000-0000B51A0000}"/>
    <cellStyle name="40% - Accent2 6 2 3 3 4 2" xfId="6844" xr:uid="{00000000-0005-0000-0000-0000B61A0000}"/>
    <cellStyle name="40% - Accent2 6 2 3 3 5" xfId="6845" xr:uid="{00000000-0005-0000-0000-0000B71A0000}"/>
    <cellStyle name="40% - Accent2 6 2 3 3 5 2" xfId="6846" xr:uid="{00000000-0005-0000-0000-0000B81A0000}"/>
    <cellStyle name="40% - Accent2 6 2 3 3 6" xfId="6847" xr:uid="{00000000-0005-0000-0000-0000B91A0000}"/>
    <cellStyle name="40% - Accent2 6 2 3 4" xfId="6848" xr:uid="{00000000-0005-0000-0000-0000BA1A0000}"/>
    <cellStyle name="40% - Accent2 6 2 3 4 2" xfId="6849" xr:uid="{00000000-0005-0000-0000-0000BB1A0000}"/>
    <cellStyle name="40% - Accent2 6 2 3 4 2 2" xfId="6850" xr:uid="{00000000-0005-0000-0000-0000BC1A0000}"/>
    <cellStyle name="40% - Accent2 6 2 3 4 3" xfId="6851" xr:uid="{00000000-0005-0000-0000-0000BD1A0000}"/>
    <cellStyle name="40% - Accent2 6 2 3 5" xfId="6852" xr:uid="{00000000-0005-0000-0000-0000BE1A0000}"/>
    <cellStyle name="40% - Accent2 6 2 3 5 2" xfId="6853" xr:uid="{00000000-0005-0000-0000-0000BF1A0000}"/>
    <cellStyle name="40% - Accent2 6 2 3 6" xfId="6854" xr:uid="{00000000-0005-0000-0000-0000C01A0000}"/>
    <cellStyle name="40% - Accent2 6 2 3 6 2" xfId="6855" xr:uid="{00000000-0005-0000-0000-0000C11A0000}"/>
    <cellStyle name="40% - Accent2 6 2 3 7" xfId="6856" xr:uid="{00000000-0005-0000-0000-0000C21A0000}"/>
    <cellStyle name="40% - Accent2 6 2 3 7 2" xfId="6857" xr:uid="{00000000-0005-0000-0000-0000C31A0000}"/>
    <cellStyle name="40% - Accent2 6 2 3 8" xfId="6858" xr:uid="{00000000-0005-0000-0000-0000C41A0000}"/>
    <cellStyle name="40% - Accent2 6 2 4" xfId="6859" xr:uid="{00000000-0005-0000-0000-0000C51A0000}"/>
    <cellStyle name="40% - Accent2 6 2 4 2" xfId="6860" xr:uid="{00000000-0005-0000-0000-0000C61A0000}"/>
    <cellStyle name="40% - Accent2 6 2 4 2 2" xfId="6861" xr:uid="{00000000-0005-0000-0000-0000C71A0000}"/>
    <cellStyle name="40% - Accent2 6 2 4 2 2 2" xfId="6862" xr:uid="{00000000-0005-0000-0000-0000C81A0000}"/>
    <cellStyle name="40% - Accent2 6 2 4 2 3" xfId="6863" xr:uid="{00000000-0005-0000-0000-0000C91A0000}"/>
    <cellStyle name="40% - Accent2 6 2 4 2 3 2" xfId="6864" xr:uid="{00000000-0005-0000-0000-0000CA1A0000}"/>
    <cellStyle name="40% - Accent2 6 2 4 2 4" xfId="6865" xr:uid="{00000000-0005-0000-0000-0000CB1A0000}"/>
    <cellStyle name="40% - Accent2 6 2 4 3" xfId="6866" xr:uid="{00000000-0005-0000-0000-0000CC1A0000}"/>
    <cellStyle name="40% - Accent2 6 2 4 3 2" xfId="6867" xr:uid="{00000000-0005-0000-0000-0000CD1A0000}"/>
    <cellStyle name="40% - Accent2 6 2 4 4" xfId="6868" xr:uid="{00000000-0005-0000-0000-0000CE1A0000}"/>
    <cellStyle name="40% - Accent2 6 2 4 4 2" xfId="6869" xr:uid="{00000000-0005-0000-0000-0000CF1A0000}"/>
    <cellStyle name="40% - Accent2 6 2 4 5" xfId="6870" xr:uid="{00000000-0005-0000-0000-0000D01A0000}"/>
    <cellStyle name="40% - Accent2 6 2 4 5 2" xfId="6871" xr:uid="{00000000-0005-0000-0000-0000D11A0000}"/>
    <cellStyle name="40% - Accent2 6 2 4 6" xfId="6872" xr:uid="{00000000-0005-0000-0000-0000D21A0000}"/>
    <cellStyle name="40% - Accent2 6 2 4 6 2" xfId="6873" xr:uid="{00000000-0005-0000-0000-0000D31A0000}"/>
    <cellStyle name="40% - Accent2 6 2 4 7" xfId="6874" xr:uid="{00000000-0005-0000-0000-0000D41A0000}"/>
    <cellStyle name="40% - Accent2 6 2 5" xfId="6875" xr:uid="{00000000-0005-0000-0000-0000D51A0000}"/>
    <cellStyle name="40% - Accent2 6 2 5 2" xfId="6876" xr:uid="{00000000-0005-0000-0000-0000D61A0000}"/>
    <cellStyle name="40% - Accent2 6 2 5 2 2" xfId="6877" xr:uid="{00000000-0005-0000-0000-0000D71A0000}"/>
    <cellStyle name="40% - Accent2 6 2 5 3" xfId="6878" xr:uid="{00000000-0005-0000-0000-0000D81A0000}"/>
    <cellStyle name="40% - Accent2 6 2 5 3 2" xfId="6879" xr:uid="{00000000-0005-0000-0000-0000D91A0000}"/>
    <cellStyle name="40% - Accent2 6 2 5 4" xfId="6880" xr:uid="{00000000-0005-0000-0000-0000DA1A0000}"/>
    <cellStyle name="40% - Accent2 6 2 5 4 2" xfId="6881" xr:uid="{00000000-0005-0000-0000-0000DB1A0000}"/>
    <cellStyle name="40% - Accent2 6 2 5 5" xfId="6882" xr:uid="{00000000-0005-0000-0000-0000DC1A0000}"/>
    <cellStyle name="40% - Accent2 6 2 5 5 2" xfId="6883" xr:uid="{00000000-0005-0000-0000-0000DD1A0000}"/>
    <cellStyle name="40% - Accent2 6 2 5 6" xfId="6884" xr:uid="{00000000-0005-0000-0000-0000DE1A0000}"/>
    <cellStyle name="40% - Accent2 6 2 6" xfId="6885" xr:uid="{00000000-0005-0000-0000-0000DF1A0000}"/>
    <cellStyle name="40% - Accent2 6 2 6 2" xfId="6886" xr:uid="{00000000-0005-0000-0000-0000E01A0000}"/>
    <cellStyle name="40% - Accent2 6 2 6 2 2" xfId="6887" xr:uid="{00000000-0005-0000-0000-0000E11A0000}"/>
    <cellStyle name="40% - Accent2 6 2 6 3" xfId="6888" xr:uid="{00000000-0005-0000-0000-0000E21A0000}"/>
    <cellStyle name="40% - Accent2 6 2 7" xfId="6889" xr:uid="{00000000-0005-0000-0000-0000E31A0000}"/>
    <cellStyle name="40% - Accent2 6 2 7 2" xfId="6890" xr:uid="{00000000-0005-0000-0000-0000E41A0000}"/>
    <cellStyle name="40% - Accent2 6 2 8" xfId="6891" xr:uid="{00000000-0005-0000-0000-0000E51A0000}"/>
    <cellStyle name="40% - Accent2 6 2 8 2" xfId="6892" xr:uid="{00000000-0005-0000-0000-0000E61A0000}"/>
    <cellStyle name="40% - Accent2 6 2 9" xfId="6893" xr:uid="{00000000-0005-0000-0000-0000E71A0000}"/>
    <cellStyle name="40% - Accent2 6 2 9 2" xfId="6894" xr:uid="{00000000-0005-0000-0000-0000E81A0000}"/>
    <cellStyle name="40% - Accent2 6 3" xfId="6895" xr:uid="{00000000-0005-0000-0000-0000E91A0000}"/>
    <cellStyle name="40% - Accent2 6 3 2" xfId="6896" xr:uid="{00000000-0005-0000-0000-0000EA1A0000}"/>
    <cellStyle name="40% - Accent2 6 3 2 2" xfId="6897" xr:uid="{00000000-0005-0000-0000-0000EB1A0000}"/>
    <cellStyle name="40% - Accent2 6 3 2 2 2" xfId="6898" xr:uid="{00000000-0005-0000-0000-0000EC1A0000}"/>
    <cellStyle name="40% - Accent2 6 3 2 2 2 2" xfId="6899" xr:uid="{00000000-0005-0000-0000-0000ED1A0000}"/>
    <cellStyle name="40% - Accent2 6 3 2 2 3" xfId="6900" xr:uid="{00000000-0005-0000-0000-0000EE1A0000}"/>
    <cellStyle name="40% - Accent2 6 3 2 2 3 2" xfId="6901" xr:uid="{00000000-0005-0000-0000-0000EF1A0000}"/>
    <cellStyle name="40% - Accent2 6 3 2 2 4" xfId="6902" xr:uid="{00000000-0005-0000-0000-0000F01A0000}"/>
    <cellStyle name="40% - Accent2 6 3 2 3" xfId="6903" xr:uid="{00000000-0005-0000-0000-0000F11A0000}"/>
    <cellStyle name="40% - Accent2 6 3 2 3 2" xfId="6904" xr:uid="{00000000-0005-0000-0000-0000F21A0000}"/>
    <cellStyle name="40% - Accent2 6 3 2 4" xfId="6905" xr:uid="{00000000-0005-0000-0000-0000F31A0000}"/>
    <cellStyle name="40% - Accent2 6 3 2 4 2" xfId="6906" xr:uid="{00000000-0005-0000-0000-0000F41A0000}"/>
    <cellStyle name="40% - Accent2 6 3 2 5" xfId="6907" xr:uid="{00000000-0005-0000-0000-0000F51A0000}"/>
    <cellStyle name="40% - Accent2 6 3 2 5 2" xfId="6908" xr:uid="{00000000-0005-0000-0000-0000F61A0000}"/>
    <cellStyle name="40% - Accent2 6 3 2 6" xfId="6909" xr:uid="{00000000-0005-0000-0000-0000F71A0000}"/>
    <cellStyle name="40% - Accent2 6 3 2 6 2" xfId="6910" xr:uid="{00000000-0005-0000-0000-0000F81A0000}"/>
    <cellStyle name="40% - Accent2 6 3 2 7" xfId="6911" xr:uid="{00000000-0005-0000-0000-0000F91A0000}"/>
    <cellStyle name="40% - Accent2 6 3 3" xfId="6912" xr:uid="{00000000-0005-0000-0000-0000FA1A0000}"/>
    <cellStyle name="40% - Accent2 6 3 3 2" xfId="6913" xr:uid="{00000000-0005-0000-0000-0000FB1A0000}"/>
    <cellStyle name="40% - Accent2 6 3 3 2 2" xfId="6914" xr:uid="{00000000-0005-0000-0000-0000FC1A0000}"/>
    <cellStyle name="40% - Accent2 6 3 3 3" xfId="6915" xr:uid="{00000000-0005-0000-0000-0000FD1A0000}"/>
    <cellStyle name="40% - Accent2 6 3 3 3 2" xfId="6916" xr:uid="{00000000-0005-0000-0000-0000FE1A0000}"/>
    <cellStyle name="40% - Accent2 6 3 3 4" xfId="6917" xr:uid="{00000000-0005-0000-0000-0000FF1A0000}"/>
    <cellStyle name="40% - Accent2 6 3 3 4 2" xfId="6918" xr:uid="{00000000-0005-0000-0000-0000001B0000}"/>
    <cellStyle name="40% - Accent2 6 3 3 5" xfId="6919" xr:uid="{00000000-0005-0000-0000-0000011B0000}"/>
    <cellStyle name="40% - Accent2 6 3 3 5 2" xfId="6920" xr:uid="{00000000-0005-0000-0000-0000021B0000}"/>
    <cellStyle name="40% - Accent2 6 3 3 6" xfId="6921" xr:uid="{00000000-0005-0000-0000-0000031B0000}"/>
    <cellStyle name="40% - Accent2 6 3 4" xfId="6922" xr:uid="{00000000-0005-0000-0000-0000041B0000}"/>
    <cellStyle name="40% - Accent2 6 3 4 2" xfId="6923" xr:uid="{00000000-0005-0000-0000-0000051B0000}"/>
    <cellStyle name="40% - Accent2 6 3 4 2 2" xfId="6924" xr:uid="{00000000-0005-0000-0000-0000061B0000}"/>
    <cellStyle name="40% - Accent2 6 3 4 3" xfId="6925" xr:uid="{00000000-0005-0000-0000-0000071B0000}"/>
    <cellStyle name="40% - Accent2 6 3 5" xfId="6926" xr:uid="{00000000-0005-0000-0000-0000081B0000}"/>
    <cellStyle name="40% - Accent2 6 3 5 2" xfId="6927" xr:uid="{00000000-0005-0000-0000-0000091B0000}"/>
    <cellStyle name="40% - Accent2 6 3 6" xfId="6928" xr:uid="{00000000-0005-0000-0000-00000A1B0000}"/>
    <cellStyle name="40% - Accent2 6 3 6 2" xfId="6929" xr:uid="{00000000-0005-0000-0000-00000B1B0000}"/>
    <cellStyle name="40% - Accent2 6 3 7" xfId="6930" xr:uid="{00000000-0005-0000-0000-00000C1B0000}"/>
    <cellStyle name="40% - Accent2 6 3 7 2" xfId="6931" xr:uid="{00000000-0005-0000-0000-00000D1B0000}"/>
    <cellStyle name="40% - Accent2 6 3 8" xfId="6932" xr:uid="{00000000-0005-0000-0000-00000E1B0000}"/>
    <cellStyle name="40% - Accent2 6 4" xfId="6933" xr:uid="{00000000-0005-0000-0000-00000F1B0000}"/>
    <cellStyle name="40% - Accent2 6 4 2" xfId="6934" xr:uid="{00000000-0005-0000-0000-0000101B0000}"/>
    <cellStyle name="40% - Accent2 6 4 2 2" xfId="6935" xr:uid="{00000000-0005-0000-0000-0000111B0000}"/>
    <cellStyle name="40% - Accent2 6 4 2 2 2" xfId="6936" xr:uid="{00000000-0005-0000-0000-0000121B0000}"/>
    <cellStyle name="40% - Accent2 6 4 2 2 2 2" xfId="6937" xr:uid="{00000000-0005-0000-0000-0000131B0000}"/>
    <cellStyle name="40% - Accent2 6 4 2 2 3" xfId="6938" xr:uid="{00000000-0005-0000-0000-0000141B0000}"/>
    <cellStyle name="40% - Accent2 6 4 2 2 3 2" xfId="6939" xr:uid="{00000000-0005-0000-0000-0000151B0000}"/>
    <cellStyle name="40% - Accent2 6 4 2 2 4" xfId="6940" xr:uid="{00000000-0005-0000-0000-0000161B0000}"/>
    <cellStyle name="40% - Accent2 6 4 2 3" xfId="6941" xr:uid="{00000000-0005-0000-0000-0000171B0000}"/>
    <cellStyle name="40% - Accent2 6 4 2 3 2" xfId="6942" xr:uid="{00000000-0005-0000-0000-0000181B0000}"/>
    <cellStyle name="40% - Accent2 6 4 2 4" xfId="6943" xr:uid="{00000000-0005-0000-0000-0000191B0000}"/>
    <cellStyle name="40% - Accent2 6 4 2 4 2" xfId="6944" xr:uid="{00000000-0005-0000-0000-00001A1B0000}"/>
    <cellStyle name="40% - Accent2 6 4 2 5" xfId="6945" xr:uid="{00000000-0005-0000-0000-00001B1B0000}"/>
    <cellStyle name="40% - Accent2 6 4 2 5 2" xfId="6946" xr:uid="{00000000-0005-0000-0000-00001C1B0000}"/>
    <cellStyle name="40% - Accent2 6 4 2 6" xfId="6947" xr:uid="{00000000-0005-0000-0000-00001D1B0000}"/>
    <cellStyle name="40% - Accent2 6 4 2 6 2" xfId="6948" xr:uid="{00000000-0005-0000-0000-00001E1B0000}"/>
    <cellStyle name="40% - Accent2 6 4 2 7" xfId="6949" xr:uid="{00000000-0005-0000-0000-00001F1B0000}"/>
    <cellStyle name="40% - Accent2 6 4 3" xfId="6950" xr:uid="{00000000-0005-0000-0000-0000201B0000}"/>
    <cellStyle name="40% - Accent2 6 4 3 2" xfId="6951" xr:uid="{00000000-0005-0000-0000-0000211B0000}"/>
    <cellStyle name="40% - Accent2 6 4 3 2 2" xfId="6952" xr:uid="{00000000-0005-0000-0000-0000221B0000}"/>
    <cellStyle name="40% - Accent2 6 4 3 3" xfId="6953" xr:uid="{00000000-0005-0000-0000-0000231B0000}"/>
    <cellStyle name="40% - Accent2 6 4 3 3 2" xfId="6954" xr:uid="{00000000-0005-0000-0000-0000241B0000}"/>
    <cellStyle name="40% - Accent2 6 4 3 4" xfId="6955" xr:uid="{00000000-0005-0000-0000-0000251B0000}"/>
    <cellStyle name="40% - Accent2 6 4 3 4 2" xfId="6956" xr:uid="{00000000-0005-0000-0000-0000261B0000}"/>
    <cellStyle name="40% - Accent2 6 4 3 5" xfId="6957" xr:uid="{00000000-0005-0000-0000-0000271B0000}"/>
    <cellStyle name="40% - Accent2 6 4 3 5 2" xfId="6958" xr:uid="{00000000-0005-0000-0000-0000281B0000}"/>
    <cellStyle name="40% - Accent2 6 4 3 6" xfId="6959" xr:uid="{00000000-0005-0000-0000-0000291B0000}"/>
    <cellStyle name="40% - Accent2 6 4 4" xfId="6960" xr:uid="{00000000-0005-0000-0000-00002A1B0000}"/>
    <cellStyle name="40% - Accent2 6 4 4 2" xfId="6961" xr:uid="{00000000-0005-0000-0000-00002B1B0000}"/>
    <cellStyle name="40% - Accent2 6 4 4 2 2" xfId="6962" xr:uid="{00000000-0005-0000-0000-00002C1B0000}"/>
    <cellStyle name="40% - Accent2 6 4 4 3" xfId="6963" xr:uid="{00000000-0005-0000-0000-00002D1B0000}"/>
    <cellStyle name="40% - Accent2 6 4 5" xfId="6964" xr:uid="{00000000-0005-0000-0000-00002E1B0000}"/>
    <cellStyle name="40% - Accent2 6 4 5 2" xfId="6965" xr:uid="{00000000-0005-0000-0000-00002F1B0000}"/>
    <cellStyle name="40% - Accent2 6 4 6" xfId="6966" xr:uid="{00000000-0005-0000-0000-0000301B0000}"/>
    <cellStyle name="40% - Accent2 6 4 6 2" xfId="6967" xr:uid="{00000000-0005-0000-0000-0000311B0000}"/>
    <cellStyle name="40% - Accent2 6 4 7" xfId="6968" xr:uid="{00000000-0005-0000-0000-0000321B0000}"/>
    <cellStyle name="40% - Accent2 6 4 7 2" xfId="6969" xr:uid="{00000000-0005-0000-0000-0000331B0000}"/>
    <cellStyle name="40% - Accent2 6 4 8" xfId="6970" xr:uid="{00000000-0005-0000-0000-0000341B0000}"/>
    <cellStyle name="40% - Accent2 6 5" xfId="6971" xr:uid="{00000000-0005-0000-0000-0000351B0000}"/>
    <cellStyle name="40% - Accent2 6 5 2" xfId="6972" xr:uid="{00000000-0005-0000-0000-0000361B0000}"/>
    <cellStyle name="40% - Accent2 6 5 2 2" xfId="6973" xr:uid="{00000000-0005-0000-0000-0000371B0000}"/>
    <cellStyle name="40% - Accent2 6 5 2 2 2" xfId="6974" xr:uid="{00000000-0005-0000-0000-0000381B0000}"/>
    <cellStyle name="40% - Accent2 6 5 2 3" xfId="6975" xr:uid="{00000000-0005-0000-0000-0000391B0000}"/>
    <cellStyle name="40% - Accent2 6 5 2 3 2" xfId="6976" xr:uid="{00000000-0005-0000-0000-00003A1B0000}"/>
    <cellStyle name="40% - Accent2 6 5 2 4" xfId="6977" xr:uid="{00000000-0005-0000-0000-00003B1B0000}"/>
    <cellStyle name="40% - Accent2 6 5 3" xfId="6978" xr:uid="{00000000-0005-0000-0000-00003C1B0000}"/>
    <cellStyle name="40% - Accent2 6 5 3 2" xfId="6979" xr:uid="{00000000-0005-0000-0000-00003D1B0000}"/>
    <cellStyle name="40% - Accent2 6 5 4" xfId="6980" xr:uid="{00000000-0005-0000-0000-00003E1B0000}"/>
    <cellStyle name="40% - Accent2 6 5 4 2" xfId="6981" xr:uid="{00000000-0005-0000-0000-00003F1B0000}"/>
    <cellStyle name="40% - Accent2 6 5 5" xfId="6982" xr:uid="{00000000-0005-0000-0000-0000401B0000}"/>
    <cellStyle name="40% - Accent2 6 5 5 2" xfId="6983" xr:uid="{00000000-0005-0000-0000-0000411B0000}"/>
    <cellStyle name="40% - Accent2 6 5 6" xfId="6984" xr:uid="{00000000-0005-0000-0000-0000421B0000}"/>
    <cellStyle name="40% - Accent2 6 5 6 2" xfId="6985" xr:uid="{00000000-0005-0000-0000-0000431B0000}"/>
    <cellStyle name="40% - Accent2 6 5 7" xfId="6986" xr:uid="{00000000-0005-0000-0000-0000441B0000}"/>
    <cellStyle name="40% - Accent2 6 6" xfId="6987" xr:uid="{00000000-0005-0000-0000-0000451B0000}"/>
    <cellStyle name="40% - Accent2 6 6 2" xfId="6988" xr:uid="{00000000-0005-0000-0000-0000461B0000}"/>
    <cellStyle name="40% - Accent2 6 6 2 2" xfId="6989" xr:uid="{00000000-0005-0000-0000-0000471B0000}"/>
    <cellStyle name="40% - Accent2 6 6 3" xfId="6990" xr:uid="{00000000-0005-0000-0000-0000481B0000}"/>
    <cellStyle name="40% - Accent2 6 6 3 2" xfId="6991" xr:uid="{00000000-0005-0000-0000-0000491B0000}"/>
    <cellStyle name="40% - Accent2 6 6 4" xfId="6992" xr:uid="{00000000-0005-0000-0000-00004A1B0000}"/>
    <cellStyle name="40% - Accent2 6 6 4 2" xfId="6993" xr:uid="{00000000-0005-0000-0000-00004B1B0000}"/>
    <cellStyle name="40% - Accent2 6 6 5" xfId="6994" xr:uid="{00000000-0005-0000-0000-00004C1B0000}"/>
    <cellStyle name="40% - Accent2 6 6 5 2" xfId="6995" xr:uid="{00000000-0005-0000-0000-00004D1B0000}"/>
    <cellStyle name="40% - Accent2 6 6 6" xfId="6996" xr:uid="{00000000-0005-0000-0000-00004E1B0000}"/>
    <cellStyle name="40% - Accent2 6 7" xfId="6997" xr:uid="{00000000-0005-0000-0000-00004F1B0000}"/>
    <cellStyle name="40% - Accent2 6 7 2" xfId="6998" xr:uid="{00000000-0005-0000-0000-0000501B0000}"/>
    <cellStyle name="40% - Accent2 6 7 2 2" xfId="6999" xr:uid="{00000000-0005-0000-0000-0000511B0000}"/>
    <cellStyle name="40% - Accent2 6 7 3" xfId="7000" xr:uid="{00000000-0005-0000-0000-0000521B0000}"/>
    <cellStyle name="40% - Accent2 6 8" xfId="7001" xr:uid="{00000000-0005-0000-0000-0000531B0000}"/>
    <cellStyle name="40% - Accent2 6 8 2" xfId="7002" xr:uid="{00000000-0005-0000-0000-0000541B0000}"/>
    <cellStyle name="40% - Accent2 6 9" xfId="7003" xr:uid="{00000000-0005-0000-0000-0000551B0000}"/>
    <cellStyle name="40% - Accent2 6 9 2" xfId="7004" xr:uid="{00000000-0005-0000-0000-0000561B0000}"/>
    <cellStyle name="40% - Accent2 7" xfId="7005" xr:uid="{00000000-0005-0000-0000-0000571B0000}"/>
    <cellStyle name="40% - Accent2 7 2" xfId="7006" xr:uid="{00000000-0005-0000-0000-0000581B0000}"/>
    <cellStyle name="40% - Accent2 8" xfId="7007" xr:uid="{00000000-0005-0000-0000-0000591B0000}"/>
    <cellStyle name="40% - Accent2 8 2" xfId="7008" xr:uid="{00000000-0005-0000-0000-00005A1B0000}"/>
    <cellStyle name="40% - Accent2 8 2 2" xfId="7009" xr:uid="{00000000-0005-0000-0000-00005B1B0000}"/>
    <cellStyle name="40% - Accent2 8 2 2 2" xfId="7010" xr:uid="{00000000-0005-0000-0000-00005C1B0000}"/>
    <cellStyle name="40% - Accent2 8 2 2 2 2" xfId="7011" xr:uid="{00000000-0005-0000-0000-00005D1B0000}"/>
    <cellStyle name="40% - Accent2 8 2 2 2 2 2" xfId="7012" xr:uid="{00000000-0005-0000-0000-00005E1B0000}"/>
    <cellStyle name="40% - Accent2 8 2 2 2 3" xfId="7013" xr:uid="{00000000-0005-0000-0000-00005F1B0000}"/>
    <cellStyle name="40% - Accent2 8 2 2 2 3 2" xfId="7014" xr:uid="{00000000-0005-0000-0000-0000601B0000}"/>
    <cellStyle name="40% - Accent2 8 2 2 2 4" xfId="7015" xr:uid="{00000000-0005-0000-0000-0000611B0000}"/>
    <cellStyle name="40% - Accent2 8 2 2 3" xfId="7016" xr:uid="{00000000-0005-0000-0000-0000621B0000}"/>
    <cellStyle name="40% - Accent2 8 2 2 3 2" xfId="7017" xr:uid="{00000000-0005-0000-0000-0000631B0000}"/>
    <cellStyle name="40% - Accent2 8 2 2 4" xfId="7018" xr:uid="{00000000-0005-0000-0000-0000641B0000}"/>
    <cellStyle name="40% - Accent2 8 2 2 4 2" xfId="7019" xr:uid="{00000000-0005-0000-0000-0000651B0000}"/>
    <cellStyle name="40% - Accent2 8 2 2 5" xfId="7020" xr:uid="{00000000-0005-0000-0000-0000661B0000}"/>
    <cellStyle name="40% - Accent2 8 2 2 5 2" xfId="7021" xr:uid="{00000000-0005-0000-0000-0000671B0000}"/>
    <cellStyle name="40% - Accent2 8 2 2 6" xfId="7022" xr:uid="{00000000-0005-0000-0000-0000681B0000}"/>
    <cellStyle name="40% - Accent2 8 2 2 6 2" xfId="7023" xr:uid="{00000000-0005-0000-0000-0000691B0000}"/>
    <cellStyle name="40% - Accent2 8 2 2 7" xfId="7024" xr:uid="{00000000-0005-0000-0000-00006A1B0000}"/>
    <cellStyle name="40% - Accent2 8 2 3" xfId="7025" xr:uid="{00000000-0005-0000-0000-00006B1B0000}"/>
    <cellStyle name="40% - Accent2 8 2 3 2" xfId="7026" xr:uid="{00000000-0005-0000-0000-00006C1B0000}"/>
    <cellStyle name="40% - Accent2 8 2 3 2 2" xfId="7027" xr:uid="{00000000-0005-0000-0000-00006D1B0000}"/>
    <cellStyle name="40% - Accent2 8 2 3 3" xfId="7028" xr:uid="{00000000-0005-0000-0000-00006E1B0000}"/>
    <cellStyle name="40% - Accent2 8 2 3 3 2" xfId="7029" xr:uid="{00000000-0005-0000-0000-00006F1B0000}"/>
    <cellStyle name="40% - Accent2 8 2 3 4" xfId="7030" xr:uid="{00000000-0005-0000-0000-0000701B0000}"/>
    <cellStyle name="40% - Accent2 8 2 3 4 2" xfId="7031" xr:uid="{00000000-0005-0000-0000-0000711B0000}"/>
    <cellStyle name="40% - Accent2 8 2 3 5" xfId="7032" xr:uid="{00000000-0005-0000-0000-0000721B0000}"/>
    <cellStyle name="40% - Accent2 8 2 3 5 2" xfId="7033" xr:uid="{00000000-0005-0000-0000-0000731B0000}"/>
    <cellStyle name="40% - Accent2 8 2 3 6" xfId="7034" xr:uid="{00000000-0005-0000-0000-0000741B0000}"/>
    <cellStyle name="40% - Accent2 8 2 4" xfId="7035" xr:uid="{00000000-0005-0000-0000-0000751B0000}"/>
    <cellStyle name="40% - Accent2 8 2 4 2" xfId="7036" xr:uid="{00000000-0005-0000-0000-0000761B0000}"/>
    <cellStyle name="40% - Accent2 8 2 4 2 2" xfId="7037" xr:uid="{00000000-0005-0000-0000-0000771B0000}"/>
    <cellStyle name="40% - Accent2 8 2 4 3" xfId="7038" xr:uid="{00000000-0005-0000-0000-0000781B0000}"/>
    <cellStyle name="40% - Accent2 8 2 5" xfId="7039" xr:uid="{00000000-0005-0000-0000-0000791B0000}"/>
    <cellStyle name="40% - Accent2 8 2 5 2" xfId="7040" xr:uid="{00000000-0005-0000-0000-00007A1B0000}"/>
    <cellStyle name="40% - Accent2 8 2 6" xfId="7041" xr:uid="{00000000-0005-0000-0000-00007B1B0000}"/>
    <cellStyle name="40% - Accent2 8 2 6 2" xfId="7042" xr:uid="{00000000-0005-0000-0000-00007C1B0000}"/>
    <cellStyle name="40% - Accent2 8 2 7" xfId="7043" xr:uid="{00000000-0005-0000-0000-00007D1B0000}"/>
    <cellStyle name="40% - Accent2 8 2 7 2" xfId="7044" xr:uid="{00000000-0005-0000-0000-00007E1B0000}"/>
    <cellStyle name="40% - Accent2 8 2 8" xfId="7045" xr:uid="{00000000-0005-0000-0000-00007F1B0000}"/>
    <cellStyle name="40% - Accent2 8 3" xfId="7046" xr:uid="{00000000-0005-0000-0000-0000801B0000}"/>
    <cellStyle name="40% - Accent2 8 3 2" xfId="7047" xr:uid="{00000000-0005-0000-0000-0000811B0000}"/>
    <cellStyle name="40% - Accent2 8 3 2 2" xfId="7048" xr:uid="{00000000-0005-0000-0000-0000821B0000}"/>
    <cellStyle name="40% - Accent2 8 3 2 2 2" xfId="7049" xr:uid="{00000000-0005-0000-0000-0000831B0000}"/>
    <cellStyle name="40% - Accent2 8 3 2 3" xfId="7050" xr:uid="{00000000-0005-0000-0000-0000841B0000}"/>
    <cellStyle name="40% - Accent2 8 3 2 3 2" xfId="7051" xr:uid="{00000000-0005-0000-0000-0000851B0000}"/>
    <cellStyle name="40% - Accent2 8 3 2 4" xfId="7052" xr:uid="{00000000-0005-0000-0000-0000861B0000}"/>
    <cellStyle name="40% - Accent2 8 3 3" xfId="7053" xr:uid="{00000000-0005-0000-0000-0000871B0000}"/>
    <cellStyle name="40% - Accent2 8 3 3 2" xfId="7054" xr:uid="{00000000-0005-0000-0000-0000881B0000}"/>
    <cellStyle name="40% - Accent2 8 3 4" xfId="7055" xr:uid="{00000000-0005-0000-0000-0000891B0000}"/>
    <cellStyle name="40% - Accent2 8 3 4 2" xfId="7056" xr:uid="{00000000-0005-0000-0000-00008A1B0000}"/>
    <cellStyle name="40% - Accent2 8 3 5" xfId="7057" xr:uid="{00000000-0005-0000-0000-00008B1B0000}"/>
    <cellStyle name="40% - Accent2 8 3 5 2" xfId="7058" xr:uid="{00000000-0005-0000-0000-00008C1B0000}"/>
    <cellStyle name="40% - Accent2 8 3 6" xfId="7059" xr:uid="{00000000-0005-0000-0000-00008D1B0000}"/>
    <cellStyle name="40% - Accent2 8 3 6 2" xfId="7060" xr:uid="{00000000-0005-0000-0000-00008E1B0000}"/>
    <cellStyle name="40% - Accent2 8 3 7" xfId="7061" xr:uid="{00000000-0005-0000-0000-00008F1B0000}"/>
    <cellStyle name="40% - Accent2 8 4" xfId="7062" xr:uid="{00000000-0005-0000-0000-0000901B0000}"/>
    <cellStyle name="40% - Accent2 8 4 2" xfId="7063" xr:uid="{00000000-0005-0000-0000-0000911B0000}"/>
    <cellStyle name="40% - Accent2 8 4 2 2" xfId="7064" xr:uid="{00000000-0005-0000-0000-0000921B0000}"/>
    <cellStyle name="40% - Accent2 8 4 3" xfId="7065" xr:uid="{00000000-0005-0000-0000-0000931B0000}"/>
    <cellStyle name="40% - Accent2 8 4 3 2" xfId="7066" xr:uid="{00000000-0005-0000-0000-0000941B0000}"/>
    <cellStyle name="40% - Accent2 8 4 4" xfId="7067" xr:uid="{00000000-0005-0000-0000-0000951B0000}"/>
    <cellStyle name="40% - Accent2 8 4 4 2" xfId="7068" xr:uid="{00000000-0005-0000-0000-0000961B0000}"/>
    <cellStyle name="40% - Accent2 8 4 5" xfId="7069" xr:uid="{00000000-0005-0000-0000-0000971B0000}"/>
    <cellStyle name="40% - Accent2 8 4 5 2" xfId="7070" xr:uid="{00000000-0005-0000-0000-0000981B0000}"/>
    <cellStyle name="40% - Accent2 8 4 6" xfId="7071" xr:uid="{00000000-0005-0000-0000-0000991B0000}"/>
    <cellStyle name="40% - Accent2 8 5" xfId="7072" xr:uid="{00000000-0005-0000-0000-00009A1B0000}"/>
    <cellStyle name="40% - Accent2 8 5 2" xfId="7073" xr:uid="{00000000-0005-0000-0000-00009B1B0000}"/>
    <cellStyle name="40% - Accent2 8 5 2 2" xfId="7074" xr:uid="{00000000-0005-0000-0000-00009C1B0000}"/>
    <cellStyle name="40% - Accent2 8 5 3" xfId="7075" xr:uid="{00000000-0005-0000-0000-00009D1B0000}"/>
    <cellStyle name="40% - Accent2 8 6" xfId="7076" xr:uid="{00000000-0005-0000-0000-00009E1B0000}"/>
    <cellStyle name="40% - Accent2 8 6 2" xfId="7077" xr:uid="{00000000-0005-0000-0000-00009F1B0000}"/>
    <cellStyle name="40% - Accent2 8 7" xfId="7078" xr:uid="{00000000-0005-0000-0000-0000A01B0000}"/>
    <cellStyle name="40% - Accent2 8 7 2" xfId="7079" xr:uid="{00000000-0005-0000-0000-0000A11B0000}"/>
    <cellStyle name="40% - Accent2 8 8" xfId="7080" xr:uid="{00000000-0005-0000-0000-0000A21B0000}"/>
    <cellStyle name="40% - Accent2 8 8 2" xfId="7081" xr:uid="{00000000-0005-0000-0000-0000A31B0000}"/>
    <cellStyle name="40% - Accent2 8 9" xfId="7082" xr:uid="{00000000-0005-0000-0000-0000A41B0000}"/>
    <cellStyle name="40% - Accent2 9" xfId="7083" xr:uid="{00000000-0005-0000-0000-0000A51B0000}"/>
    <cellStyle name="40% - Accent2 9 2" xfId="7084" xr:uid="{00000000-0005-0000-0000-0000A61B0000}"/>
    <cellStyle name="40% - Accent2 9 2 2" xfId="7085" xr:uid="{00000000-0005-0000-0000-0000A71B0000}"/>
    <cellStyle name="40% - Accent2 9 2 2 2" xfId="7086" xr:uid="{00000000-0005-0000-0000-0000A81B0000}"/>
    <cellStyle name="40% - Accent2 9 2 2 2 2" xfId="7087" xr:uid="{00000000-0005-0000-0000-0000A91B0000}"/>
    <cellStyle name="40% - Accent2 9 2 2 3" xfId="7088" xr:uid="{00000000-0005-0000-0000-0000AA1B0000}"/>
    <cellStyle name="40% - Accent2 9 2 3" xfId="7089" xr:uid="{00000000-0005-0000-0000-0000AB1B0000}"/>
    <cellStyle name="40% - Accent2 9 2 3 2" xfId="7090" xr:uid="{00000000-0005-0000-0000-0000AC1B0000}"/>
    <cellStyle name="40% - Accent2 9 2 4" xfId="7091" xr:uid="{00000000-0005-0000-0000-0000AD1B0000}"/>
    <cellStyle name="40% - Accent2 9 3" xfId="7092" xr:uid="{00000000-0005-0000-0000-0000AE1B0000}"/>
    <cellStyle name="40% - Accent2 9 3 2" xfId="7093" xr:uid="{00000000-0005-0000-0000-0000AF1B0000}"/>
    <cellStyle name="40% - Accent2 9 3 2 2" xfId="7094" xr:uid="{00000000-0005-0000-0000-0000B01B0000}"/>
    <cellStyle name="40% - Accent2 9 3 3" xfId="7095" xr:uid="{00000000-0005-0000-0000-0000B11B0000}"/>
    <cellStyle name="40% - Accent2 9 4" xfId="7096" xr:uid="{00000000-0005-0000-0000-0000B21B0000}"/>
    <cellStyle name="40% - Accent2 9 4 2" xfId="7097" xr:uid="{00000000-0005-0000-0000-0000B31B0000}"/>
    <cellStyle name="40% - Accent2 9 5" xfId="7098" xr:uid="{00000000-0005-0000-0000-0000B41B0000}"/>
    <cellStyle name="40% - Accent2 9 5 2" xfId="7099" xr:uid="{00000000-0005-0000-0000-0000B51B0000}"/>
    <cellStyle name="40% - Accent2 9 6" xfId="7100" xr:uid="{00000000-0005-0000-0000-0000B61B0000}"/>
    <cellStyle name="40% - Accent2 9 6 2" xfId="7101" xr:uid="{00000000-0005-0000-0000-0000B71B0000}"/>
    <cellStyle name="40% - Accent2 9 7" xfId="7102" xr:uid="{00000000-0005-0000-0000-0000B81B0000}"/>
    <cellStyle name="40% - Accent3 10" xfId="7103" xr:uid="{00000000-0005-0000-0000-0000B91B0000}"/>
    <cellStyle name="40% - Accent3 10 2" xfId="7104" xr:uid="{00000000-0005-0000-0000-0000BA1B0000}"/>
    <cellStyle name="40% - Accent3 10 2 2" xfId="7105" xr:uid="{00000000-0005-0000-0000-0000BB1B0000}"/>
    <cellStyle name="40% - Accent3 10 2 2 2" xfId="7106" xr:uid="{00000000-0005-0000-0000-0000BC1B0000}"/>
    <cellStyle name="40% - Accent3 10 2 2 2 2" xfId="7107" xr:uid="{00000000-0005-0000-0000-0000BD1B0000}"/>
    <cellStyle name="40% - Accent3 10 2 2 3" xfId="7108" xr:uid="{00000000-0005-0000-0000-0000BE1B0000}"/>
    <cellStyle name="40% - Accent3 10 2 3" xfId="7109" xr:uid="{00000000-0005-0000-0000-0000BF1B0000}"/>
    <cellStyle name="40% - Accent3 10 2 3 2" xfId="7110" xr:uid="{00000000-0005-0000-0000-0000C01B0000}"/>
    <cellStyle name="40% - Accent3 10 2 4" xfId="7111" xr:uid="{00000000-0005-0000-0000-0000C11B0000}"/>
    <cellStyle name="40% - Accent3 10 3" xfId="7112" xr:uid="{00000000-0005-0000-0000-0000C21B0000}"/>
    <cellStyle name="40% - Accent3 10 3 2" xfId="7113" xr:uid="{00000000-0005-0000-0000-0000C31B0000}"/>
    <cellStyle name="40% - Accent3 10 3 2 2" xfId="7114" xr:uid="{00000000-0005-0000-0000-0000C41B0000}"/>
    <cellStyle name="40% - Accent3 10 3 3" xfId="7115" xr:uid="{00000000-0005-0000-0000-0000C51B0000}"/>
    <cellStyle name="40% - Accent3 10 4" xfId="7116" xr:uid="{00000000-0005-0000-0000-0000C61B0000}"/>
    <cellStyle name="40% - Accent3 10 4 2" xfId="7117" xr:uid="{00000000-0005-0000-0000-0000C71B0000}"/>
    <cellStyle name="40% - Accent3 10 5" xfId="7118" xr:uid="{00000000-0005-0000-0000-0000C81B0000}"/>
    <cellStyle name="40% - Accent3 11" xfId="7119" xr:uid="{00000000-0005-0000-0000-0000C91B0000}"/>
    <cellStyle name="40% - Accent3 11 2" xfId="7120" xr:uid="{00000000-0005-0000-0000-0000CA1B0000}"/>
    <cellStyle name="40% - Accent3 11 2 2" xfId="7121" xr:uid="{00000000-0005-0000-0000-0000CB1B0000}"/>
    <cellStyle name="40% - Accent3 11 2 2 2" xfId="7122" xr:uid="{00000000-0005-0000-0000-0000CC1B0000}"/>
    <cellStyle name="40% - Accent3 11 2 2 2 2" xfId="7123" xr:uid="{00000000-0005-0000-0000-0000CD1B0000}"/>
    <cellStyle name="40% - Accent3 11 2 2 3" xfId="7124" xr:uid="{00000000-0005-0000-0000-0000CE1B0000}"/>
    <cellStyle name="40% - Accent3 11 2 3" xfId="7125" xr:uid="{00000000-0005-0000-0000-0000CF1B0000}"/>
    <cellStyle name="40% - Accent3 11 2 3 2" xfId="7126" xr:uid="{00000000-0005-0000-0000-0000D01B0000}"/>
    <cellStyle name="40% - Accent3 11 2 4" xfId="7127" xr:uid="{00000000-0005-0000-0000-0000D11B0000}"/>
    <cellStyle name="40% - Accent3 11 3" xfId="7128" xr:uid="{00000000-0005-0000-0000-0000D21B0000}"/>
    <cellStyle name="40% - Accent3 11 3 2" xfId="7129" xr:uid="{00000000-0005-0000-0000-0000D31B0000}"/>
    <cellStyle name="40% - Accent3 11 3 2 2" xfId="7130" xr:uid="{00000000-0005-0000-0000-0000D41B0000}"/>
    <cellStyle name="40% - Accent3 11 3 3" xfId="7131" xr:uid="{00000000-0005-0000-0000-0000D51B0000}"/>
    <cellStyle name="40% - Accent3 11 4" xfId="7132" xr:uid="{00000000-0005-0000-0000-0000D61B0000}"/>
    <cellStyle name="40% - Accent3 11 4 2" xfId="7133" xr:uid="{00000000-0005-0000-0000-0000D71B0000}"/>
    <cellStyle name="40% - Accent3 11 5" xfId="7134" xr:uid="{00000000-0005-0000-0000-0000D81B0000}"/>
    <cellStyle name="40% - Accent3 12" xfId="7135" xr:uid="{00000000-0005-0000-0000-0000D91B0000}"/>
    <cellStyle name="40% - Accent3 12 2" xfId="7136" xr:uid="{00000000-0005-0000-0000-0000DA1B0000}"/>
    <cellStyle name="40% - Accent3 13" xfId="7137" xr:uid="{00000000-0005-0000-0000-0000DB1B0000}"/>
    <cellStyle name="40% - Accent3 13 2" xfId="7138" xr:uid="{00000000-0005-0000-0000-0000DC1B0000}"/>
    <cellStyle name="40% - Accent3 13 2 2" xfId="7139" xr:uid="{00000000-0005-0000-0000-0000DD1B0000}"/>
    <cellStyle name="40% - Accent3 13 2 2 2" xfId="7140" xr:uid="{00000000-0005-0000-0000-0000DE1B0000}"/>
    <cellStyle name="40% - Accent3 13 2 3" xfId="7141" xr:uid="{00000000-0005-0000-0000-0000DF1B0000}"/>
    <cellStyle name="40% - Accent3 13 3" xfId="7142" xr:uid="{00000000-0005-0000-0000-0000E01B0000}"/>
    <cellStyle name="40% - Accent3 13 3 2" xfId="7143" xr:uid="{00000000-0005-0000-0000-0000E11B0000}"/>
    <cellStyle name="40% - Accent3 13 4" xfId="7144" xr:uid="{00000000-0005-0000-0000-0000E21B0000}"/>
    <cellStyle name="40% - Accent3 14" xfId="7145" xr:uid="{00000000-0005-0000-0000-0000E31B0000}"/>
    <cellStyle name="40% - Accent3 14 2" xfId="7146" xr:uid="{00000000-0005-0000-0000-0000E41B0000}"/>
    <cellStyle name="40% - Accent3 2" xfId="7147" xr:uid="{00000000-0005-0000-0000-0000E51B0000}"/>
    <cellStyle name="40% - Accent3 2 2" xfId="7148" xr:uid="{00000000-0005-0000-0000-0000E61B0000}"/>
    <cellStyle name="40% - Accent3 2 2 2" xfId="7149" xr:uid="{00000000-0005-0000-0000-0000E71B0000}"/>
    <cellStyle name="40% - Accent3 2 2 3" xfId="7150" xr:uid="{00000000-0005-0000-0000-0000E81B0000}"/>
    <cellStyle name="40% - Accent3 2 2 3 2" xfId="7151" xr:uid="{00000000-0005-0000-0000-0000E91B0000}"/>
    <cellStyle name="40% - Accent3 2 3" xfId="7152" xr:uid="{00000000-0005-0000-0000-0000EA1B0000}"/>
    <cellStyle name="40% - Accent3 2 3 2" xfId="7153" xr:uid="{00000000-0005-0000-0000-0000EB1B0000}"/>
    <cellStyle name="40% - Accent3 2 4" xfId="7154" xr:uid="{00000000-0005-0000-0000-0000EC1B0000}"/>
    <cellStyle name="40% - Accent3 2 4 2" xfId="7155" xr:uid="{00000000-0005-0000-0000-0000ED1B0000}"/>
    <cellStyle name="40% - Accent3 2 4 3" xfId="7156" xr:uid="{00000000-0005-0000-0000-0000EE1B0000}"/>
    <cellStyle name="40% - Accent3 2 5" xfId="7157" xr:uid="{00000000-0005-0000-0000-0000EF1B0000}"/>
    <cellStyle name="40% - Accent3 3" xfId="7158" xr:uid="{00000000-0005-0000-0000-0000F01B0000}"/>
    <cellStyle name="40% - Accent3 3 2" xfId="7159" xr:uid="{00000000-0005-0000-0000-0000F11B0000}"/>
    <cellStyle name="40% - Accent3 3 2 2" xfId="7160" xr:uid="{00000000-0005-0000-0000-0000F21B0000}"/>
    <cellStyle name="40% - Accent3 3 2 2 2" xfId="7161" xr:uid="{00000000-0005-0000-0000-0000F31B0000}"/>
    <cellStyle name="40% - Accent3 3 2 2 2 2" xfId="7162" xr:uid="{00000000-0005-0000-0000-0000F41B0000}"/>
    <cellStyle name="40% - Accent3 3 2 2 3" xfId="7163" xr:uid="{00000000-0005-0000-0000-0000F51B0000}"/>
    <cellStyle name="40% - Accent3 3 2 2 3 2" xfId="7164" xr:uid="{00000000-0005-0000-0000-0000F61B0000}"/>
    <cellStyle name="40% - Accent3 3 2 2 4" xfId="7165" xr:uid="{00000000-0005-0000-0000-0000F71B0000}"/>
    <cellStyle name="40% - Accent3 3 2 3" xfId="7166" xr:uid="{00000000-0005-0000-0000-0000F81B0000}"/>
    <cellStyle name="40% - Accent3 3 2 3 2" xfId="7167" xr:uid="{00000000-0005-0000-0000-0000F91B0000}"/>
    <cellStyle name="40% - Accent3 3 2 4" xfId="7168" xr:uid="{00000000-0005-0000-0000-0000FA1B0000}"/>
    <cellStyle name="40% - Accent3 3 2 4 2" xfId="7169" xr:uid="{00000000-0005-0000-0000-0000FB1B0000}"/>
    <cellStyle name="40% - Accent3 3 2 5" xfId="7170" xr:uid="{00000000-0005-0000-0000-0000FC1B0000}"/>
    <cellStyle name="40% - Accent3 3 3" xfId="7171" xr:uid="{00000000-0005-0000-0000-0000FD1B0000}"/>
    <cellStyle name="40% - Accent3 3 3 2" xfId="7172" xr:uid="{00000000-0005-0000-0000-0000FE1B0000}"/>
    <cellStyle name="40% - Accent3 3 3 3" xfId="7173" xr:uid="{00000000-0005-0000-0000-0000FF1B0000}"/>
    <cellStyle name="40% - Accent3 3 3 3 2" xfId="7174" xr:uid="{00000000-0005-0000-0000-0000001C0000}"/>
    <cellStyle name="40% - Accent3 3 3 4" xfId="7175" xr:uid="{00000000-0005-0000-0000-0000011C0000}"/>
    <cellStyle name="40% - Accent3 3 4" xfId="7176" xr:uid="{00000000-0005-0000-0000-0000021C0000}"/>
    <cellStyle name="40% - Accent3 3 4 2" xfId="7177" xr:uid="{00000000-0005-0000-0000-0000031C0000}"/>
    <cellStyle name="40% - Accent3 3 5" xfId="7178" xr:uid="{00000000-0005-0000-0000-0000041C0000}"/>
    <cellStyle name="40% - Accent3 3 5 2" xfId="7179" xr:uid="{00000000-0005-0000-0000-0000051C0000}"/>
    <cellStyle name="40% - Accent3 3 6" xfId="7180" xr:uid="{00000000-0005-0000-0000-0000061C0000}"/>
    <cellStyle name="40% - Accent3 3 6 2" xfId="7181" xr:uid="{00000000-0005-0000-0000-0000071C0000}"/>
    <cellStyle name="40% - Accent3 3 7" xfId="7182" xr:uid="{00000000-0005-0000-0000-0000081C0000}"/>
    <cellStyle name="40% - Accent3 3 7 2" xfId="7183" xr:uid="{00000000-0005-0000-0000-0000091C0000}"/>
    <cellStyle name="40% - Accent3 3 8" xfId="7184" xr:uid="{00000000-0005-0000-0000-00000A1C0000}"/>
    <cellStyle name="40% - Accent3 3 8 2" xfId="7185" xr:uid="{00000000-0005-0000-0000-00000B1C0000}"/>
    <cellStyle name="40% - Accent3 4" xfId="7186" xr:uid="{00000000-0005-0000-0000-00000C1C0000}"/>
    <cellStyle name="40% - Accent3 4 10" xfId="7187" xr:uid="{00000000-0005-0000-0000-00000D1C0000}"/>
    <cellStyle name="40% - Accent3 4 10 2" xfId="7188" xr:uid="{00000000-0005-0000-0000-00000E1C0000}"/>
    <cellStyle name="40% - Accent3 4 11" xfId="7189" xr:uid="{00000000-0005-0000-0000-00000F1C0000}"/>
    <cellStyle name="40% - Accent3 4 11 2" xfId="7190" xr:uid="{00000000-0005-0000-0000-0000101C0000}"/>
    <cellStyle name="40% - Accent3 4 12" xfId="7191" xr:uid="{00000000-0005-0000-0000-0000111C0000}"/>
    <cellStyle name="40% - Accent3 4 12 2" xfId="7192" xr:uid="{00000000-0005-0000-0000-0000121C0000}"/>
    <cellStyle name="40% - Accent3 4 13" xfId="7193" xr:uid="{00000000-0005-0000-0000-0000131C0000}"/>
    <cellStyle name="40% - Accent3 4 2" xfId="7194" xr:uid="{00000000-0005-0000-0000-0000141C0000}"/>
    <cellStyle name="40% - Accent3 4 2 10" xfId="7195" xr:uid="{00000000-0005-0000-0000-0000151C0000}"/>
    <cellStyle name="40% - Accent3 4 2 10 2" xfId="7196" xr:uid="{00000000-0005-0000-0000-0000161C0000}"/>
    <cellStyle name="40% - Accent3 4 2 11" xfId="7197" xr:uid="{00000000-0005-0000-0000-0000171C0000}"/>
    <cellStyle name="40% - Accent3 4 2 2" xfId="7198" xr:uid="{00000000-0005-0000-0000-0000181C0000}"/>
    <cellStyle name="40% - Accent3 4 2 2 10" xfId="7199" xr:uid="{00000000-0005-0000-0000-0000191C0000}"/>
    <cellStyle name="40% - Accent3 4 2 2 2" xfId="7200" xr:uid="{00000000-0005-0000-0000-00001A1C0000}"/>
    <cellStyle name="40% - Accent3 4 2 2 2 2" xfId="7201" xr:uid="{00000000-0005-0000-0000-00001B1C0000}"/>
    <cellStyle name="40% - Accent3 4 2 2 2 2 2" xfId="7202" xr:uid="{00000000-0005-0000-0000-00001C1C0000}"/>
    <cellStyle name="40% - Accent3 4 2 2 2 2 2 2" xfId="7203" xr:uid="{00000000-0005-0000-0000-00001D1C0000}"/>
    <cellStyle name="40% - Accent3 4 2 2 2 2 2 2 2" xfId="7204" xr:uid="{00000000-0005-0000-0000-00001E1C0000}"/>
    <cellStyle name="40% - Accent3 4 2 2 2 2 2 3" xfId="7205" xr:uid="{00000000-0005-0000-0000-00001F1C0000}"/>
    <cellStyle name="40% - Accent3 4 2 2 2 2 2 3 2" xfId="7206" xr:uid="{00000000-0005-0000-0000-0000201C0000}"/>
    <cellStyle name="40% - Accent3 4 2 2 2 2 2 4" xfId="7207" xr:uid="{00000000-0005-0000-0000-0000211C0000}"/>
    <cellStyle name="40% - Accent3 4 2 2 2 2 3" xfId="7208" xr:uid="{00000000-0005-0000-0000-0000221C0000}"/>
    <cellStyle name="40% - Accent3 4 2 2 2 2 3 2" xfId="7209" xr:uid="{00000000-0005-0000-0000-0000231C0000}"/>
    <cellStyle name="40% - Accent3 4 2 2 2 2 4" xfId="7210" xr:uid="{00000000-0005-0000-0000-0000241C0000}"/>
    <cellStyle name="40% - Accent3 4 2 2 2 2 4 2" xfId="7211" xr:uid="{00000000-0005-0000-0000-0000251C0000}"/>
    <cellStyle name="40% - Accent3 4 2 2 2 2 5" xfId="7212" xr:uid="{00000000-0005-0000-0000-0000261C0000}"/>
    <cellStyle name="40% - Accent3 4 2 2 2 2 5 2" xfId="7213" xr:uid="{00000000-0005-0000-0000-0000271C0000}"/>
    <cellStyle name="40% - Accent3 4 2 2 2 2 6" xfId="7214" xr:uid="{00000000-0005-0000-0000-0000281C0000}"/>
    <cellStyle name="40% - Accent3 4 2 2 2 2 6 2" xfId="7215" xr:uid="{00000000-0005-0000-0000-0000291C0000}"/>
    <cellStyle name="40% - Accent3 4 2 2 2 2 7" xfId="7216" xr:uid="{00000000-0005-0000-0000-00002A1C0000}"/>
    <cellStyle name="40% - Accent3 4 2 2 2 3" xfId="7217" xr:uid="{00000000-0005-0000-0000-00002B1C0000}"/>
    <cellStyle name="40% - Accent3 4 2 2 2 3 2" xfId="7218" xr:uid="{00000000-0005-0000-0000-00002C1C0000}"/>
    <cellStyle name="40% - Accent3 4 2 2 2 3 2 2" xfId="7219" xr:uid="{00000000-0005-0000-0000-00002D1C0000}"/>
    <cellStyle name="40% - Accent3 4 2 2 2 3 3" xfId="7220" xr:uid="{00000000-0005-0000-0000-00002E1C0000}"/>
    <cellStyle name="40% - Accent3 4 2 2 2 3 3 2" xfId="7221" xr:uid="{00000000-0005-0000-0000-00002F1C0000}"/>
    <cellStyle name="40% - Accent3 4 2 2 2 3 4" xfId="7222" xr:uid="{00000000-0005-0000-0000-0000301C0000}"/>
    <cellStyle name="40% - Accent3 4 2 2 2 3 4 2" xfId="7223" xr:uid="{00000000-0005-0000-0000-0000311C0000}"/>
    <cellStyle name="40% - Accent3 4 2 2 2 3 5" xfId="7224" xr:uid="{00000000-0005-0000-0000-0000321C0000}"/>
    <cellStyle name="40% - Accent3 4 2 2 2 3 5 2" xfId="7225" xr:uid="{00000000-0005-0000-0000-0000331C0000}"/>
    <cellStyle name="40% - Accent3 4 2 2 2 3 6" xfId="7226" xr:uid="{00000000-0005-0000-0000-0000341C0000}"/>
    <cellStyle name="40% - Accent3 4 2 2 2 4" xfId="7227" xr:uid="{00000000-0005-0000-0000-0000351C0000}"/>
    <cellStyle name="40% - Accent3 4 2 2 2 4 2" xfId="7228" xr:uid="{00000000-0005-0000-0000-0000361C0000}"/>
    <cellStyle name="40% - Accent3 4 2 2 2 4 2 2" xfId="7229" xr:uid="{00000000-0005-0000-0000-0000371C0000}"/>
    <cellStyle name="40% - Accent3 4 2 2 2 4 3" xfId="7230" xr:uid="{00000000-0005-0000-0000-0000381C0000}"/>
    <cellStyle name="40% - Accent3 4 2 2 2 5" xfId="7231" xr:uid="{00000000-0005-0000-0000-0000391C0000}"/>
    <cellStyle name="40% - Accent3 4 2 2 2 5 2" xfId="7232" xr:uid="{00000000-0005-0000-0000-00003A1C0000}"/>
    <cellStyle name="40% - Accent3 4 2 2 2 6" xfId="7233" xr:uid="{00000000-0005-0000-0000-00003B1C0000}"/>
    <cellStyle name="40% - Accent3 4 2 2 2 6 2" xfId="7234" xr:uid="{00000000-0005-0000-0000-00003C1C0000}"/>
    <cellStyle name="40% - Accent3 4 2 2 2 7" xfId="7235" xr:uid="{00000000-0005-0000-0000-00003D1C0000}"/>
    <cellStyle name="40% - Accent3 4 2 2 2 7 2" xfId="7236" xr:uid="{00000000-0005-0000-0000-00003E1C0000}"/>
    <cellStyle name="40% - Accent3 4 2 2 2 8" xfId="7237" xr:uid="{00000000-0005-0000-0000-00003F1C0000}"/>
    <cellStyle name="40% - Accent3 4 2 2 3" xfId="7238" xr:uid="{00000000-0005-0000-0000-0000401C0000}"/>
    <cellStyle name="40% - Accent3 4 2 2 3 2" xfId="7239" xr:uid="{00000000-0005-0000-0000-0000411C0000}"/>
    <cellStyle name="40% - Accent3 4 2 2 3 2 2" xfId="7240" xr:uid="{00000000-0005-0000-0000-0000421C0000}"/>
    <cellStyle name="40% - Accent3 4 2 2 3 2 2 2" xfId="7241" xr:uid="{00000000-0005-0000-0000-0000431C0000}"/>
    <cellStyle name="40% - Accent3 4 2 2 3 2 2 2 2" xfId="7242" xr:uid="{00000000-0005-0000-0000-0000441C0000}"/>
    <cellStyle name="40% - Accent3 4 2 2 3 2 2 3" xfId="7243" xr:uid="{00000000-0005-0000-0000-0000451C0000}"/>
    <cellStyle name="40% - Accent3 4 2 2 3 2 2 3 2" xfId="7244" xr:uid="{00000000-0005-0000-0000-0000461C0000}"/>
    <cellStyle name="40% - Accent3 4 2 2 3 2 2 4" xfId="7245" xr:uid="{00000000-0005-0000-0000-0000471C0000}"/>
    <cellStyle name="40% - Accent3 4 2 2 3 2 3" xfId="7246" xr:uid="{00000000-0005-0000-0000-0000481C0000}"/>
    <cellStyle name="40% - Accent3 4 2 2 3 2 3 2" xfId="7247" xr:uid="{00000000-0005-0000-0000-0000491C0000}"/>
    <cellStyle name="40% - Accent3 4 2 2 3 2 4" xfId="7248" xr:uid="{00000000-0005-0000-0000-00004A1C0000}"/>
    <cellStyle name="40% - Accent3 4 2 2 3 2 4 2" xfId="7249" xr:uid="{00000000-0005-0000-0000-00004B1C0000}"/>
    <cellStyle name="40% - Accent3 4 2 2 3 2 5" xfId="7250" xr:uid="{00000000-0005-0000-0000-00004C1C0000}"/>
    <cellStyle name="40% - Accent3 4 2 2 3 2 5 2" xfId="7251" xr:uid="{00000000-0005-0000-0000-00004D1C0000}"/>
    <cellStyle name="40% - Accent3 4 2 2 3 2 6" xfId="7252" xr:uid="{00000000-0005-0000-0000-00004E1C0000}"/>
    <cellStyle name="40% - Accent3 4 2 2 3 2 6 2" xfId="7253" xr:uid="{00000000-0005-0000-0000-00004F1C0000}"/>
    <cellStyle name="40% - Accent3 4 2 2 3 2 7" xfId="7254" xr:uid="{00000000-0005-0000-0000-0000501C0000}"/>
    <cellStyle name="40% - Accent3 4 2 2 3 3" xfId="7255" xr:uid="{00000000-0005-0000-0000-0000511C0000}"/>
    <cellStyle name="40% - Accent3 4 2 2 3 3 2" xfId="7256" xr:uid="{00000000-0005-0000-0000-0000521C0000}"/>
    <cellStyle name="40% - Accent3 4 2 2 3 3 2 2" xfId="7257" xr:uid="{00000000-0005-0000-0000-0000531C0000}"/>
    <cellStyle name="40% - Accent3 4 2 2 3 3 3" xfId="7258" xr:uid="{00000000-0005-0000-0000-0000541C0000}"/>
    <cellStyle name="40% - Accent3 4 2 2 3 3 3 2" xfId="7259" xr:uid="{00000000-0005-0000-0000-0000551C0000}"/>
    <cellStyle name="40% - Accent3 4 2 2 3 3 4" xfId="7260" xr:uid="{00000000-0005-0000-0000-0000561C0000}"/>
    <cellStyle name="40% - Accent3 4 2 2 3 3 4 2" xfId="7261" xr:uid="{00000000-0005-0000-0000-0000571C0000}"/>
    <cellStyle name="40% - Accent3 4 2 2 3 3 5" xfId="7262" xr:uid="{00000000-0005-0000-0000-0000581C0000}"/>
    <cellStyle name="40% - Accent3 4 2 2 3 3 5 2" xfId="7263" xr:uid="{00000000-0005-0000-0000-0000591C0000}"/>
    <cellStyle name="40% - Accent3 4 2 2 3 3 6" xfId="7264" xr:uid="{00000000-0005-0000-0000-00005A1C0000}"/>
    <cellStyle name="40% - Accent3 4 2 2 3 4" xfId="7265" xr:uid="{00000000-0005-0000-0000-00005B1C0000}"/>
    <cellStyle name="40% - Accent3 4 2 2 3 4 2" xfId="7266" xr:uid="{00000000-0005-0000-0000-00005C1C0000}"/>
    <cellStyle name="40% - Accent3 4 2 2 3 4 2 2" xfId="7267" xr:uid="{00000000-0005-0000-0000-00005D1C0000}"/>
    <cellStyle name="40% - Accent3 4 2 2 3 4 3" xfId="7268" xr:uid="{00000000-0005-0000-0000-00005E1C0000}"/>
    <cellStyle name="40% - Accent3 4 2 2 3 5" xfId="7269" xr:uid="{00000000-0005-0000-0000-00005F1C0000}"/>
    <cellStyle name="40% - Accent3 4 2 2 3 5 2" xfId="7270" xr:uid="{00000000-0005-0000-0000-0000601C0000}"/>
    <cellStyle name="40% - Accent3 4 2 2 3 6" xfId="7271" xr:uid="{00000000-0005-0000-0000-0000611C0000}"/>
    <cellStyle name="40% - Accent3 4 2 2 3 6 2" xfId="7272" xr:uid="{00000000-0005-0000-0000-0000621C0000}"/>
    <cellStyle name="40% - Accent3 4 2 2 3 7" xfId="7273" xr:uid="{00000000-0005-0000-0000-0000631C0000}"/>
    <cellStyle name="40% - Accent3 4 2 2 3 7 2" xfId="7274" xr:uid="{00000000-0005-0000-0000-0000641C0000}"/>
    <cellStyle name="40% - Accent3 4 2 2 3 8" xfId="7275" xr:uid="{00000000-0005-0000-0000-0000651C0000}"/>
    <cellStyle name="40% - Accent3 4 2 2 4" xfId="7276" xr:uid="{00000000-0005-0000-0000-0000661C0000}"/>
    <cellStyle name="40% - Accent3 4 2 2 4 2" xfId="7277" xr:uid="{00000000-0005-0000-0000-0000671C0000}"/>
    <cellStyle name="40% - Accent3 4 2 2 4 2 2" xfId="7278" xr:uid="{00000000-0005-0000-0000-0000681C0000}"/>
    <cellStyle name="40% - Accent3 4 2 2 4 2 2 2" xfId="7279" xr:uid="{00000000-0005-0000-0000-0000691C0000}"/>
    <cellStyle name="40% - Accent3 4 2 2 4 2 3" xfId="7280" xr:uid="{00000000-0005-0000-0000-00006A1C0000}"/>
    <cellStyle name="40% - Accent3 4 2 2 4 2 3 2" xfId="7281" xr:uid="{00000000-0005-0000-0000-00006B1C0000}"/>
    <cellStyle name="40% - Accent3 4 2 2 4 2 4" xfId="7282" xr:uid="{00000000-0005-0000-0000-00006C1C0000}"/>
    <cellStyle name="40% - Accent3 4 2 2 4 3" xfId="7283" xr:uid="{00000000-0005-0000-0000-00006D1C0000}"/>
    <cellStyle name="40% - Accent3 4 2 2 4 3 2" xfId="7284" xr:uid="{00000000-0005-0000-0000-00006E1C0000}"/>
    <cellStyle name="40% - Accent3 4 2 2 4 4" xfId="7285" xr:uid="{00000000-0005-0000-0000-00006F1C0000}"/>
    <cellStyle name="40% - Accent3 4 2 2 4 4 2" xfId="7286" xr:uid="{00000000-0005-0000-0000-0000701C0000}"/>
    <cellStyle name="40% - Accent3 4 2 2 4 5" xfId="7287" xr:uid="{00000000-0005-0000-0000-0000711C0000}"/>
    <cellStyle name="40% - Accent3 4 2 2 4 5 2" xfId="7288" xr:uid="{00000000-0005-0000-0000-0000721C0000}"/>
    <cellStyle name="40% - Accent3 4 2 2 4 6" xfId="7289" xr:uid="{00000000-0005-0000-0000-0000731C0000}"/>
    <cellStyle name="40% - Accent3 4 2 2 4 6 2" xfId="7290" xr:uid="{00000000-0005-0000-0000-0000741C0000}"/>
    <cellStyle name="40% - Accent3 4 2 2 4 7" xfId="7291" xr:uid="{00000000-0005-0000-0000-0000751C0000}"/>
    <cellStyle name="40% - Accent3 4 2 2 5" xfId="7292" xr:uid="{00000000-0005-0000-0000-0000761C0000}"/>
    <cellStyle name="40% - Accent3 4 2 2 5 2" xfId="7293" xr:uid="{00000000-0005-0000-0000-0000771C0000}"/>
    <cellStyle name="40% - Accent3 4 2 2 5 2 2" xfId="7294" xr:uid="{00000000-0005-0000-0000-0000781C0000}"/>
    <cellStyle name="40% - Accent3 4 2 2 5 3" xfId="7295" xr:uid="{00000000-0005-0000-0000-0000791C0000}"/>
    <cellStyle name="40% - Accent3 4 2 2 5 3 2" xfId="7296" xr:uid="{00000000-0005-0000-0000-00007A1C0000}"/>
    <cellStyle name="40% - Accent3 4 2 2 5 4" xfId="7297" xr:uid="{00000000-0005-0000-0000-00007B1C0000}"/>
    <cellStyle name="40% - Accent3 4 2 2 5 4 2" xfId="7298" xr:uid="{00000000-0005-0000-0000-00007C1C0000}"/>
    <cellStyle name="40% - Accent3 4 2 2 5 5" xfId="7299" xr:uid="{00000000-0005-0000-0000-00007D1C0000}"/>
    <cellStyle name="40% - Accent3 4 2 2 5 5 2" xfId="7300" xr:uid="{00000000-0005-0000-0000-00007E1C0000}"/>
    <cellStyle name="40% - Accent3 4 2 2 5 6" xfId="7301" xr:uid="{00000000-0005-0000-0000-00007F1C0000}"/>
    <cellStyle name="40% - Accent3 4 2 2 6" xfId="7302" xr:uid="{00000000-0005-0000-0000-0000801C0000}"/>
    <cellStyle name="40% - Accent3 4 2 2 6 2" xfId="7303" xr:uid="{00000000-0005-0000-0000-0000811C0000}"/>
    <cellStyle name="40% - Accent3 4 2 2 6 2 2" xfId="7304" xr:uid="{00000000-0005-0000-0000-0000821C0000}"/>
    <cellStyle name="40% - Accent3 4 2 2 6 3" xfId="7305" xr:uid="{00000000-0005-0000-0000-0000831C0000}"/>
    <cellStyle name="40% - Accent3 4 2 2 7" xfId="7306" xr:uid="{00000000-0005-0000-0000-0000841C0000}"/>
    <cellStyle name="40% - Accent3 4 2 2 7 2" xfId="7307" xr:uid="{00000000-0005-0000-0000-0000851C0000}"/>
    <cellStyle name="40% - Accent3 4 2 2 8" xfId="7308" xr:uid="{00000000-0005-0000-0000-0000861C0000}"/>
    <cellStyle name="40% - Accent3 4 2 2 8 2" xfId="7309" xr:uid="{00000000-0005-0000-0000-0000871C0000}"/>
    <cellStyle name="40% - Accent3 4 2 2 9" xfId="7310" xr:uid="{00000000-0005-0000-0000-0000881C0000}"/>
    <cellStyle name="40% - Accent3 4 2 2 9 2" xfId="7311" xr:uid="{00000000-0005-0000-0000-0000891C0000}"/>
    <cellStyle name="40% - Accent3 4 2 3" xfId="7312" xr:uid="{00000000-0005-0000-0000-00008A1C0000}"/>
    <cellStyle name="40% - Accent3 4 2 3 2" xfId="7313" xr:uid="{00000000-0005-0000-0000-00008B1C0000}"/>
    <cellStyle name="40% - Accent3 4 2 3 2 2" xfId="7314" xr:uid="{00000000-0005-0000-0000-00008C1C0000}"/>
    <cellStyle name="40% - Accent3 4 2 3 2 2 2" xfId="7315" xr:uid="{00000000-0005-0000-0000-00008D1C0000}"/>
    <cellStyle name="40% - Accent3 4 2 3 2 2 2 2" xfId="7316" xr:uid="{00000000-0005-0000-0000-00008E1C0000}"/>
    <cellStyle name="40% - Accent3 4 2 3 2 2 3" xfId="7317" xr:uid="{00000000-0005-0000-0000-00008F1C0000}"/>
    <cellStyle name="40% - Accent3 4 2 3 2 2 3 2" xfId="7318" xr:uid="{00000000-0005-0000-0000-0000901C0000}"/>
    <cellStyle name="40% - Accent3 4 2 3 2 2 4" xfId="7319" xr:uid="{00000000-0005-0000-0000-0000911C0000}"/>
    <cellStyle name="40% - Accent3 4 2 3 2 3" xfId="7320" xr:uid="{00000000-0005-0000-0000-0000921C0000}"/>
    <cellStyle name="40% - Accent3 4 2 3 2 3 2" xfId="7321" xr:uid="{00000000-0005-0000-0000-0000931C0000}"/>
    <cellStyle name="40% - Accent3 4 2 3 2 4" xfId="7322" xr:uid="{00000000-0005-0000-0000-0000941C0000}"/>
    <cellStyle name="40% - Accent3 4 2 3 2 4 2" xfId="7323" xr:uid="{00000000-0005-0000-0000-0000951C0000}"/>
    <cellStyle name="40% - Accent3 4 2 3 2 5" xfId="7324" xr:uid="{00000000-0005-0000-0000-0000961C0000}"/>
    <cellStyle name="40% - Accent3 4 2 3 2 5 2" xfId="7325" xr:uid="{00000000-0005-0000-0000-0000971C0000}"/>
    <cellStyle name="40% - Accent3 4 2 3 2 6" xfId="7326" xr:uid="{00000000-0005-0000-0000-0000981C0000}"/>
    <cellStyle name="40% - Accent3 4 2 3 2 6 2" xfId="7327" xr:uid="{00000000-0005-0000-0000-0000991C0000}"/>
    <cellStyle name="40% - Accent3 4 2 3 2 7" xfId="7328" xr:uid="{00000000-0005-0000-0000-00009A1C0000}"/>
    <cellStyle name="40% - Accent3 4 2 3 3" xfId="7329" xr:uid="{00000000-0005-0000-0000-00009B1C0000}"/>
    <cellStyle name="40% - Accent3 4 2 3 3 2" xfId="7330" xr:uid="{00000000-0005-0000-0000-00009C1C0000}"/>
    <cellStyle name="40% - Accent3 4 2 3 3 2 2" xfId="7331" xr:uid="{00000000-0005-0000-0000-00009D1C0000}"/>
    <cellStyle name="40% - Accent3 4 2 3 3 3" xfId="7332" xr:uid="{00000000-0005-0000-0000-00009E1C0000}"/>
    <cellStyle name="40% - Accent3 4 2 3 3 3 2" xfId="7333" xr:uid="{00000000-0005-0000-0000-00009F1C0000}"/>
    <cellStyle name="40% - Accent3 4 2 3 3 4" xfId="7334" xr:uid="{00000000-0005-0000-0000-0000A01C0000}"/>
    <cellStyle name="40% - Accent3 4 2 3 3 4 2" xfId="7335" xr:uid="{00000000-0005-0000-0000-0000A11C0000}"/>
    <cellStyle name="40% - Accent3 4 2 3 3 5" xfId="7336" xr:uid="{00000000-0005-0000-0000-0000A21C0000}"/>
    <cellStyle name="40% - Accent3 4 2 3 3 5 2" xfId="7337" xr:uid="{00000000-0005-0000-0000-0000A31C0000}"/>
    <cellStyle name="40% - Accent3 4 2 3 3 6" xfId="7338" xr:uid="{00000000-0005-0000-0000-0000A41C0000}"/>
    <cellStyle name="40% - Accent3 4 2 3 4" xfId="7339" xr:uid="{00000000-0005-0000-0000-0000A51C0000}"/>
    <cellStyle name="40% - Accent3 4 2 3 4 2" xfId="7340" xr:uid="{00000000-0005-0000-0000-0000A61C0000}"/>
    <cellStyle name="40% - Accent3 4 2 3 4 2 2" xfId="7341" xr:uid="{00000000-0005-0000-0000-0000A71C0000}"/>
    <cellStyle name="40% - Accent3 4 2 3 4 3" xfId="7342" xr:uid="{00000000-0005-0000-0000-0000A81C0000}"/>
    <cellStyle name="40% - Accent3 4 2 3 5" xfId="7343" xr:uid="{00000000-0005-0000-0000-0000A91C0000}"/>
    <cellStyle name="40% - Accent3 4 2 3 5 2" xfId="7344" xr:uid="{00000000-0005-0000-0000-0000AA1C0000}"/>
    <cellStyle name="40% - Accent3 4 2 3 6" xfId="7345" xr:uid="{00000000-0005-0000-0000-0000AB1C0000}"/>
    <cellStyle name="40% - Accent3 4 2 3 6 2" xfId="7346" xr:uid="{00000000-0005-0000-0000-0000AC1C0000}"/>
    <cellStyle name="40% - Accent3 4 2 3 7" xfId="7347" xr:uid="{00000000-0005-0000-0000-0000AD1C0000}"/>
    <cellStyle name="40% - Accent3 4 2 3 7 2" xfId="7348" xr:uid="{00000000-0005-0000-0000-0000AE1C0000}"/>
    <cellStyle name="40% - Accent3 4 2 3 8" xfId="7349" xr:uid="{00000000-0005-0000-0000-0000AF1C0000}"/>
    <cellStyle name="40% - Accent3 4 2 4" xfId="7350" xr:uid="{00000000-0005-0000-0000-0000B01C0000}"/>
    <cellStyle name="40% - Accent3 4 2 4 2" xfId="7351" xr:uid="{00000000-0005-0000-0000-0000B11C0000}"/>
    <cellStyle name="40% - Accent3 4 2 4 2 2" xfId="7352" xr:uid="{00000000-0005-0000-0000-0000B21C0000}"/>
    <cellStyle name="40% - Accent3 4 2 4 2 2 2" xfId="7353" xr:uid="{00000000-0005-0000-0000-0000B31C0000}"/>
    <cellStyle name="40% - Accent3 4 2 4 2 2 2 2" xfId="7354" xr:uid="{00000000-0005-0000-0000-0000B41C0000}"/>
    <cellStyle name="40% - Accent3 4 2 4 2 2 3" xfId="7355" xr:uid="{00000000-0005-0000-0000-0000B51C0000}"/>
    <cellStyle name="40% - Accent3 4 2 4 2 2 3 2" xfId="7356" xr:uid="{00000000-0005-0000-0000-0000B61C0000}"/>
    <cellStyle name="40% - Accent3 4 2 4 2 2 4" xfId="7357" xr:uid="{00000000-0005-0000-0000-0000B71C0000}"/>
    <cellStyle name="40% - Accent3 4 2 4 2 3" xfId="7358" xr:uid="{00000000-0005-0000-0000-0000B81C0000}"/>
    <cellStyle name="40% - Accent3 4 2 4 2 3 2" xfId="7359" xr:uid="{00000000-0005-0000-0000-0000B91C0000}"/>
    <cellStyle name="40% - Accent3 4 2 4 2 4" xfId="7360" xr:uid="{00000000-0005-0000-0000-0000BA1C0000}"/>
    <cellStyle name="40% - Accent3 4 2 4 2 4 2" xfId="7361" xr:uid="{00000000-0005-0000-0000-0000BB1C0000}"/>
    <cellStyle name="40% - Accent3 4 2 4 2 5" xfId="7362" xr:uid="{00000000-0005-0000-0000-0000BC1C0000}"/>
    <cellStyle name="40% - Accent3 4 2 4 2 5 2" xfId="7363" xr:uid="{00000000-0005-0000-0000-0000BD1C0000}"/>
    <cellStyle name="40% - Accent3 4 2 4 2 6" xfId="7364" xr:uid="{00000000-0005-0000-0000-0000BE1C0000}"/>
    <cellStyle name="40% - Accent3 4 2 4 2 6 2" xfId="7365" xr:uid="{00000000-0005-0000-0000-0000BF1C0000}"/>
    <cellStyle name="40% - Accent3 4 2 4 2 7" xfId="7366" xr:uid="{00000000-0005-0000-0000-0000C01C0000}"/>
    <cellStyle name="40% - Accent3 4 2 4 3" xfId="7367" xr:uid="{00000000-0005-0000-0000-0000C11C0000}"/>
    <cellStyle name="40% - Accent3 4 2 4 3 2" xfId="7368" xr:uid="{00000000-0005-0000-0000-0000C21C0000}"/>
    <cellStyle name="40% - Accent3 4 2 4 3 2 2" xfId="7369" xr:uid="{00000000-0005-0000-0000-0000C31C0000}"/>
    <cellStyle name="40% - Accent3 4 2 4 3 3" xfId="7370" xr:uid="{00000000-0005-0000-0000-0000C41C0000}"/>
    <cellStyle name="40% - Accent3 4 2 4 3 3 2" xfId="7371" xr:uid="{00000000-0005-0000-0000-0000C51C0000}"/>
    <cellStyle name="40% - Accent3 4 2 4 3 4" xfId="7372" xr:uid="{00000000-0005-0000-0000-0000C61C0000}"/>
    <cellStyle name="40% - Accent3 4 2 4 3 4 2" xfId="7373" xr:uid="{00000000-0005-0000-0000-0000C71C0000}"/>
    <cellStyle name="40% - Accent3 4 2 4 3 5" xfId="7374" xr:uid="{00000000-0005-0000-0000-0000C81C0000}"/>
    <cellStyle name="40% - Accent3 4 2 4 3 5 2" xfId="7375" xr:uid="{00000000-0005-0000-0000-0000C91C0000}"/>
    <cellStyle name="40% - Accent3 4 2 4 3 6" xfId="7376" xr:uid="{00000000-0005-0000-0000-0000CA1C0000}"/>
    <cellStyle name="40% - Accent3 4 2 4 4" xfId="7377" xr:uid="{00000000-0005-0000-0000-0000CB1C0000}"/>
    <cellStyle name="40% - Accent3 4 2 4 4 2" xfId="7378" xr:uid="{00000000-0005-0000-0000-0000CC1C0000}"/>
    <cellStyle name="40% - Accent3 4 2 4 4 2 2" xfId="7379" xr:uid="{00000000-0005-0000-0000-0000CD1C0000}"/>
    <cellStyle name="40% - Accent3 4 2 4 4 3" xfId="7380" xr:uid="{00000000-0005-0000-0000-0000CE1C0000}"/>
    <cellStyle name="40% - Accent3 4 2 4 5" xfId="7381" xr:uid="{00000000-0005-0000-0000-0000CF1C0000}"/>
    <cellStyle name="40% - Accent3 4 2 4 5 2" xfId="7382" xr:uid="{00000000-0005-0000-0000-0000D01C0000}"/>
    <cellStyle name="40% - Accent3 4 2 4 6" xfId="7383" xr:uid="{00000000-0005-0000-0000-0000D11C0000}"/>
    <cellStyle name="40% - Accent3 4 2 4 6 2" xfId="7384" xr:uid="{00000000-0005-0000-0000-0000D21C0000}"/>
    <cellStyle name="40% - Accent3 4 2 4 7" xfId="7385" xr:uid="{00000000-0005-0000-0000-0000D31C0000}"/>
    <cellStyle name="40% - Accent3 4 2 4 7 2" xfId="7386" xr:uid="{00000000-0005-0000-0000-0000D41C0000}"/>
    <cellStyle name="40% - Accent3 4 2 4 8" xfId="7387" xr:uid="{00000000-0005-0000-0000-0000D51C0000}"/>
    <cellStyle name="40% - Accent3 4 2 5" xfId="7388" xr:uid="{00000000-0005-0000-0000-0000D61C0000}"/>
    <cellStyle name="40% - Accent3 4 2 5 2" xfId="7389" xr:uid="{00000000-0005-0000-0000-0000D71C0000}"/>
    <cellStyle name="40% - Accent3 4 2 5 2 2" xfId="7390" xr:uid="{00000000-0005-0000-0000-0000D81C0000}"/>
    <cellStyle name="40% - Accent3 4 2 5 2 2 2" xfId="7391" xr:uid="{00000000-0005-0000-0000-0000D91C0000}"/>
    <cellStyle name="40% - Accent3 4 2 5 2 3" xfId="7392" xr:uid="{00000000-0005-0000-0000-0000DA1C0000}"/>
    <cellStyle name="40% - Accent3 4 2 5 2 3 2" xfId="7393" xr:uid="{00000000-0005-0000-0000-0000DB1C0000}"/>
    <cellStyle name="40% - Accent3 4 2 5 2 4" xfId="7394" xr:uid="{00000000-0005-0000-0000-0000DC1C0000}"/>
    <cellStyle name="40% - Accent3 4 2 5 3" xfId="7395" xr:uid="{00000000-0005-0000-0000-0000DD1C0000}"/>
    <cellStyle name="40% - Accent3 4 2 5 3 2" xfId="7396" xr:uid="{00000000-0005-0000-0000-0000DE1C0000}"/>
    <cellStyle name="40% - Accent3 4 2 5 4" xfId="7397" xr:uid="{00000000-0005-0000-0000-0000DF1C0000}"/>
    <cellStyle name="40% - Accent3 4 2 5 4 2" xfId="7398" xr:uid="{00000000-0005-0000-0000-0000E01C0000}"/>
    <cellStyle name="40% - Accent3 4 2 5 5" xfId="7399" xr:uid="{00000000-0005-0000-0000-0000E11C0000}"/>
    <cellStyle name="40% - Accent3 4 2 5 5 2" xfId="7400" xr:uid="{00000000-0005-0000-0000-0000E21C0000}"/>
    <cellStyle name="40% - Accent3 4 2 5 6" xfId="7401" xr:uid="{00000000-0005-0000-0000-0000E31C0000}"/>
    <cellStyle name="40% - Accent3 4 2 5 6 2" xfId="7402" xr:uid="{00000000-0005-0000-0000-0000E41C0000}"/>
    <cellStyle name="40% - Accent3 4 2 5 7" xfId="7403" xr:uid="{00000000-0005-0000-0000-0000E51C0000}"/>
    <cellStyle name="40% - Accent3 4 2 6" xfId="7404" xr:uid="{00000000-0005-0000-0000-0000E61C0000}"/>
    <cellStyle name="40% - Accent3 4 2 6 2" xfId="7405" xr:uid="{00000000-0005-0000-0000-0000E71C0000}"/>
    <cellStyle name="40% - Accent3 4 2 6 2 2" xfId="7406" xr:uid="{00000000-0005-0000-0000-0000E81C0000}"/>
    <cellStyle name="40% - Accent3 4 2 6 3" xfId="7407" xr:uid="{00000000-0005-0000-0000-0000E91C0000}"/>
    <cellStyle name="40% - Accent3 4 2 6 3 2" xfId="7408" xr:uid="{00000000-0005-0000-0000-0000EA1C0000}"/>
    <cellStyle name="40% - Accent3 4 2 6 4" xfId="7409" xr:uid="{00000000-0005-0000-0000-0000EB1C0000}"/>
    <cellStyle name="40% - Accent3 4 2 6 4 2" xfId="7410" xr:uid="{00000000-0005-0000-0000-0000EC1C0000}"/>
    <cellStyle name="40% - Accent3 4 2 6 5" xfId="7411" xr:uid="{00000000-0005-0000-0000-0000ED1C0000}"/>
    <cellStyle name="40% - Accent3 4 2 6 5 2" xfId="7412" xr:uid="{00000000-0005-0000-0000-0000EE1C0000}"/>
    <cellStyle name="40% - Accent3 4 2 6 6" xfId="7413" xr:uid="{00000000-0005-0000-0000-0000EF1C0000}"/>
    <cellStyle name="40% - Accent3 4 2 7" xfId="7414" xr:uid="{00000000-0005-0000-0000-0000F01C0000}"/>
    <cellStyle name="40% - Accent3 4 2 7 2" xfId="7415" xr:uid="{00000000-0005-0000-0000-0000F11C0000}"/>
    <cellStyle name="40% - Accent3 4 2 7 2 2" xfId="7416" xr:uid="{00000000-0005-0000-0000-0000F21C0000}"/>
    <cellStyle name="40% - Accent3 4 2 7 3" xfId="7417" xr:uid="{00000000-0005-0000-0000-0000F31C0000}"/>
    <cellStyle name="40% - Accent3 4 2 8" xfId="7418" xr:uid="{00000000-0005-0000-0000-0000F41C0000}"/>
    <cellStyle name="40% - Accent3 4 2 8 2" xfId="7419" xr:uid="{00000000-0005-0000-0000-0000F51C0000}"/>
    <cellStyle name="40% - Accent3 4 2 9" xfId="7420" xr:uid="{00000000-0005-0000-0000-0000F61C0000}"/>
    <cellStyle name="40% - Accent3 4 2 9 2" xfId="7421" xr:uid="{00000000-0005-0000-0000-0000F71C0000}"/>
    <cellStyle name="40% - Accent3 4 3" xfId="7422" xr:uid="{00000000-0005-0000-0000-0000F81C0000}"/>
    <cellStyle name="40% - Accent3 4 3 10" xfId="7423" xr:uid="{00000000-0005-0000-0000-0000F91C0000}"/>
    <cellStyle name="40% - Accent3 4 3 2" xfId="7424" xr:uid="{00000000-0005-0000-0000-0000FA1C0000}"/>
    <cellStyle name="40% - Accent3 4 3 2 2" xfId="7425" xr:uid="{00000000-0005-0000-0000-0000FB1C0000}"/>
    <cellStyle name="40% - Accent3 4 3 2 2 2" xfId="7426" xr:uid="{00000000-0005-0000-0000-0000FC1C0000}"/>
    <cellStyle name="40% - Accent3 4 3 2 2 2 2" xfId="7427" xr:uid="{00000000-0005-0000-0000-0000FD1C0000}"/>
    <cellStyle name="40% - Accent3 4 3 2 2 2 2 2" xfId="7428" xr:uid="{00000000-0005-0000-0000-0000FE1C0000}"/>
    <cellStyle name="40% - Accent3 4 3 2 2 2 3" xfId="7429" xr:uid="{00000000-0005-0000-0000-0000FF1C0000}"/>
    <cellStyle name="40% - Accent3 4 3 2 2 2 3 2" xfId="7430" xr:uid="{00000000-0005-0000-0000-0000001D0000}"/>
    <cellStyle name="40% - Accent3 4 3 2 2 2 4" xfId="7431" xr:uid="{00000000-0005-0000-0000-0000011D0000}"/>
    <cellStyle name="40% - Accent3 4 3 2 2 3" xfId="7432" xr:uid="{00000000-0005-0000-0000-0000021D0000}"/>
    <cellStyle name="40% - Accent3 4 3 2 2 3 2" xfId="7433" xr:uid="{00000000-0005-0000-0000-0000031D0000}"/>
    <cellStyle name="40% - Accent3 4 3 2 2 4" xfId="7434" xr:uid="{00000000-0005-0000-0000-0000041D0000}"/>
    <cellStyle name="40% - Accent3 4 3 2 2 4 2" xfId="7435" xr:uid="{00000000-0005-0000-0000-0000051D0000}"/>
    <cellStyle name="40% - Accent3 4 3 2 2 5" xfId="7436" xr:uid="{00000000-0005-0000-0000-0000061D0000}"/>
    <cellStyle name="40% - Accent3 4 3 2 2 5 2" xfId="7437" xr:uid="{00000000-0005-0000-0000-0000071D0000}"/>
    <cellStyle name="40% - Accent3 4 3 2 2 6" xfId="7438" xr:uid="{00000000-0005-0000-0000-0000081D0000}"/>
    <cellStyle name="40% - Accent3 4 3 2 2 6 2" xfId="7439" xr:uid="{00000000-0005-0000-0000-0000091D0000}"/>
    <cellStyle name="40% - Accent3 4 3 2 2 7" xfId="7440" xr:uid="{00000000-0005-0000-0000-00000A1D0000}"/>
    <cellStyle name="40% - Accent3 4 3 2 3" xfId="7441" xr:uid="{00000000-0005-0000-0000-00000B1D0000}"/>
    <cellStyle name="40% - Accent3 4 3 2 3 2" xfId="7442" xr:uid="{00000000-0005-0000-0000-00000C1D0000}"/>
    <cellStyle name="40% - Accent3 4 3 2 3 2 2" xfId="7443" xr:uid="{00000000-0005-0000-0000-00000D1D0000}"/>
    <cellStyle name="40% - Accent3 4 3 2 3 3" xfId="7444" xr:uid="{00000000-0005-0000-0000-00000E1D0000}"/>
    <cellStyle name="40% - Accent3 4 3 2 3 3 2" xfId="7445" xr:uid="{00000000-0005-0000-0000-00000F1D0000}"/>
    <cellStyle name="40% - Accent3 4 3 2 3 4" xfId="7446" xr:uid="{00000000-0005-0000-0000-0000101D0000}"/>
    <cellStyle name="40% - Accent3 4 3 2 3 4 2" xfId="7447" xr:uid="{00000000-0005-0000-0000-0000111D0000}"/>
    <cellStyle name="40% - Accent3 4 3 2 3 5" xfId="7448" xr:uid="{00000000-0005-0000-0000-0000121D0000}"/>
    <cellStyle name="40% - Accent3 4 3 2 3 5 2" xfId="7449" xr:uid="{00000000-0005-0000-0000-0000131D0000}"/>
    <cellStyle name="40% - Accent3 4 3 2 3 6" xfId="7450" xr:uid="{00000000-0005-0000-0000-0000141D0000}"/>
    <cellStyle name="40% - Accent3 4 3 2 4" xfId="7451" xr:uid="{00000000-0005-0000-0000-0000151D0000}"/>
    <cellStyle name="40% - Accent3 4 3 2 4 2" xfId="7452" xr:uid="{00000000-0005-0000-0000-0000161D0000}"/>
    <cellStyle name="40% - Accent3 4 3 2 4 2 2" xfId="7453" xr:uid="{00000000-0005-0000-0000-0000171D0000}"/>
    <cellStyle name="40% - Accent3 4 3 2 4 3" xfId="7454" xr:uid="{00000000-0005-0000-0000-0000181D0000}"/>
    <cellStyle name="40% - Accent3 4 3 2 5" xfId="7455" xr:uid="{00000000-0005-0000-0000-0000191D0000}"/>
    <cellStyle name="40% - Accent3 4 3 2 5 2" xfId="7456" xr:uid="{00000000-0005-0000-0000-00001A1D0000}"/>
    <cellStyle name="40% - Accent3 4 3 2 6" xfId="7457" xr:uid="{00000000-0005-0000-0000-00001B1D0000}"/>
    <cellStyle name="40% - Accent3 4 3 2 6 2" xfId="7458" xr:uid="{00000000-0005-0000-0000-00001C1D0000}"/>
    <cellStyle name="40% - Accent3 4 3 2 7" xfId="7459" xr:uid="{00000000-0005-0000-0000-00001D1D0000}"/>
    <cellStyle name="40% - Accent3 4 3 2 7 2" xfId="7460" xr:uid="{00000000-0005-0000-0000-00001E1D0000}"/>
    <cellStyle name="40% - Accent3 4 3 2 8" xfId="7461" xr:uid="{00000000-0005-0000-0000-00001F1D0000}"/>
    <cellStyle name="40% - Accent3 4 3 3" xfId="7462" xr:uid="{00000000-0005-0000-0000-0000201D0000}"/>
    <cellStyle name="40% - Accent3 4 3 3 2" xfId="7463" xr:uid="{00000000-0005-0000-0000-0000211D0000}"/>
    <cellStyle name="40% - Accent3 4 3 3 2 2" xfId="7464" xr:uid="{00000000-0005-0000-0000-0000221D0000}"/>
    <cellStyle name="40% - Accent3 4 3 3 2 2 2" xfId="7465" xr:uid="{00000000-0005-0000-0000-0000231D0000}"/>
    <cellStyle name="40% - Accent3 4 3 3 2 2 2 2" xfId="7466" xr:uid="{00000000-0005-0000-0000-0000241D0000}"/>
    <cellStyle name="40% - Accent3 4 3 3 2 2 3" xfId="7467" xr:uid="{00000000-0005-0000-0000-0000251D0000}"/>
    <cellStyle name="40% - Accent3 4 3 3 2 2 3 2" xfId="7468" xr:uid="{00000000-0005-0000-0000-0000261D0000}"/>
    <cellStyle name="40% - Accent3 4 3 3 2 2 4" xfId="7469" xr:uid="{00000000-0005-0000-0000-0000271D0000}"/>
    <cellStyle name="40% - Accent3 4 3 3 2 3" xfId="7470" xr:uid="{00000000-0005-0000-0000-0000281D0000}"/>
    <cellStyle name="40% - Accent3 4 3 3 2 3 2" xfId="7471" xr:uid="{00000000-0005-0000-0000-0000291D0000}"/>
    <cellStyle name="40% - Accent3 4 3 3 2 4" xfId="7472" xr:uid="{00000000-0005-0000-0000-00002A1D0000}"/>
    <cellStyle name="40% - Accent3 4 3 3 2 4 2" xfId="7473" xr:uid="{00000000-0005-0000-0000-00002B1D0000}"/>
    <cellStyle name="40% - Accent3 4 3 3 2 5" xfId="7474" xr:uid="{00000000-0005-0000-0000-00002C1D0000}"/>
    <cellStyle name="40% - Accent3 4 3 3 2 5 2" xfId="7475" xr:uid="{00000000-0005-0000-0000-00002D1D0000}"/>
    <cellStyle name="40% - Accent3 4 3 3 2 6" xfId="7476" xr:uid="{00000000-0005-0000-0000-00002E1D0000}"/>
    <cellStyle name="40% - Accent3 4 3 3 2 6 2" xfId="7477" xr:uid="{00000000-0005-0000-0000-00002F1D0000}"/>
    <cellStyle name="40% - Accent3 4 3 3 2 7" xfId="7478" xr:uid="{00000000-0005-0000-0000-0000301D0000}"/>
    <cellStyle name="40% - Accent3 4 3 3 3" xfId="7479" xr:uid="{00000000-0005-0000-0000-0000311D0000}"/>
    <cellStyle name="40% - Accent3 4 3 3 3 2" xfId="7480" xr:uid="{00000000-0005-0000-0000-0000321D0000}"/>
    <cellStyle name="40% - Accent3 4 3 3 3 2 2" xfId="7481" xr:uid="{00000000-0005-0000-0000-0000331D0000}"/>
    <cellStyle name="40% - Accent3 4 3 3 3 3" xfId="7482" xr:uid="{00000000-0005-0000-0000-0000341D0000}"/>
    <cellStyle name="40% - Accent3 4 3 3 3 3 2" xfId="7483" xr:uid="{00000000-0005-0000-0000-0000351D0000}"/>
    <cellStyle name="40% - Accent3 4 3 3 3 4" xfId="7484" xr:uid="{00000000-0005-0000-0000-0000361D0000}"/>
    <cellStyle name="40% - Accent3 4 3 3 3 4 2" xfId="7485" xr:uid="{00000000-0005-0000-0000-0000371D0000}"/>
    <cellStyle name="40% - Accent3 4 3 3 3 5" xfId="7486" xr:uid="{00000000-0005-0000-0000-0000381D0000}"/>
    <cellStyle name="40% - Accent3 4 3 3 3 5 2" xfId="7487" xr:uid="{00000000-0005-0000-0000-0000391D0000}"/>
    <cellStyle name="40% - Accent3 4 3 3 3 6" xfId="7488" xr:uid="{00000000-0005-0000-0000-00003A1D0000}"/>
    <cellStyle name="40% - Accent3 4 3 3 4" xfId="7489" xr:uid="{00000000-0005-0000-0000-00003B1D0000}"/>
    <cellStyle name="40% - Accent3 4 3 3 4 2" xfId="7490" xr:uid="{00000000-0005-0000-0000-00003C1D0000}"/>
    <cellStyle name="40% - Accent3 4 3 3 4 2 2" xfId="7491" xr:uid="{00000000-0005-0000-0000-00003D1D0000}"/>
    <cellStyle name="40% - Accent3 4 3 3 4 3" xfId="7492" xr:uid="{00000000-0005-0000-0000-00003E1D0000}"/>
    <cellStyle name="40% - Accent3 4 3 3 5" xfId="7493" xr:uid="{00000000-0005-0000-0000-00003F1D0000}"/>
    <cellStyle name="40% - Accent3 4 3 3 5 2" xfId="7494" xr:uid="{00000000-0005-0000-0000-0000401D0000}"/>
    <cellStyle name="40% - Accent3 4 3 3 6" xfId="7495" xr:uid="{00000000-0005-0000-0000-0000411D0000}"/>
    <cellStyle name="40% - Accent3 4 3 3 6 2" xfId="7496" xr:uid="{00000000-0005-0000-0000-0000421D0000}"/>
    <cellStyle name="40% - Accent3 4 3 3 7" xfId="7497" xr:uid="{00000000-0005-0000-0000-0000431D0000}"/>
    <cellStyle name="40% - Accent3 4 3 3 7 2" xfId="7498" xr:uid="{00000000-0005-0000-0000-0000441D0000}"/>
    <cellStyle name="40% - Accent3 4 3 3 8" xfId="7499" xr:uid="{00000000-0005-0000-0000-0000451D0000}"/>
    <cellStyle name="40% - Accent3 4 3 4" xfId="7500" xr:uid="{00000000-0005-0000-0000-0000461D0000}"/>
    <cellStyle name="40% - Accent3 4 3 4 2" xfId="7501" xr:uid="{00000000-0005-0000-0000-0000471D0000}"/>
    <cellStyle name="40% - Accent3 4 3 4 2 2" xfId="7502" xr:uid="{00000000-0005-0000-0000-0000481D0000}"/>
    <cellStyle name="40% - Accent3 4 3 4 2 2 2" xfId="7503" xr:uid="{00000000-0005-0000-0000-0000491D0000}"/>
    <cellStyle name="40% - Accent3 4 3 4 2 3" xfId="7504" xr:uid="{00000000-0005-0000-0000-00004A1D0000}"/>
    <cellStyle name="40% - Accent3 4 3 4 2 3 2" xfId="7505" xr:uid="{00000000-0005-0000-0000-00004B1D0000}"/>
    <cellStyle name="40% - Accent3 4 3 4 2 4" xfId="7506" xr:uid="{00000000-0005-0000-0000-00004C1D0000}"/>
    <cellStyle name="40% - Accent3 4 3 4 3" xfId="7507" xr:uid="{00000000-0005-0000-0000-00004D1D0000}"/>
    <cellStyle name="40% - Accent3 4 3 4 3 2" xfId="7508" xr:uid="{00000000-0005-0000-0000-00004E1D0000}"/>
    <cellStyle name="40% - Accent3 4 3 4 4" xfId="7509" xr:uid="{00000000-0005-0000-0000-00004F1D0000}"/>
    <cellStyle name="40% - Accent3 4 3 4 4 2" xfId="7510" xr:uid="{00000000-0005-0000-0000-0000501D0000}"/>
    <cellStyle name="40% - Accent3 4 3 4 5" xfId="7511" xr:uid="{00000000-0005-0000-0000-0000511D0000}"/>
    <cellStyle name="40% - Accent3 4 3 4 5 2" xfId="7512" xr:uid="{00000000-0005-0000-0000-0000521D0000}"/>
    <cellStyle name="40% - Accent3 4 3 4 6" xfId="7513" xr:uid="{00000000-0005-0000-0000-0000531D0000}"/>
    <cellStyle name="40% - Accent3 4 3 4 6 2" xfId="7514" xr:uid="{00000000-0005-0000-0000-0000541D0000}"/>
    <cellStyle name="40% - Accent3 4 3 4 7" xfId="7515" xr:uid="{00000000-0005-0000-0000-0000551D0000}"/>
    <cellStyle name="40% - Accent3 4 3 5" xfId="7516" xr:uid="{00000000-0005-0000-0000-0000561D0000}"/>
    <cellStyle name="40% - Accent3 4 3 5 2" xfId="7517" xr:uid="{00000000-0005-0000-0000-0000571D0000}"/>
    <cellStyle name="40% - Accent3 4 3 5 2 2" xfId="7518" xr:uid="{00000000-0005-0000-0000-0000581D0000}"/>
    <cellStyle name="40% - Accent3 4 3 5 3" xfId="7519" xr:uid="{00000000-0005-0000-0000-0000591D0000}"/>
    <cellStyle name="40% - Accent3 4 3 5 3 2" xfId="7520" xr:uid="{00000000-0005-0000-0000-00005A1D0000}"/>
    <cellStyle name="40% - Accent3 4 3 5 4" xfId="7521" xr:uid="{00000000-0005-0000-0000-00005B1D0000}"/>
    <cellStyle name="40% - Accent3 4 3 5 4 2" xfId="7522" xr:uid="{00000000-0005-0000-0000-00005C1D0000}"/>
    <cellStyle name="40% - Accent3 4 3 5 5" xfId="7523" xr:uid="{00000000-0005-0000-0000-00005D1D0000}"/>
    <cellStyle name="40% - Accent3 4 3 5 5 2" xfId="7524" xr:uid="{00000000-0005-0000-0000-00005E1D0000}"/>
    <cellStyle name="40% - Accent3 4 3 5 6" xfId="7525" xr:uid="{00000000-0005-0000-0000-00005F1D0000}"/>
    <cellStyle name="40% - Accent3 4 3 6" xfId="7526" xr:uid="{00000000-0005-0000-0000-0000601D0000}"/>
    <cellStyle name="40% - Accent3 4 3 6 2" xfId="7527" xr:uid="{00000000-0005-0000-0000-0000611D0000}"/>
    <cellStyle name="40% - Accent3 4 3 6 2 2" xfId="7528" xr:uid="{00000000-0005-0000-0000-0000621D0000}"/>
    <cellStyle name="40% - Accent3 4 3 6 3" xfId="7529" xr:uid="{00000000-0005-0000-0000-0000631D0000}"/>
    <cellStyle name="40% - Accent3 4 3 7" xfId="7530" xr:uid="{00000000-0005-0000-0000-0000641D0000}"/>
    <cellStyle name="40% - Accent3 4 3 7 2" xfId="7531" xr:uid="{00000000-0005-0000-0000-0000651D0000}"/>
    <cellStyle name="40% - Accent3 4 3 8" xfId="7532" xr:uid="{00000000-0005-0000-0000-0000661D0000}"/>
    <cellStyle name="40% - Accent3 4 3 8 2" xfId="7533" xr:uid="{00000000-0005-0000-0000-0000671D0000}"/>
    <cellStyle name="40% - Accent3 4 3 9" xfId="7534" xr:uid="{00000000-0005-0000-0000-0000681D0000}"/>
    <cellStyle name="40% - Accent3 4 3 9 2" xfId="7535" xr:uid="{00000000-0005-0000-0000-0000691D0000}"/>
    <cellStyle name="40% - Accent3 4 4" xfId="7536" xr:uid="{00000000-0005-0000-0000-00006A1D0000}"/>
    <cellStyle name="40% - Accent3 4 4 2" xfId="7537" xr:uid="{00000000-0005-0000-0000-00006B1D0000}"/>
    <cellStyle name="40% - Accent3 4 4 2 2" xfId="7538" xr:uid="{00000000-0005-0000-0000-00006C1D0000}"/>
    <cellStyle name="40% - Accent3 4 4 2 2 2" xfId="7539" xr:uid="{00000000-0005-0000-0000-00006D1D0000}"/>
    <cellStyle name="40% - Accent3 4 4 2 2 2 2" xfId="7540" xr:uid="{00000000-0005-0000-0000-00006E1D0000}"/>
    <cellStyle name="40% - Accent3 4 4 2 2 3" xfId="7541" xr:uid="{00000000-0005-0000-0000-00006F1D0000}"/>
    <cellStyle name="40% - Accent3 4 4 2 2 3 2" xfId="7542" xr:uid="{00000000-0005-0000-0000-0000701D0000}"/>
    <cellStyle name="40% - Accent3 4 4 2 2 4" xfId="7543" xr:uid="{00000000-0005-0000-0000-0000711D0000}"/>
    <cellStyle name="40% - Accent3 4 4 2 3" xfId="7544" xr:uid="{00000000-0005-0000-0000-0000721D0000}"/>
    <cellStyle name="40% - Accent3 4 4 2 3 2" xfId="7545" xr:uid="{00000000-0005-0000-0000-0000731D0000}"/>
    <cellStyle name="40% - Accent3 4 4 2 4" xfId="7546" xr:uid="{00000000-0005-0000-0000-0000741D0000}"/>
    <cellStyle name="40% - Accent3 4 4 2 4 2" xfId="7547" xr:uid="{00000000-0005-0000-0000-0000751D0000}"/>
    <cellStyle name="40% - Accent3 4 4 2 5" xfId="7548" xr:uid="{00000000-0005-0000-0000-0000761D0000}"/>
    <cellStyle name="40% - Accent3 4 4 2 5 2" xfId="7549" xr:uid="{00000000-0005-0000-0000-0000771D0000}"/>
    <cellStyle name="40% - Accent3 4 4 2 6" xfId="7550" xr:uid="{00000000-0005-0000-0000-0000781D0000}"/>
    <cellStyle name="40% - Accent3 4 4 2 6 2" xfId="7551" xr:uid="{00000000-0005-0000-0000-0000791D0000}"/>
    <cellStyle name="40% - Accent3 4 4 2 7" xfId="7552" xr:uid="{00000000-0005-0000-0000-00007A1D0000}"/>
    <cellStyle name="40% - Accent3 4 4 3" xfId="7553" xr:uid="{00000000-0005-0000-0000-00007B1D0000}"/>
    <cellStyle name="40% - Accent3 4 4 3 2" xfId="7554" xr:uid="{00000000-0005-0000-0000-00007C1D0000}"/>
    <cellStyle name="40% - Accent3 4 4 3 2 2" xfId="7555" xr:uid="{00000000-0005-0000-0000-00007D1D0000}"/>
    <cellStyle name="40% - Accent3 4 4 3 3" xfId="7556" xr:uid="{00000000-0005-0000-0000-00007E1D0000}"/>
    <cellStyle name="40% - Accent3 4 4 3 3 2" xfId="7557" xr:uid="{00000000-0005-0000-0000-00007F1D0000}"/>
    <cellStyle name="40% - Accent3 4 4 3 4" xfId="7558" xr:uid="{00000000-0005-0000-0000-0000801D0000}"/>
    <cellStyle name="40% - Accent3 4 4 3 4 2" xfId="7559" xr:uid="{00000000-0005-0000-0000-0000811D0000}"/>
    <cellStyle name="40% - Accent3 4 4 3 5" xfId="7560" xr:uid="{00000000-0005-0000-0000-0000821D0000}"/>
    <cellStyle name="40% - Accent3 4 4 3 5 2" xfId="7561" xr:uid="{00000000-0005-0000-0000-0000831D0000}"/>
    <cellStyle name="40% - Accent3 4 4 3 6" xfId="7562" xr:uid="{00000000-0005-0000-0000-0000841D0000}"/>
    <cellStyle name="40% - Accent3 4 4 4" xfId="7563" xr:uid="{00000000-0005-0000-0000-0000851D0000}"/>
    <cellStyle name="40% - Accent3 4 4 4 2" xfId="7564" xr:uid="{00000000-0005-0000-0000-0000861D0000}"/>
    <cellStyle name="40% - Accent3 4 4 4 2 2" xfId="7565" xr:uid="{00000000-0005-0000-0000-0000871D0000}"/>
    <cellStyle name="40% - Accent3 4 4 4 3" xfId="7566" xr:uid="{00000000-0005-0000-0000-0000881D0000}"/>
    <cellStyle name="40% - Accent3 4 4 5" xfId="7567" xr:uid="{00000000-0005-0000-0000-0000891D0000}"/>
    <cellStyle name="40% - Accent3 4 4 5 2" xfId="7568" xr:uid="{00000000-0005-0000-0000-00008A1D0000}"/>
    <cellStyle name="40% - Accent3 4 4 6" xfId="7569" xr:uid="{00000000-0005-0000-0000-00008B1D0000}"/>
    <cellStyle name="40% - Accent3 4 4 6 2" xfId="7570" xr:uid="{00000000-0005-0000-0000-00008C1D0000}"/>
    <cellStyle name="40% - Accent3 4 4 7" xfId="7571" xr:uid="{00000000-0005-0000-0000-00008D1D0000}"/>
    <cellStyle name="40% - Accent3 4 4 7 2" xfId="7572" xr:uid="{00000000-0005-0000-0000-00008E1D0000}"/>
    <cellStyle name="40% - Accent3 4 4 8" xfId="7573" xr:uid="{00000000-0005-0000-0000-00008F1D0000}"/>
    <cellStyle name="40% - Accent3 4 5" xfId="7574" xr:uid="{00000000-0005-0000-0000-0000901D0000}"/>
    <cellStyle name="40% - Accent3 4 5 2" xfId="7575" xr:uid="{00000000-0005-0000-0000-0000911D0000}"/>
    <cellStyle name="40% - Accent3 4 5 2 2" xfId="7576" xr:uid="{00000000-0005-0000-0000-0000921D0000}"/>
    <cellStyle name="40% - Accent3 4 5 2 2 2" xfId="7577" xr:uid="{00000000-0005-0000-0000-0000931D0000}"/>
    <cellStyle name="40% - Accent3 4 5 2 2 2 2" xfId="7578" xr:uid="{00000000-0005-0000-0000-0000941D0000}"/>
    <cellStyle name="40% - Accent3 4 5 2 2 3" xfId="7579" xr:uid="{00000000-0005-0000-0000-0000951D0000}"/>
    <cellStyle name="40% - Accent3 4 5 2 2 3 2" xfId="7580" xr:uid="{00000000-0005-0000-0000-0000961D0000}"/>
    <cellStyle name="40% - Accent3 4 5 2 2 4" xfId="7581" xr:uid="{00000000-0005-0000-0000-0000971D0000}"/>
    <cellStyle name="40% - Accent3 4 5 2 3" xfId="7582" xr:uid="{00000000-0005-0000-0000-0000981D0000}"/>
    <cellStyle name="40% - Accent3 4 5 2 3 2" xfId="7583" xr:uid="{00000000-0005-0000-0000-0000991D0000}"/>
    <cellStyle name="40% - Accent3 4 5 2 4" xfId="7584" xr:uid="{00000000-0005-0000-0000-00009A1D0000}"/>
    <cellStyle name="40% - Accent3 4 5 2 4 2" xfId="7585" xr:uid="{00000000-0005-0000-0000-00009B1D0000}"/>
    <cellStyle name="40% - Accent3 4 5 2 5" xfId="7586" xr:uid="{00000000-0005-0000-0000-00009C1D0000}"/>
    <cellStyle name="40% - Accent3 4 5 2 5 2" xfId="7587" xr:uid="{00000000-0005-0000-0000-00009D1D0000}"/>
    <cellStyle name="40% - Accent3 4 5 2 6" xfId="7588" xr:uid="{00000000-0005-0000-0000-00009E1D0000}"/>
    <cellStyle name="40% - Accent3 4 5 2 6 2" xfId="7589" xr:uid="{00000000-0005-0000-0000-00009F1D0000}"/>
    <cellStyle name="40% - Accent3 4 5 2 7" xfId="7590" xr:uid="{00000000-0005-0000-0000-0000A01D0000}"/>
    <cellStyle name="40% - Accent3 4 5 3" xfId="7591" xr:uid="{00000000-0005-0000-0000-0000A11D0000}"/>
    <cellStyle name="40% - Accent3 4 5 3 2" xfId="7592" xr:uid="{00000000-0005-0000-0000-0000A21D0000}"/>
    <cellStyle name="40% - Accent3 4 5 3 2 2" xfId="7593" xr:uid="{00000000-0005-0000-0000-0000A31D0000}"/>
    <cellStyle name="40% - Accent3 4 5 3 3" xfId="7594" xr:uid="{00000000-0005-0000-0000-0000A41D0000}"/>
    <cellStyle name="40% - Accent3 4 5 3 3 2" xfId="7595" xr:uid="{00000000-0005-0000-0000-0000A51D0000}"/>
    <cellStyle name="40% - Accent3 4 5 3 4" xfId="7596" xr:uid="{00000000-0005-0000-0000-0000A61D0000}"/>
    <cellStyle name="40% - Accent3 4 5 3 4 2" xfId="7597" xr:uid="{00000000-0005-0000-0000-0000A71D0000}"/>
    <cellStyle name="40% - Accent3 4 5 3 5" xfId="7598" xr:uid="{00000000-0005-0000-0000-0000A81D0000}"/>
    <cellStyle name="40% - Accent3 4 5 3 5 2" xfId="7599" xr:uid="{00000000-0005-0000-0000-0000A91D0000}"/>
    <cellStyle name="40% - Accent3 4 5 3 6" xfId="7600" xr:uid="{00000000-0005-0000-0000-0000AA1D0000}"/>
    <cellStyle name="40% - Accent3 4 5 4" xfId="7601" xr:uid="{00000000-0005-0000-0000-0000AB1D0000}"/>
    <cellStyle name="40% - Accent3 4 5 4 2" xfId="7602" xr:uid="{00000000-0005-0000-0000-0000AC1D0000}"/>
    <cellStyle name="40% - Accent3 4 5 4 2 2" xfId="7603" xr:uid="{00000000-0005-0000-0000-0000AD1D0000}"/>
    <cellStyle name="40% - Accent3 4 5 4 3" xfId="7604" xr:uid="{00000000-0005-0000-0000-0000AE1D0000}"/>
    <cellStyle name="40% - Accent3 4 5 5" xfId="7605" xr:uid="{00000000-0005-0000-0000-0000AF1D0000}"/>
    <cellStyle name="40% - Accent3 4 5 5 2" xfId="7606" xr:uid="{00000000-0005-0000-0000-0000B01D0000}"/>
    <cellStyle name="40% - Accent3 4 5 6" xfId="7607" xr:uid="{00000000-0005-0000-0000-0000B11D0000}"/>
    <cellStyle name="40% - Accent3 4 5 6 2" xfId="7608" xr:uid="{00000000-0005-0000-0000-0000B21D0000}"/>
    <cellStyle name="40% - Accent3 4 5 7" xfId="7609" xr:uid="{00000000-0005-0000-0000-0000B31D0000}"/>
    <cellStyle name="40% - Accent3 4 5 7 2" xfId="7610" xr:uid="{00000000-0005-0000-0000-0000B41D0000}"/>
    <cellStyle name="40% - Accent3 4 5 8" xfId="7611" xr:uid="{00000000-0005-0000-0000-0000B51D0000}"/>
    <cellStyle name="40% - Accent3 4 6" xfId="7612" xr:uid="{00000000-0005-0000-0000-0000B61D0000}"/>
    <cellStyle name="40% - Accent3 4 6 2" xfId="7613" xr:uid="{00000000-0005-0000-0000-0000B71D0000}"/>
    <cellStyle name="40% - Accent3 4 6 2 2" xfId="7614" xr:uid="{00000000-0005-0000-0000-0000B81D0000}"/>
    <cellStyle name="40% - Accent3 4 6 2 2 2" xfId="7615" xr:uid="{00000000-0005-0000-0000-0000B91D0000}"/>
    <cellStyle name="40% - Accent3 4 6 2 3" xfId="7616" xr:uid="{00000000-0005-0000-0000-0000BA1D0000}"/>
    <cellStyle name="40% - Accent3 4 6 2 3 2" xfId="7617" xr:uid="{00000000-0005-0000-0000-0000BB1D0000}"/>
    <cellStyle name="40% - Accent3 4 6 2 4" xfId="7618" xr:uid="{00000000-0005-0000-0000-0000BC1D0000}"/>
    <cellStyle name="40% - Accent3 4 6 3" xfId="7619" xr:uid="{00000000-0005-0000-0000-0000BD1D0000}"/>
    <cellStyle name="40% - Accent3 4 6 3 2" xfId="7620" xr:uid="{00000000-0005-0000-0000-0000BE1D0000}"/>
    <cellStyle name="40% - Accent3 4 6 4" xfId="7621" xr:uid="{00000000-0005-0000-0000-0000BF1D0000}"/>
    <cellStyle name="40% - Accent3 4 6 4 2" xfId="7622" xr:uid="{00000000-0005-0000-0000-0000C01D0000}"/>
    <cellStyle name="40% - Accent3 4 6 5" xfId="7623" xr:uid="{00000000-0005-0000-0000-0000C11D0000}"/>
    <cellStyle name="40% - Accent3 4 6 5 2" xfId="7624" xr:uid="{00000000-0005-0000-0000-0000C21D0000}"/>
    <cellStyle name="40% - Accent3 4 6 6" xfId="7625" xr:uid="{00000000-0005-0000-0000-0000C31D0000}"/>
    <cellStyle name="40% - Accent3 4 6 6 2" xfId="7626" xr:uid="{00000000-0005-0000-0000-0000C41D0000}"/>
    <cellStyle name="40% - Accent3 4 6 7" xfId="7627" xr:uid="{00000000-0005-0000-0000-0000C51D0000}"/>
    <cellStyle name="40% - Accent3 4 7" xfId="7628" xr:uid="{00000000-0005-0000-0000-0000C61D0000}"/>
    <cellStyle name="40% - Accent3 4 7 2" xfId="7629" xr:uid="{00000000-0005-0000-0000-0000C71D0000}"/>
    <cellStyle name="40% - Accent3 4 7 2 2" xfId="7630" xr:uid="{00000000-0005-0000-0000-0000C81D0000}"/>
    <cellStyle name="40% - Accent3 4 7 3" xfId="7631" xr:uid="{00000000-0005-0000-0000-0000C91D0000}"/>
    <cellStyle name="40% - Accent3 4 7 3 2" xfId="7632" xr:uid="{00000000-0005-0000-0000-0000CA1D0000}"/>
    <cellStyle name="40% - Accent3 4 7 4" xfId="7633" xr:uid="{00000000-0005-0000-0000-0000CB1D0000}"/>
    <cellStyle name="40% - Accent3 4 7 4 2" xfId="7634" xr:uid="{00000000-0005-0000-0000-0000CC1D0000}"/>
    <cellStyle name="40% - Accent3 4 7 5" xfId="7635" xr:uid="{00000000-0005-0000-0000-0000CD1D0000}"/>
    <cellStyle name="40% - Accent3 4 7 5 2" xfId="7636" xr:uid="{00000000-0005-0000-0000-0000CE1D0000}"/>
    <cellStyle name="40% - Accent3 4 7 6" xfId="7637" xr:uid="{00000000-0005-0000-0000-0000CF1D0000}"/>
    <cellStyle name="40% - Accent3 4 8" xfId="7638" xr:uid="{00000000-0005-0000-0000-0000D01D0000}"/>
    <cellStyle name="40% - Accent3 4 8 2" xfId="7639" xr:uid="{00000000-0005-0000-0000-0000D11D0000}"/>
    <cellStyle name="40% - Accent3 4 8 2 2" xfId="7640" xr:uid="{00000000-0005-0000-0000-0000D21D0000}"/>
    <cellStyle name="40% - Accent3 4 8 3" xfId="7641" xr:uid="{00000000-0005-0000-0000-0000D31D0000}"/>
    <cellStyle name="40% - Accent3 4 8 3 2" xfId="7642" xr:uid="{00000000-0005-0000-0000-0000D41D0000}"/>
    <cellStyle name="40% - Accent3 4 8 4" xfId="7643" xr:uid="{00000000-0005-0000-0000-0000D51D0000}"/>
    <cellStyle name="40% - Accent3 4 9" xfId="7644" xr:uid="{00000000-0005-0000-0000-0000D61D0000}"/>
    <cellStyle name="40% - Accent3 4 9 2" xfId="7645" xr:uid="{00000000-0005-0000-0000-0000D71D0000}"/>
    <cellStyle name="40% - Accent3 4 9 2 2" xfId="7646" xr:uid="{00000000-0005-0000-0000-0000D81D0000}"/>
    <cellStyle name="40% - Accent3 4 9 3" xfId="7647" xr:uid="{00000000-0005-0000-0000-0000D91D0000}"/>
    <cellStyle name="40% - Accent3 5" xfId="7648" xr:uid="{00000000-0005-0000-0000-0000DA1D0000}"/>
    <cellStyle name="40% - Accent3 5 2" xfId="7649" xr:uid="{00000000-0005-0000-0000-0000DB1D0000}"/>
    <cellStyle name="40% - Accent3 5 2 2" xfId="7650" xr:uid="{00000000-0005-0000-0000-0000DC1D0000}"/>
    <cellStyle name="40% - Accent3 5 2 2 2" xfId="7651" xr:uid="{00000000-0005-0000-0000-0000DD1D0000}"/>
    <cellStyle name="40% - Accent3 5 2 3" xfId="7652" xr:uid="{00000000-0005-0000-0000-0000DE1D0000}"/>
    <cellStyle name="40% - Accent3 5 3" xfId="7653" xr:uid="{00000000-0005-0000-0000-0000DF1D0000}"/>
    <cellStyle name="40% - Accent3 5 3 2" xfId="7654" xr:uid="{00000000-0005-0000-0000-0000E01D0000}"/>
    <cellStyle name="40% - Accent3 5 3 2 2" xfId="7655" xr:uid="{00000000-0005-0000-0000-0000E11D0000}"/>
    <cellStyle name="40% - Accent3 5 3 3" xfId="7656" xr:uid="{00000000-0005-0000-0000-0000E21D0000}"/>
    <cellStyle name="40% - Accent3 5 4" xfId="7657" xr:uid="{00000000-0005-0000-0000-0000E31D0000}"/>
    <cellStyle name="40% - Accent3 6" xfId="7658" xr:uid="{00000000-0005-0000-0000-0000E41D0000}"/>
    <cellStyle name="40% - Accent3 6 10" xfId="7659" xr:uid="{00000000-0005-0000-0000-0000E51D0000}"/>
    <cellStyle name="40% - Accent3 6 10 2" xfId="7660" xr:uid="{00000000-0005-0000-0000-0000E61D0000}"/>
    <cellStyle name="40% - Accent3 6 11" xfId="7661" xr:uid="{00000000-0005-0000-0000-0000E71D0000}"/>
    <cellStyle name="40% - Accent3 6 2" xfId="7662" xr:uid="{00000000-0005-0000-0000-0000E81D0000}"/>
    <cellStyle name="40% - Accent3 6 2 10" xfId="7663" xr:uid="{00000000-0005-0000-0000-0000E91D0000}"/>
    <cellStyle name="40% - Accent3 6 2 2" xfId="7664" xr:uid="{00000000-0005-0000-0000-0000EA1D0000}"/>
    <cellStyle name="40% - Accent3 6 2 2 2" xfId="7665" xr:uid="{00000000-0005-0000-0000-0000EB1D0000}"/>
    <cellStyle name="40% - Accent3 6 2 2 2 2" xfId="7666" xr:uid="{00000000-0005-0000-0000-0000EC1D0000}"/>
    <cellStyle name="40% - Accent3 6 2 2 2 2 2" xfId="7667" xr:uid="{00000000-0005-0000-0000-0000ED1D0000}"/>
    <cellStyle name="40% - Accent3 6 2 2 2 2 2 2" xfId="7668" xr:uid="{00000000-0005-0000-0000-0000EE1D0000}"/>
    <cellStyle name="40% - Accent3 6 2 2 2 2 3" xfId="7669" xr:uid="{00000000-0005-0000-0000-0000EF1D0000}"/>
    <cellStyle name="40% - Accent3 6 2 2 2 2 3 2" xfId="7670" xr:uid="{00000000-0005-0000-0000-0000F01D0000}"/>
    <cellStyle name="40% - Accent3 6 2 2 2 2 4" xfId="7671" xr:uid="{00000000-0005-0000-0000-0000F11D0000}"/>
    <cellStyle name="40% - Accent3 6 2 2 2 3" xfId="7672" xr:uid="{00000000-0005-0000-0000-0000F21D0000}"/>
    <cellStyle name="40% - Accent3 6 2 2 2 3 2" xfId="7673" xr:uid="{00000000-0005-0000-0000-0000F31D0000}"/>
    <cellStyle name="40% - Accent3 6 2 2 2 4" xfId="7674" xr:uid="{00000000-0005-0000-0000-0000F41D0000}"/>
    <cellStyle name="40% - Accent3 6 2 2 2 4 2" xfId="7675" xr:uid="{00000000-0005-0000-0000-0000F51D0000}"/>
    <cellStyle name="40% - Accent3 6 2 2 2 5" xfId="7676" xr:uid="{00000000-0005-0000-0000-0000F61D0000}"/>
    <cellStyle name="40% - Accent3 6 2 2 2 5 2" xfId="7677" xr:uid="{00000000-0005-0000-0000-0000F71D0000}"/>
    <cellStyle name="40% - Accent3 6 2 2 2 6" xfId="7678" xr:uid="{00000000-0005-0000-0000-0000F81D0000}"/>
    <cellStyle name="40% - Accent3 6 2 2 2 6 2" xfId="7679" xr:uid="{00000000-0005-0000-0000-0000F91D0000}"/>
    <cellStyle name="40% - Accent3 6 2 2 2 7" xfId="7680" xr:uid="{00000000-0005-0000-0000-0000FA1D0000}"/>
    <cellStyle name="40% - Accent3 6 2 2 3" xfId="7681" xr:uid="{00000000-0005-0000-0000-0000FB1D0000}"/>
    <cellStyle name="40% - Accent3 6 2 2 3 2" xfId="7682" xr:uid="{00000000-0005-0000-0000-0000FC1D0000}"/>
    <cellStyle name="40% - Accent3 6 2 2 3 2 2" xfId="7683" xr:uid="{00000000-0005-0000-0000-0000FD1D0000}"/>
    <cellStyle name="40% - Accent3 6 2 2 3 3" xfId="7684" xr:uid="{00000000-0005-0000-0000-0000FE1D0000}"/>
    <cellStyle name="40% - Accent3 6 2 2 3 3 2" xfId="7685" xr:uid="{00000000-0005-0000-0000-0000FF1D0000}"/>
    <cellStyle name="40% - Accent3 6 2 2 3 4" xfId="7686" xr:uid="{00000000-0005-0000-0000-0000001E0000}"/>
    <cellStyle name="40% - Accent3 6 2 2 3 4 2" xfId="7687" xr:uid="{00000000-0005-0000-0000-0000011E0000}"/>
    <cellStyle name="40% - Accent3 6 2 2 3 5" xfId="7688" xr:uid="{00000000-0005-0000-0000-0000021E0000}"/>
    <cellStyle name="40% - Accent3 6 2 2 3 5 2" xfId="7689" xr:uid="{00000000-0005-0000-0000-0000031E0000}"/>
    <cellStyle name="40% - Accent3 6 2 2 3 6" xfId="7690" xr:uid="{00000000-0005-0000-0000-0000041E0000}"/>
    <cellStyle name="40% - Accent3 6 2 2 4" xfId="7691" xr:uid="{00000000-0005-0000-0000-0000051E0000}"/>
    <cellStyle name="40% - Accent3 6 2 2 4 2" xfId="7692" xr:uid="{00000000-0005-0000-0000-0000061E0000}"/>
    <cellStyle name="40% - Accent3 6 2 2 4 2 2" xfId="7693" xr:uid="{00000000-0005-0000-0000-0000071E0000}"/>
    <cellStyle name="40% - Accent3 6 2 2 4 3" xfId="7694" xr:uid="{00000000-0005-0000-0000-0000081E0000}"/>
    <cellStyle name="40% - Accent3 6 2 2 5" xfId="7695" xr:uid="{00000000-0005-0000-0000-0000091E0000}"/>
    <cellStyle name="40% - Accent3 6 2 2 5 2" xfId="7696" xr:uid="{00000000-0005-0000-0000-00000A1E0000}"/>
    <cellStyle name="40% - Accent3 6 2 2 6" xfId="7697" xr:uid="{00000000-0005-0000-0000-00000B1E0000}"/>
    <cellStyle name="40% - Accent3 6 2 2 6 2" xfId="7698" xr:uid="{00000000-0005-0000-0000-00000C1E0000}"/>
    <cellStyle name="40% - Accent3 6 2 2 7" xfId="7699" xr:uid="{00000000-0005-0000-0000-00000D1E0000}"/>
    <cellStyle name="40% - Accent3 6 2 2 7 2" xfId="7700" xr:uid="{00000000-0005-0000-0000-00000E1E0000}"/>
    <cellStyle name="40% - Accent3 6 2 2 8" xfId="7701" xr:uid="{00000000-0005-0000-0000-00000F1E0000}"/>
    <cellStyle name="40% - Accent3 6 2 3" xfId="7702" xr:uid="{00000000-0005-0000-0000-0000101E0000}"/>
    <cellStyle name="40% - Accent3 6 2 3 2" xfId="7703" xr:uid="{00000000-0005-0000-0000-0000111E0000}"/>
    <cellStyle name="40% - Accent3 6 2 3 2 2" xfId="7704" xr:uid="{00000000-0005-0000-0000-0000121E0000}"/>
    <cellStyle name="40% - Accent3 6 2 3 2 2 2" xfId="7705" xr:uid="{00000000-0005-0000-0000-0000131E0000}"/>
    <cellStyle name="40% - Accent3 6 2 3 2 2 2 2" xfId="7706" xr:uid="{00000000-0005-0000-0000-0000141E0000}"/>
    <cellStyle name="40% - Accent3 6 2 3 2 2 3" xfId="7707" xr:uid="{00000000-0005-0000-0000-0000151E0000}"/>
    <cellStyle name="40% - Accent3 6 2 3 2 2 3 2" xfId="7708" xr:uid="{00000000-0005-0000-0000-0000161E0000}"/>
    <cellStyle name="40% - Accent3 6 2 3 2 2 4" xfId="7709" xr:uid="{00000000-0005-0000-0000-0000171E0000}"/>
    <cellStyle name="40% - Accent3 6 2 3 2 3" xfId="7710" xr:uid="{00000000-0005-0000-0000-0000181E0000}"/>
    <cellStyle name="40% - Accent3 6 2 3 2 3 2" xfId="7711" xr:uid="{00000000-0005-0000-0000-0000191E0000}"/>
    <cellStyle name="40% - Accent3 6 2 3 2 4" xfId="7712" xr:uid="{00000000-0005-0000-0000-00001A1E0000}"/>
    <cellStyle name="40% - Accent3 6 2 3 2 4 2" xfId="7713" xr:uid="{00000000-0005-0000-0000-00001B1E0000}"/>
    <cellStyle name="40% - Accent3 6 2 3 2 5" xfId="7714" xr:uid="{00000000-0005-0000-0000-00001C1E0000}"/>
    <cellStyle name="40% - Accent3 6 2 3 2 5 2" xfId="7715" xr:uid="{00000000-0005-0000-0000-00001D1E0000}"/>
    <cellStyle name="40% - Accent3 6 2 3 2 6" xfId="7716" xr:uid="{00000000-0005-0000-0000-00001E1E0000}"/>
    <cellStyle name="40% - Accent3 6 2 3 2 6 2" xfId="7717" xr:uid="{00000000-0005-0000-0000-00001F1E0000}"/>
    <cellStyle name="40% - Accent3 6 2 3 2 7" xfId="7718" xr:uid="{00000000-0005-0000-0000-0000201E0000}"/>
    <cellStyle name="40% - Accent3 6 2 3 3" xfId="7719" xr:uid="{00000000-0005-0000-0000-0000211E0000}"/>
    <cellStyle name="40% - Accent3 6 2 3 3 2" xfId="7720" xr:uid="{00000000-0005-0000-0000-0000221E0000}"/>
    <cellStyle name="40% - Accent3 6 2 3 3 2 2" xfId="7721" xr:uid="{00000000-0005-0000-0000-0000231E0000}"/>
    <cellStyle name="40% - Accent3 6 2 3 3 3" xfId="7722" xr:uid="{00000000-0005-0000-0000-0000241E0000}"/>
    <cellStyle name="40% - Accent3 6 2 3 3 3 2" xfId="7723" xr:uid="{00000000-0005-0000-0000-0000251E0000}"/>
    <cellStyle name="40% - Accent3 6 2 3 3 4" xfId="7724" xr:uid="{00000000-0005-0000-0000-0000261E0000}"/>
    <cellStyle name="40% - Accent3 6 2 3 3 4 2" xfId="7725" xr:uid="{00000000-0005-0000-0000-0000271E0000}"/>
    <cellStyle name="40% - Accent3 6 2 3 3 5" xfId="7726" xr:uid="{00000000-0005-0000-0000-0000281E0000}"/>
    <cellStyle name="40% - Accent3 6 2 3 3 5 2" xfId="7727" xr:uid="{00000000-0005-0000-0000-0000291E0000}"/>
    <cellStyle name="40% - Accent3 6 2 3 3 6" xfId="7728" xr:uid="{00000000-0005-0000-0000-00002A1E0000}"/>
    <cellStyle name="40% - Accent3 6 2 3 4" xfId="7729" xr:uid="{00000000-0005-0000-0000-00002B1E0000}"/>
    <cellStyle name="40% - Accent3 6 2 3 4 2" xfId="7730" xr:uid="{00000000-0005-0000-0000-00002C1E0000}"/>
    <cellStyle name="40% - Accent3 6 2 3 4 2 2" xfId="7731" xr:uid="{00000000-0005-0000-0000-00002D1E0000}"/>
    <cellStyle name="40% - Accent3 6 2 3 4 3" xfId="7732" xr:uid="{00000000-0005-0000-0000-00002E1E0000}"/>
    <cellStyle name="40% - Accent3 6 2 3 5" xfId="7733" xr:uid="{00000000-0005-0000-0000-00002F1E0000}"/>
    <cellStyle name="40% - Accent3 6 2 3 5 2" xfId="7734" xr:uid="{00000000-0005-0000-0000-0000301E0000}"/>
    <cellStyle name="40% - Accent3 6 2 3 6" xfId="7735" xr:uid="{00000000-0005-0000-0000-0000311E0000}"/>
    <cellStyle name="40% - Accent3 6 2 3 6 2" xfId="7736" xr:uid="{00000000-0005-0000-0000-0000321E0000}"/>
    <cellStyle name="40% - Accent3 6 2 3 7" xfId="7737" xr:uid="{00000000-0005-0000-0000-0000331E0000}"/>
    <cellStyle name="40% - Accent3 6 2 3 7 2" xfId="7738" xr:uid="{00000000-0005-0000-0000-0000341E0000}"/>
    <cellStyle name="40% - Accent3 6 2 3 8" xfId="7739" xr:uid="{00000000-0005-0000-0000-0000351E0000}"/>
    <cellStyle name="40% - Accent3 6 2 4" xfId="7740" xr:uid="{00000000-0005-0000-0000-0000361E0000}"/>
    <cellStyle name="40% - Accent3 6 2 4 2" xfId="7741" xr:uid="{00000000-0005-0000-0000-0000371E0000}"/>
    <cellStyle name="40% - Accent3 6 2 4 2 2" xfId="7742" xr:uid="{00000000-0005-0000-0000-0000381E0000}"/>
    <cellStyle name="40% - Accent3 6 2 4 2 2 2" xfId="7743" xr:uid="{00000000-0005-0000-0000-0000391E0000}"/>
    <cellStyle name="40% - Accent3 6 2 4 2 3" xfId="7744" xr:uid="{00000000-0005-0000-0000-00003A1E0000}"/>
    <cellStyle name="40% - Accent3 6 2 4 2 3 2" xfId="7745" xr:uid="{00000000-0005-0000-0000-00003B1E0000}"/>
    <cellStyle name="40% - Accent3 6 2 4 2 4" xfId="7746" xr:uid="{00000000-0005-0000-0000-00003C1E0000}"/>
    <cellStyle name="40% - Accent3 6 2 4 3" xfId="7747" xr:uid="{00000000-0005-0000-0000-00003D1E0000}"/>
    <cellStyle name="40% - Accent3 6 2 4 3 2" xfId="7748" xr:uid="{00000000-0005-0000-0000-00003E1E0000}"/>
    <cellStyle name="40% - Accent3 6 2 4 4" xfId="7749" xr:uid="{00000000-0005-0000-0000-00003F1E0000}"/>
    <cellStyle name="40% - Accent3 6 2 4 4 2" xfId="7750" xr:uid="{00000000-0005-0000-0000-0000401E0000}"/>
    <cellStyle name="40% - Accent3 6 2 4 5" xfId="7751" xr:uid="{00000000-0005-0000-0000-0000411E0000}"/>
    <cellStyle name="40% - Accent3 6 2 4 5 2" xfId="7752" xr:uid="{00000000-0005-0000-0000-0000421E0000}"/>
    <cellStyle name="40% - Accent3 6 2 4 6" xfId="7753" xr:uid="{00000000-0005-0000-0000-0000431E0000}"/>
    <cellStyle name="40% - Accent3 6 2 4 6 2" xfId="7754" xr:uid="{00000000-0005-0000-0000-0000441E0000}"/>
    <cellStyle name="40% - Accent3 6 2 4 7" xfId="7755" xr:uid="{00000000-0005-0000-0000-0000451E0000}"/>
    <cellStyle name="40% - Accent3 6 2 5" xfId="7756" xr:uid="{00000000-0005-0000-0000-0000461E0000}"/>
    <cellStyle name="40% - Accent3 6 2 5 2" xfId="7757" xr:uid="{00000000-0005-0000-0000-0000471E0000}"/>
    <cellStyle name="40% - Accent3 6 2 5 2 2" xfId="7758" xr:uid="{00000000-0005-0000-0000-0000481E0000}"/>
    <cellStyle name="40% - Accent3 6 2 5 3" xfId="7759" xr:uid="{00000000-0005-0000-0000-0000491E0000}"/>
    <cellStyle name="40% - Accent3 6 2 5 3 2" xfId="7760" xr:uid="{00000000-0005-0000-0000-00004A1E0000}"/>
    <cellStyle name="40% - Accent3 6 2 5 4" xfId="7761" xr:uid="{00000000-0005-0000-0000-00004B1E0000}"/>
    <cellStyle name="40% - Accent3 6 2 5 4 2" xfId="7762" xr:uid="{00000000-0005-0000-0000-00004C1E0000}"/>
    <cellStyle name="40% - Accent3 6 2 5 5" xfId="7763" xr:uid="{00000000-0005-0000-0000-00004D1E0000}"/>
    <cellStyle name="40% - Accent3 6 2 5 5 2" xfId="7764" xr:uid="{00000000-0005-0000-0000-00004E1E0000}"/>
    <cellStyle name="40% - Accent3 6 2 5 6" xfId="7765" xr:uid="{00000000-0005-0000-0000-00004F1E0000}"/>
    <cellStyle name="40% - Accent3 6 2 6" xfId="7766" xr:uid="{00000000-0005-0000-0000-0000501E0000}"/>
    <cellStyle name="40% - Accent3 6 2 6 2" xfId="7767" xr:uid="{00000000-0005-0000-0000-0000511E0000}"/>
    <cellStyle name="40% - Accent3 6 2 6 2 2" xfId="7768" xr:uid="{00000000-0005-0000-0000-0000521E0000}"/>
    <cellStyle name="40% - Accent3 6 2 6 3" xfId="7769" xr:uid="{00000000-0005-0000-0000-0000531E0000}"/>
    <cellStyle name="40% - Accent3 6 2 7" xfId="7770" xr:uid="{00000000-0005-0000-0000-0000541E0000}"/>
    <cellStyle name="40% - Accent3 6 2 7 2" xfId="7771" xr:uid="{00000000-0005-0000-0000-0000551E0000}"/>
    <cellStyle name="40% - Accent3 6 2 8" xfId="7772" xr:uid="{00000000-0005-0000-0000-0000561E0000}"/>
    <cellStyle name="40% - Accent3 6 2 8 2" xfId="7773" xr:uid="{00000000-0005-0000-0000-0000571E0000}"/>
    <cellStyle name="40% - Accent3 6 2 9" xfId="7774" xr:uid="{00000000-0005-0000-0000-0000581E0000}"/>
    <cellStyle name="40% - Accent3 6 2 9 2" xfId="7775" xr:uid="{00000000-0005-0000-0000-0000591E0000}"/>
    <cellStyle name="40% - Accent3 6 3" xfId="7776" xr:uid="{00000000-0005-0000-0000-00005A1E0000}"/>
    <cellStyle name="40% - Accent3 6 3 2" xfId="7777" xr:uid="{00000000-0005-0000-0000-00005B1E0000}"/>
    <cellStyle name="40% - Accent3 6 3 2 2" xfId="7778" xr:uid="{00000000-0005-0000-0000-00005C1E0000}"/>
    <cellStyle name="40% - Accent3 6 3 2 2 2" xfId="7779" xr:uid="{00000000-0005-0000-0000-00005D1E0000}"/>
    <cellStyle name="40% - Accent3 6 3 2 2 2 2" xfId="7780" xr:uid="{00000000-0005-0000-0000-00005E1E0000}"/>
    <cellStyle name="40% - Accent3 6 3 2 2 3" xfId="7781" xr:uid="{00000000-0005-0000-0000-00005F1E0000}"/>
    <cellStyle name="40% - Accent3 6 3 2 2 3 2" xfId="7782" xr:uid="{00000000-0005-0000-0000-0000601E0000}"/>
    <cellStyle name="40% - Accent3 6 3 2 2 4" xfId="7783" xr:uid="{00000000-0005-0000-0000-0000611E0000}"/>
    <cellStyle name="40% - Accent3 6 3 2 3" xfId="7784" xr:uid="{00000000-0005-0000-0000-0000621E0000}"/>
    <cellStyle name="40% - Accent3 6 3 2 3 2" xfId="7785" xr:uid="{00000000-0005-0000-0000-0000631E0000}"/>
    <cellStyle name="40% - Accent3 6 3 2 4" xfId="7786" xr:uid="{00000000-0005-0000-0000-0000641E0000}"/>
    <cellStyle name="40% - Accent3 6 3 2 4 2" xfId="7787" xr:uid="{00000000-0005-0000-0000-0000651E0000}"/>
    <cellStyle name="40% - Accent3 6 3 2 5" xfId="7788" xr:uid="{00000000-0005-0000-0000-0000661E0000}"/>
    <cellStyle name="40% - Accent3 6 3 2 5 2" xfId="7789" xr:uid="{00000000-0005-0000-0000-0000671E0000}"/>
    <cellStyle name="40% - Accent3 6 3 2 6" xfId="7790" xr:uid="{00000000-0005-0000-0000-0000681E0000}"/>
    <cellStyle name="40% - Accent3 6 3 2 6 2" xfId="7791" xr:uid="{00000000-0005-0000-0000-0000691E0000}"/>
    <cellStyle name="40% - Accent3 6 3 2 7" xfId="7792" xr:uid="{00000000-0005-0000-0000-00006A1E0000}"/>
    <cellStyle name="40% - Accent3 6 3 3" xfId="7793" xr:uid="{00000000-0005-0000-0000-00006B1E0000}"/>
    <cellStyle name="40% - Accent3 6 3 3 2" xfId="7794" xr:uid="{00000000-0005-0000-0000-00006C1E0000}"/>
    <cellStyle name="40% - Accent3 6 3 3 2 2" xfId="7795" xr:uid="{00000000-0005-0000-0000-00006D1E0000}"/>
    <cellStyle name="40% - Accent3 6 3 3 3" xfId="7796" xr:uid="{00000000-0005-0000-0000-00006E1E0000}"/>
    <cellStyle name="40% - Accent3 6 3 3 3 2" xfId="7797" xr:uid="{00000000-0005-0000-0000-00006F1E0000}"/>
    <cellStyle name="40% - Accent3 6 3 3 4" xfId="7798" xr:uid="{00000000-0005-0000-0000-0000701E0000}"/>
    <cellStyle name="40% - Accent3 6 3 3 4 2" xfId="7799" xr:uid="{00000000-0005-0000-0000-0000711E0000}"/>
    <cellStyle name="40% - Accent3 6 3 3 5" xfId="7800" xr:uid="{00000000-0005-0000-0000-0000721E0000}"/>
    <cellStyle name="40% - Accent3 6 3 3 5 2" xfId="7801" xr:uid="{00000000-0005-0000-0000-0000731E0000}"/>
    <cellStyle name="40% - Accent3 6 3 3 6" xfId="7802" xr:uid="{00000000-0005-0000-0000-0000741E0000}"/>
    <cellStyle name="40% - Accent3 6 3 4" xfId="7803" xr:uid="{00000000-0005-0000-0000-0000751E0000}"/>
    <cellStyle name="40% - Accent3 6 3 4 2" xfId="7804" xr:uid="{00000000-0005-0000-0000-0000761E0000}"/>
    <cellStyle name="40% - Accent3 6 3 4 2 2" xfId="7805" xr:uid="{00000000-0005-0000-0000-0000771E0000}"/>
    <cellStyle name="40% - Accent3 6 3 4 3" xfId="7806" xr:uid="{00000000-0005-0000-0000-0000781E0000}"/>
    <cellStyle name="40% - Accent3 6 3 5" xfId="7807" xr:uid="{00000000-0005-0000-0000-0000791E0000}"/>
    <cellStyle name="40% - Accent3 6 3 5 2" xfId="7808" xr:uid="{00000000-0005-0000-0000-00007A1E0000}"/>
    <cellStyle name="40% - Accent3 6 3 6" xfId="7809" xr:uid="{00000000-0005-0000-0000-00007B1E0000}"/>
    <cellStyle name="40% - Accent3 6 3 6 2" xfId="7810" xr:uid="{00000000-0005-0000-0000-00007C1E0000}"/>
    <cellStyle name="40% - Accent3 6 3 7" xfId="7811" xr:uid="{00000000-0005-0000-0000-00007D1E0000}"/>
    <cellStyle name="40% - Accent3 6 3 7 2" xfId="7812" xr:uid="{00000000-0005-0000-0000-00007E1E0000}"/>
    <cellStyle name="40% - Accent3 6 3 8" xfId="7813" xr:uid="{00000000-0005-0000-0000-00007F1E0000}"/>
    <cellStyle name="40% - Accent3 6 4" xfId="7814" xr:uid="{00000000-0005-0000-0000-0000801E0000}"/>
    <cellStyle name="40% - Accent3 6 4 2" xfId="7815" xr:uid="{00000000-0005-0000-0000-0000811E0000}"/>
    <cellStyle name="40% - Accent3 6 4 2 2" xfId="7816" xr:uid="{00000000-0005-0000-0000-0000821E0000}"/>
    <cellStyle name="40% - Accent3 6 4 2 2 2" xfId="7817" xr:uid="{00000000-0005-0000-0000-0000831E0000}"/>
    <cellStyle name="40% - Accent3 6 4 2 2 2 2" xfId="7818" xr:uid="{00000000-0005-0000-0000-0000841E0000}"/>
    <cellStyle name="40% - Accent3 6 4 2 2 3" xfId="7819" xr:uid="{00000000-0005-0000-0000-0000851E0000}"/>
    <cellStyle name="40% - Accent3 6 4 2 2 3 2" xfId="7820" xr:uid="{00000000-0005-0000-0000-0000861E0000}"/>
    <cellStyle name="40% - Accent3 6 4 2 2 4" xfId="7821" xr:uid="{00000000-0005-0000-0000-0000871E0000}"/>
    <cellStyle name="40% - Accent3 6 4 2 3" xfId="7822" xr:uid="{00000000-0005-0000-0000-0000881E0000}"/>
    <cellStyle name="40% - Accent3 6 4 2 3 2" xfId="7823" xr:uid="{00000000-0005-0000-0000-0000891E0000}"/>
    <cellStyle name="40% - Accent3 6 4 2 4" xfId="7824" xr:uid="{00000000-0005-0000-0000-00008A1E0000}"/>
    <cellStyle name="40% - Accent3 6 4 2 4 2" xfId="7825" xr:uid="{00000000-0005-0000-0000-00008B1E0000}"/>
    <cellStyle name="40% - Accent3 6 4 2 5" xfId="7826" xr:uid="{00000000-0005-0000-0000-00008C1E0000}"/>
    <cellStyle name="40% - Accent3 6 4 2 5 2" xfId="7827" xr:uid="{00000000-0005-0000-0000-00008D1E0000}"/>
    <cellStyle name="40% - Accent3 6 4 2 6" xfId="7828" xr:uid="{00000000-0005-0000-0000-00008E1E0000}"/>
    <cellStyle name="40% - Accent3 6 4 2 6 2" xfId="7829" xr:uid="{00000000-0005-0000-0000-00008F1E0000}"/>
    <cellStyle name="40% - Accent3 6 4 2 7" xfId="7830" xr:uid="{00000000-0005-0000-0000-0000901E0000}"/>
    <cellStyle name="40% - Accent3 6 4 3" xfId="7831" xr:uid="{00000000-0005-0000-0000-0000911E0000}"/>
    <cellStyle name="40% - Accent3 6 4 3 2" xfId="7832" xr:uid="{00000000-0005-0000-0000-0000921E0000}"/>
    <cellStyle name="40% - Accent3 6 4 3 2 2" xfId="7833" xr:uid="{00000000-0005-0000-0000-0000931E0000}"/>
    <cellStyle name="40% - Accent3 6 4 3 3" xfId="7834" xr:uid="{00000000-0005-0000-0000-0000941E0000}"/>
    <cellStyle name="40% - Accent3 6 4 3 3 2" xfId="7835" xr:uid="{00000000-0005-0000-0000-0000951E0000}"/>
    <cellStyle name="40% - Accent3 6 4 3 4" xfId="7836" xr:uid="{00000000-0005-0000-0000-0000961E0000}"/>
    <cellStyle name="40% - Accent3 6 4 3 4 2" xfId="7837" xr:uid="{00000000-0005-0000-0000-0000971E0000}"/>
    <cellStyle name="40% - Accent3 6 4 3 5" xfId="7838" xr:uid="{00000000-0005-0000-0000-0000981E0000}"/>
    <cellStyle name="40% - Accent3 6 4 3 5 2" xfId="7839" xr:uid="{00000000-0005-0000-0000-0000991E0000}"/>
    <cellStyle name="40% - Accent3 6 4 3 6" xfId="7840" xr:uid="{00000000-0005-0000-0000-00009A1E0000}"/>
    <cellStyle name="40% - Accent3 6 4 4" xfId="7841" xr:uid="{00000000-0005-0000-0000-00009B1E0000}"/>
    <cellStyle name="40% - Accent3 6 4 4 2" xfId="7842" xr:uid="{00000000-0005-0000-0000-00009C1E0000}"/>
    <cellStyle name="40% - Accent3 6 4 4 2 2" xfId="7843" xr:uid="{00000000-0005-0000-0000-00009D1E0000}"/>
    <cellStyle name="40% - Accent3 6 4 4 3" xfId="7844" xr:uid="{00000000-0005-0000-0000-00009E1E0000}"/>
    <cellStyle name="40% - Accent3 6 4 5" xfId="7845" xr:uid="{00000000-0005-0000-0000-00009F1E0000}"/>
    <cellStyle name="40% - Accent3 6 4 5 2" xfId="7846" xr:uid="{00000000-0005-0000-0000-0000A01E0000}"/>
    <cellStyle name="40% - Accent3 6 4 6" xfId="7847" xr:uid="{00000000-0005-0000-0000-0000A11E0000}"/>
    <cellStyle name="40% - Accent3 6 4 6 2" xfId="7848" xr:uid="{00000000-0005-0000-0000-0000A21E0000}"/>
    <cellStyle name="40% - Accent3 6 4 7" xfId="7849" xr:uid="{00000000-0005-0000-0000-0000A31E0000}"/>
    <cellStyle name="40% - Accent3 6 4 7 2" xfId="7850" xr:uid="{00000000-0005-0000-0000-0000A41E0000}"/>
    <cellStyle name="40% - Accent3 6 4 8" xfId="7851" xr:uid="{00000000-0005-0000-0000-0000A51E0000}"/>
    <cellStyle name="40% - Accent3 6 5" xfId="7852" xr:uid="{00000000-0005-0000-0000-0000A61E0000}"/>
    <cellStyle name="40% - Accent3 6 5 2" xfId="7853" xr:uid="{00000000-0005-0000-0000-0000A71E0000}"/>
    <cellStyle name="40% - Accent3 6 5 2 2" xfId="7854" xr:uid="{00000000-0005-0000-0000-0000A81E0000}"/>
    <cellStyle name="40% - Accent3 6 5 2 2 2" xfId="7855" xr:uid="{00000000-0005-0000-0000-0000A91E0000}"/>
    <cellStyle name="40% - Accent3 6 5 2 3" xfId="7856" xr:uid="{00000000-0005-0000-0000-0000AA1E0000}"/>
    <cellStyle name="40% - Accent3 6 5 2 3 2" xfId="7857" xr:uid="{00000000-0005-0000-0000-0000AB1E0000}"/>
    <cellStyle name="40% - Accent3 6 5 2 4" xfId="7858" xr:uid="{00000000-0005-0000-0000-0000AC1E0000}"/>
    <cellStyle name="40% - Accent3 6 5 3" xfId="7859" xr:uid="{00000000-0005-0000-0000-0000AD1E0000}"/>
    <cellStyle name="40% - Accent3 6 5 3 2" xfId="7860" xr:uid="{00000000-0005-0000-0000-0000AE1E0000}"/>
    <cellStyle name="40% - Accent3 6 5 4" xfId="7861" xr:uid="{00000000-0005-0000-0000-0000AF1E0000}"/>
    <cellStyle name="40% - Accent3 6 5 4 2" xfId="7862" xr:uid="{00000000-0005-0000-0000-0000B01E0000}"/>
    <cellStyle name="40% - Accent3 6 5 5" xfId="7863" xr:uid="{00000000-0005-0000-0000-0000B11E0000}"/>
    <cellStyle name="40% - Accent3 6 5 5 2" xfId="7864" xr:uid="{00000000-0005-0000-0000-0000B21E0000}"/>
    <cellStyle name="40% - Accent3 6 5 6" xfId="7865" xr:uid="{00000000-0005-0000-0000-0000B31E0000}"/>
    <cellStyle name="40% - Accent3 6 5 6 2" xfId="7866" xr:uid="{00000000-0005-0000-0000-0000B41E0000}"/>
    <cellStyle name="40% - Accent3 6 5 7" xfId="7867" xr:uid="{00000000-0005-0000-0000-0000B51E0000}"/>
    <cellStyle name="40% - Accent3 6 6" xfId="7868" xr:uid="{00000000-0005-0000-0000-0000B61E0000}"/>
    <cellStyle name="40% - Accent3 6 6 2" xfId="7869" xr:uid="{00000000-0005-0000-0000-0000B71E0000}"/>
    <cellStyle name="40% - Accent3 6 6 2 2" xfId="7870" xr:uid="{00000000-0005-0000-0000-0000B81E0000}"/>
    <cellStyle name="40% - Accent3 6 6 3" xfId="7871" xr:uid="{00000000-0005-0000-0000-0000B91E0000}"/>
    <cellStyle name="40% - Accent3 6 6 3 2" xfId="7872" xr:uid="{00000000-0005-0000-0000-0000BA1E0000}"/>
    <cellStyle name="40% - Accent3 6 6 4" xfId="7873" xr:uid="{00000000-0005-0000-0000-0000BB1E0000}"/>
    <cellStyle name="40% - Accent3 6 6 4 2" xfId="7874" xr:uid="{00000000-0005-0000-0000-0000BC1E0000}"/>
    <cellStyle name="40% - Accent3 6 6 5" xfId="7875" xr:uid="{00000000-0005-0000-0000-0000BD1E0000}"/>
    <cellStyle name="40% - Accent3 6 6 5 2" xfId="7876" xr:uid="{00000000-0005-0000-0000-0000BE1E0000}"/>
    <cellStyle name="40% - Accent3 6 6 6" xfId="7877" xr:uid="{00000000-0005-0000-0000-0000BF1E0000}"/>
    <cellStyle name="40% - Accent3 6 7" xfId="7878" xr:uid="{00000000-0005-0000-0000-0000C01E0000}"/>
    <cellStyle name="40% - Accent3 6 7 2" xfId="7879" xr:uid="{00000000-0005-0000-0000-0000C11E0000}"/>
    <cellStyle name="40% - Accent3 6 7 2 2" xfId="7880" xr:uid="{00000000-0005-0000-0000-0000C21E0000}"/>
    <cellStyle name="40% - Accent3 6 7 3" xfId="7881" xr:uid="{00000000-0005-0000-0000-0000C31E0000}"/>
    <cellStyle name="40% - Accent3 6 8" xfId="7882" xr:uid="{00000000-0005-0000-0000-0000C41E0000}"/>
    <cellStyle name="40% - Accent3 6 8 2" xfId="7883" xr:uid="{00000000-0005-0000-0000-0000C51E0000}"/>
    <cellStyle name="40% - Accent3 6 9" xfId="7884" xr:uid="{00000000-0005-0000-0000-0000C61E0000}"/>
    <cellStyle name="40% - Accent3 6 9 2" xfId="7885" xr:uid="{00000000-0005-0000-0000-0000C71E0000}"/>
    <cellStyle name="40% - Accent3 7" xfId="7886" xr:uid="{00000000-0005-0000-0000-0000C81E0000}"/>
    <cellStyle name="40% - Accent3 7 2" xfId="7887" xr:uid="{00000000-0005-0000-0000-0000C91E0000}"/>
    <cellStyle name="40% - Accent3 8" xfId="7888" xr:uid="{00000000-0005-0000-0000-0000CA1E0000}"/>
    <cellStyle name="40% - Accent3 8 2" xfId="7889" xr:uid="{00000000-0005-0000-0000-0000CB1E0000}"/>
    <cellStyle name="40% - Accent3 8 2 2" xfId="7890" xr:uid="{00000000-0005-0000-0000-0000CC1E0000}"/>
    <cellStyle name="40% - Accent3 8 2 2 2" xfId="7891" xr:uid="{00000000-0005-0000-0000-0000CD1E0000}"/>
    <cellStyle name="40% - Accent3 8 2 2 2 2" xfId="7892" xr:uid="{00000000-0005-0000-0000-0000CE1E0000}"/>
    <cellStyle name="40% - Accent3 8 2 2 2 2 2" xfId="7893" xr:uid="{00000000-0005-0000-0000-0000CF1E0000}"/>
    <cellStyle name="40% - Accent3 8 2 2 2 3" xfId="7894" xr:uid="{00000000-0005-0000-0000-0000D01E0000}"/>
    <cellStyle name="40% - Accent3 8 2 2 2 3 2" xfId="7895" xr:uid="{00000000-0005-0000-0000-0000D11E0000}"/>
    <cellStyle name="40% - Accent3 8 2 2 2 4" xfId="7896" xr:uid="{00000000-0005-0000-0000-0000D21E0000}"/>
    <cellStyle name="40% - Accent3 8 2 2 3" xfId="7897" xr:uid="{00000000-0005-0000-0000-0000D31E0000}"/>
    <cellStyle name="40% - Accent3 8 2 2 3 2" xfId="7898" xr:uid="{00000000-0005-0000-0000-0000D41E0000}"/>
    <cellStyle name="40% - Accent3 8 2 2 4" xfId="7899" xr:uid="{00000000-0005-0000-0000-0000D51E0000}"/>
    <cellStyle name="40% - Accent3 8 2 2 4 2" xfId="7900" xr:uid="{00000000-0005-0000-0000-0000D61E0000}"/>
    <cellStyle name="40% - Accent3 8 2 2 5" xfId="7901" xr:uid="{00000000-0005-0000-0000-0000D71E0000}"/>
    <cellStyle name="40% - Accent3 8 2 2 5 2" xfId="7902" xr:uid="{00000000-0005-0000-0000-0000D81E0000}"/>
    <cellStyle name="40% - Accent3 8 2 2 6" xfId="7903" xr:uid="{00000000-0005-0000-0000-0000D91E0000}"/>
    <cellStyle name="40% - Accent3 8 2 2 6 2" xfId="7904" xr:uid="{00000000-0005-0000-0000-0000DA1E0000}"/>
    <cellStyle name="40% - Accent3 8 2 2 7" xfId="7905" xr:uid="{00000000-0005-0000-0000-0000DB1E0000}"/>
    <cellStyle name="40% - Accent3 8 2 3" xfId="7906" xr:uid="{00000000-0005-0000-0000-0000DC1E0000}"/>
    <cellStyle name="40% - Accent3 8 2 3 2" xfId="7907" xr:uid="{00000000-0005-0000-0000-0000DD1E0000}"/>
    <cellStyle name="40% - Accent3 8 2 3 2 2" xfId="7908" xr:uid="{00000000-0005-0000-0000-0000DE1E0000}"/>
    <cellStyle name="40% - Accent3 8 2 3 3" xfId="7909" xr:uid="{00000000-0005-0000-0000-0000DF1E0000}"/>
    <cellStyle name="40% - Accent3 8 2 3 3 2" xfId="7910" xr:uid="{00000000-0005-0000-0000-0000E01E0000}"/>
    <cellStyle name="40% - Accent3 8 2 3 4" xfId="7911" xr:uid="{00000000-0005-0000-0000-0000E11E0000}"/>
    <cellStyle name="40% - Accent3 8 2 3 4 2" xfId="7912" xr:uid="{00000000-0005-0000-0000-0000E21E0000}"/>
    <cellStyle name="40% - Accent3 8 2 3 5" xfId="7913" xr:uid="{00000000-0005-0000-0000-0000E31E0000}"/>
    <cellStyle name="40% - Accent3 8 2 3 5 2" xfId="7914" xr:uid="{00000000-0005-0000-0000-0000E41E0000}"/>
    <cellStyle name="40% - Accent3 8 2 3 6" xfId="7915" xr:uid="{00000000-0005-0000-0000-0000E51E0000}"/>
    <cellStyle name="40% - Accent3 8 2 4" xfId="7916" xr:uid="{00000000-0005-0000-0000-0000E61E0000}"/>
    <cellStyle name="40% - Accent3 8 2 4 2" xfId="7917" xr:uid="{00000000-0005-0000-0000-0000E71E0000}"/>
    <cellStyle name="40% - Accent3 8 2 4 2 2" xfId="7918" xr:uid="{00000000-0005-0000-0000-0000E81E0000}"/>
    <cellStyle name="40% - Accent3 8 2 4 3" xfId="7919" xr:uid="{00000000-0005-0000-0000-0000E91E0000}"/>
    <cellStyle name="40% - Accent3 8 2 5" xfId="7920" xr:uid="{00000000-0005-0000-0000-0000EA1E0000}"/>
    <cellStyle name="40% - Accent3 8 2 5 2" xfId="7921" xr:uid="{00000000-0005-0000-0000-0000EB1E0000}"/>
    <cellStyle name="40% - Accent3 8 2 6" xfId="7922" xr:uid="{00000000-0005-0000-0000-0000EC1E0000}"/>
    <cellStyle name="40% - Accent3 8 2 6 2" xfId="7923" xr:uid="{00000000-0005-0000-0000-0000ED1E0000}"/>
    <cellStyle name="40% - Accent3 8 2 7" xfId="7924" xr:uid="{00000000-0005-0000-0000-0000EE1E0000}"/>
    <cellStyle name="40% - Accent3 8 2 7 2" xfId="7925" xr:uid="{00000000-0005-0000-0000-0000EF1E0000}"/>
    <cellStyle name="40% - Accent3 8 2 8" xfId="7926" xr:uid="{00000000-0005-0000-0000-0000F01E0000}"/>
    <cellStyle name="40% - Accent3 8 3" xfId="7927" xr:uid="{00000000-0005-0000-0000-0000F11E0000}"/>
    <cellStyle name="40% - Accent3 8 3 2" xfId="7928" xr:uid="{00000000-0005-0000-0000-0000F21E0000}"/>
    <cellStyle name="40% - Accent3 8 3 2 2" xfId="7929" xr:uid="{00000000-0005-0000-0000-0000F31E0000}"/>
    <cellStyle name="40% - Accent3 8 3 2 2 2" xfId="7930" xr:uid="{00000000-0005-0000-0000-0000F41E0000}"/>
    <cellStyle name="40% - Accent3 8 3 2 3" xfId="7931" xr:uid="{00000000-0005-0000-0000-0000F51E0000}"/>
    <cellStyle name="40% - Accent3 8 3 2 3 2" xfId="7932" xr:uid="{00000000-0005-0000-0000-0000F61E0000}"/>
    <cellStyle name="40% - Accent3 8 3 2 4" xfId="7933" xr:uid="{00000000-0005-0000-0000-0000F71E0000}"/>
    <cellStyle name="40% - Accent3 8 3 3" xfId="7934" xr:uid="{00000000-0005-0000-0000-0000F81E0000}"/>
    <cellStyle name="40% - Accent3 8 3 3 2" xfId="7935" xr:uid="{00000000-0005-0000-0000-0000F91E0000}"/>
    <cellStyle name="40% - Accent3 8 3 4" xfId="7936" xr:uid="{00000000-0005-0000-0000-0000FA1E0000}"/>
    <cellStyle name="40% - Accent3 8 3 4 2" xfId="7937" xr:uid="{00000000-0005-0000-0000-0000FB1E0000}"/>
    <cellStyle name="40% - Accent3 8 3 5" xfId="7938" xr:uid="{00000000-0005-0000-0000-0000FC1E0000}"/>
    <cellStyle name="40% - Accent3 8 3 5 2" xfId="7939" xr:uid="{00000000-0005-0000-0000-0000FD1E0000}"/>
    <cellStyle name="40% - Accent3 8 3 6" xfId="7940" xr:uid="{00000000-0005-0000-0000-0000FE1E0000}"/>
    <cellStyle name="40% - Accent3 8 3 6 2" xfId="7941" xr:uid="{00000000-0005-0000-0000-0000FF1E0000}"/>
    <cellStyle name="40% - Accent3 8 3 7" xfId="7942" xr:uid="{00000000-0005-0000-0000-0000001F0000}"/>
    <cellStyle name="40% - Accent3 8 4" xfId="7943" xr:uid="{00000000-0005-0000-0000-0000011F0000}"/>
    <cellStyle name="40% - Accent3 8 4 2" xfId="7944" xr:uid="{00000000-0005-0000-0000-0000021F0000}"/>
    <cellStyle name="40% - Accent3 8 4 2 2" xfId="7945" xr:uid="{00000000-0005-0000-0000-0000031F0000}"/>
    <cellStyle name="40% - Accent3 8 4 3" xfId="7946" xr:uid="{00000000-0005-0000-0000-0000041F0000}"/>
    <cellStyle name="40% - Accent3 8 4 3 2" xfId="7947" xr:uid="{00000000-0005-0000-0000-0000051F0000}"/>
    <cellStyle name="40% - Accent3 8 4 4" xfId="7948" xr:uid="{00000000-0005-0000-0000-0000061F0000}"/>
    <cellStyle name="40% - Accent3 8 4 4 2" xfId="7949" xr:uid="{00000000-0005-0000-0000-0000071F0000}"/>
    <cellStyle name="40% - Accent3 8 4 5" xfId="7950" xr:uid="{00000000-0005-0000-0000-0000081F0000}"/>
    <cellStyle name="40% - Accent3 8 4 5 2" xfId="7951" xr:uid="{00000000-0005-0000-0000-0000091F0000}"/>
    <cellStyle name="40% - Accent3 8 4 6" xfId="7952" xr:uid="{00000000-0005-0000-0000-00000A1F0000}"/>
    <cellStyle name="40% - Accent3 8 5" xfId="7953" xr:uid="{00000000-0005-0000-0000-00000B1F0000}"/>
    <cellStyle name="40% - Accent3 8 5 2" xfId="7954" xr:uid="{00000000-0005-0000-0000-00000C1F0000}"/>
    <cellStyle name="40% - Accent3 8 5 2 2" xfId="7955" xr:uid="{00000000-0005-0000-0000-00000D1F0000}"/>
    <cellStyle name="40% - Accent3 8 5 3" xfId="7956" xr:uid="{00000000-0005-0000-0000-00000E1F0000}"/>
    <cellStyle name="40% - Accent3 8 6" xfId="7957" xr:uid="{00000000-0005-0000-0000-00000F1F0000}"/>
    <cellStyle name="40% - Accent3 8 6 2" xfId="7958" xr:uid="{00000000-0005-0000-0000-0000101F0000}"/>
    <cellStyle name="40% - Accent3 8 7" xfId="7959" xr:uid="{00000000-0005-0000-0000-0000111F0000}"/>
    <cellStyle name="40% - Accent3 8 7 2" xfId="7960" xr:uid="{00000000-0005-0000-0000-0000121F0000}"/>
    <cellStyle name="40% - Accent3 8 8" xfId="7961" xr:uid="{00000000-0005-0000-0000-0000131F0000}"/>
    <cellStyle name="40% - Accent3 8 8 2" xfId="7962" xr:uid="{00000000-0005-0000-0000-0000141F0000}"/>
    <cellStyle name="40% - Accent3 8 9" xfId="7963" xr:uid="{00000000-0005-0000-0000-0000151F0000}"/>
    <cellStyle name="40% - Accent3 9" xfId="7964" xr:uid="{00000000-0005-0000-0000-0000161F0000}"/>
    <cellStyle name="40% - Accent3 9 2" xfId="7965" xr:uid="{00000000-0005-0000-0000-0000171F0000}"/>
    <cellStyle name="40% - Accent3 9 2 2" xfId="7966" xr:uid="{00000000-0005-0000-0000-0000181F0000}"/>
    <cellStyle name="40% - Accent3 9 2 2 2" xfId="7967" xr:uid="{00000000-0005-0000-0000-0000191F0000}"/>
    <cellStyle name="40% - Accent3 9 2 2 2 2" xfId="7968" xr:uid="{00000000-0005-0000-0000-00001A1F0000}"/>
    <cellStyle name="40% - Accent3 9 2 2 3" xfId="7969" xr:uid="{00000000-0005-0000-0000-00001B1F0000}"/>
    <cellStyle name="40% - Accent3 9 2 3" xfId="7970" xr:uid="{00000000-0005-0000-0000-00001C1F0000}"/>
    <cellStyle name="40% - Accent3 9 2 3 2" xfId="7971" xr:uid="{00000000-0005-0000-0000-00001D1F0000}"/>
    <cellStyle name="40% - Accent3 9 2 4" xfId="7972" xr:uid="{00000000-0005-0000-0000-00001E1F0000}"/>
    <cellStyle name="40% - Accent3 9 3" xfId="7973" xr:uid="{00000000-0005-0000-0000-00001F1F0000}"/>
    <cellStyle name="40% - Accent3 9 3 2" xfId="7974" xr:uid="{00000000-0005-0000-0000-0000201F0000}"/>
    <cellStyle name="40% - Accent3 9 3 2 2" xfId="7975" xr:uid="{00000000-0005-0000-0000-0000211F0000}"/>
    <cellStyle name="40% - Accent3 9 3 3" xfId="7976" xr:uid="{00000000-0005-0000-0000-0000221F0000}"/>
    <cellStyle name="40% - Accent3 9 4" xfId="7977" xr:uid="{00000000-0005-0000-0000-0000231F0000}"/>
    <cellStyle name="40% - Accent3 9 4 2" xfId="7978" xr:uid="{00000000-0005-0000-0000-0000241F0000}"/>
    <cellStyle name="40% - Accent3 9 5" xfId="7979" xr:uid="{00000000-0005-0000-0000-0000251F0000}"/>
    <cellStyle name="40% - Accent3 9 5 2" xfId="7980" xr:uid="{00000000-0005-0000-0000-0000261F0000}"/>
    <cellStyle name="40% - Accent3 9 6" xfId="7981" xr:uid="{00000000-0005-0000-0000-0000271F0000}"/>
    <cellStyle name="40% - Accent3 9 6 2" xfId="7982" xr:uid="{00000000-0005-0000-0000-0000281F0000}"/>
    <cellStyle name="40% - Accent3 9 7" xfId="7983" xr:uid="{00000000-0005-0000-0000-0000291F0000}"/>
    <cellStyle name="40% - Accent4 10" xfId="7984" xr:uid="{00000000-0005-0000-0000-00002A1F0000}"/>
    <cellStyle name="40% - Accent4 10 2" xfId="7985" xr:uid="{00000000-0005-0000-0000-00002B1F0000}"/>
    <cellStyle name="40% - Accent4 10 2 2" xfId="7986" xr:uid="{00000000-0005-0000-0000-00002C1F0000}"/>
    <cellStyle name="40% - Accent4 10 2 2 2" xfId="7987" xr:uid="{00000000-0005-0000-0000-00002D1F0000}"/>
    <cellStyle name="40% - Accent4 10 2 2 2 2" xfId="7988" xr:uid="{00000000-0005-0000-0000-00002E1F0000}"/>
    <cellStyle name="40% - Accent4 10 2 2 3" xfId="7989" xr:uid="{00000000-0005-0000-0000-00002F1F0000}"/>
    <cellStyle name="40% - Accent4 10 2 3" xfId="7990" xr:uid="{00000000-0005-0000-0000-0000301F0000}"/>
    <cellStyle name="40% - Accent4 10 2 3 2" xfId="7991" xr:uid="{00000000-0005-0000-0000-0000311F0000}"/>
    <cellStyle name="40% - Accent4 10 2 4" xfId="7992" xr:uid="{00000000-0005-0000-0000-0000321F0000}"/>
    <cellStyle name="40% - Accent4 10 3" xfId="7993" xr:uid="{00000000-0005-0000-0000-0000331F0000}"/>
    <cellStyle name="40% - Accent4 10 3 2" xfId="7994" xr:uid="{00000000-0005-0000-0000-0000341F0000}"/>
    <cellStyle name="40% - Accent4 10 3 2 2" xfId="7995" xr:uid="{00000000-0005-0000-0000-0000351F0000}"/>
    <cellStyle name="40% - Accent4 10 3 3" xfId="7996" xr:uid="{00000000-0005-0000-0000-0000361F0000}"/>
    <cellStyle name="40% - Accent4 10 4" xfId="7997" xr:uid="{00000000-0005-0000-0000-0000371F0000}"/>
    <cellStyle name="40% - Accent4 10 4 2" xfId="7998" xr:uid="{00000000-0005-0000-0000-0000381F0000}"/>
    <cellStyle name="40% - Accent4 10 5" xfId="7999" xr:uid="{00000000-0005-0000-0000-0000391F0000}"/>
    <cellStyle name="40% - Accent4 11" xfId="8000" xr:uid="{00000000-0005-0000-0000-00003A1F0000}"/>
    <cellStyle name="40% - Accent4 11 2" xfId="8001" xr:uid="{00000000-0005-0000-0000-00003B1F0000}"/>
    <cellStyle name="40% - Accent4 11 2 2" xfId="8002" xr:uid="{00000000-0005-0000-0000-00003C1F0000}"/>
    <cellStyle name="40% - Accent4 11 2 2 2" xfId="8003" xr:uid="{00000000-0005-0000-0000-00003D1F0000}"/>
    <cellStyle name="40% - Accent4 11 2 2 2 2" xfId="8004" xr:uid="{00000000-0005-0000-0000-00003E1F0000}"/>
    <cellStyle name="40% - Accent4 11 2 2 3" xfId="8005" xr:uid="{00000000-0005-0000-0000-00003F1F0000}"/>
    <cellStyle name="40% - Accent4 11 2 3" xfId="8006" xr:uid="{00000000-0005-0000-0000-0000401F0000}"/>
    <cellStyle name="40% - Accent4 11 2 3 2" xfId="8007" xr:uid="{00000000-0005-0000-0000-0000411F0000}"/>
    <cellStyle name="40% - Accent4 11 2 4" xfId="8008" xr:uid="{00000000-0005-0000-0000-0000421F0000}"/>
    <cellStyle name="40% - Accent4 11 3" xfId="8009" xr:uid="{00000000-0005-0000-0000-0000431F0000}"/>
    <cellStyle name="40% - Accent4 11 3 2" xfId="8010" xr:uid="{00000000-0005-0000-0000-0000441F0000}"/>
    <cellStyle name="40% - Accent4 11 3 2 2" xfId="8011" xr:uid="{00000000-0005-0000-0000-0000451F0000}"/>
    <cellStyle name="40% - Accent4 11 3 3" xfId="8012" xr:uid="{00000000-0005-0000-0000-0000461F0000}"/>
    <cellStyle name="40% - Accent4 11 4" xfId="8013" xr:uid="{00000000-0005-0000-0000-0000471F0000}"/>
    <cellStyle name="40% - Accent4 11 4 2" xfId="8014" xr:uid="{00000000-0005-0000-0000-0000481F0000}"/>
    <cellStyle name="40% - Accent4 11 5" xfId="8015" xr:uid="{00000000-0005-0000-0000-0000491F0000}"/>
    <cellStyle name="40% - Accent4 12" xfId="8016" xr:uid="{00000000-0005-0000-0000-00004A1F0000}"/>
    <cellStyle name="40% - Accent4 12 2" xfId="8017" xr:uid="{00000000-0005-0000-0000-00004B1F0000}"/>
    <cellStyle name="40% - Accent4 13" xfId="8018" xr:uid="{00000000-0005-0000-0000-00004C1F0000}"/>
    <cellStyle name="40% - Accent4 13 2" xfId="8019" xr:uid="{00000000-0005-0000-0000-00004D1F0000}"/>
    <cellStyle name="40% - Accent4 13 2 2" xfId="8020" xr:uid="{00000000-0005-0000-0000-00004E1F0000}"/>
    <cellStyle name="40% - Accent4 13 2 2 2" xfId="8021" xr:uid="{00000000-0005-0000-0000-00004F1F0000}"/>
    <cellStyle name="40% - Accent4 13 2 3" xfId="8022" xr:uid="{00000000-0005-0000-0000-0000501F0000}"/>
    <cellStyle name="40% - Accent4 13 3" xfId="8023" xr:uid="{00000000-0005-0000-0000-0000511F0000}"/>
    <cellStyle name="40% - Accent4 13 3 2" xfId="8024" xr:uid="{00000000-0005-0000-0000-0000521F0000}"/>
    <cellStyle name="40% - Accent4 13 4" xfId="8025" xr:uid="{00000000-0005-0000-0000-0000531F0000}"/>
    <cellStyle name="40% - Accent4 14" xfId="8026" xr:uid="{00000000-0005-0000-0000-0000541F0000}"/>
    <cellStyle name="40% - Accent4 14 2" xfId="8027" xr:uid="{00000000-0005-0000-0000-0000551F0000}"/>
    <cellStyle name="40% - Accent4 2" xfId="8028" xr:uid="{00000000-0005-0000-0000-0000561F0000}"/>
    <cellStyle name="40% - Accent4 2 2" xfId="8029" xr:uid="{00000000-0005-0000-0000-0000571F0000}"/>
    <cellStyle name="40% - Accent4 2 2 2" xfId="8030" xr:uid="{00000000-0005-0000-0000-0000581F0000}"/>
    <cellStyle name="40% - Accent4 2 2 3" xfId="8031" xr:uid="{00000000-0005-0000-0000-0000591F0000}"/>
    <cellStyle name="40% - Accent4 2 2 3 2" xfId="8032" xr:uid="{00000000-0005-0000-0000-00005A1F0000}"/>
    <cellStyle name="40% - Accent4 2 3" xfId="8033" xr:uid="{00000000-0005-0000-0000-00005B1F0000}"/>
    <cellStyle name="40% - Accent4 2 3 2" xfId="8034" xr:uid="{00000000-0005-0000-0000-00005C1F0000}"/>
    <cellStyle name="40% - Accent4 2 4" xfId="8035" xr:uid="{00000000-0005-0000-0000-00005D1F0000}"/>
    <cellStyle name="40% - Accent4 2 4 2" xfId="8036" xr:uid="{00000000-0005-0000-0000-00005E1F0000}"/>
    <cellStyle name="40% - Accent4 2 4 3" xfId="8037" xr:uid="{00000000-0005-0000-0000-00005F1F0000}"/>
    <cellStyle name="40% - Accent4 2 5" xfId="8038" xr:uid="{00000000-0005-0000-0000-0000601F0000}"/>
    <cellStyle name="40% - Accent4 3" xfId="8039" xr:uid="{00000000-0005-0000-0000-0000611F0000}"/>
    <cellStyle name="40% - Accent4 3 2" xfId="8040" xr:uid="{00000000-0005-0000-0000-0000621F0000}"/>
    <cellStyle name="40% - Accent4 3 2 2" xfId="8041" xr:uid="{00000000-0005-0000-0000-0000631F0000}"/>
    <cellStyle name="40% - Accent4 3 2 2 2" xfId="8042" xr:uid="{00000000-0005-0000-0000-0000641F0000}"/>
    <cellStyle name="40% - Accent4 3 2 2 2 2" xfId="8043" xr:uid="{00000000-0005-0000-0000-0000651F0000}"/>
    <cellStyle name="40% - Accent4 3 2 2 3" xfId="8044" xr:uid="{00000000-0005-0000-0000-0000661F0000}"/>
    <cellStyle name="40% - Accent4 3 2 2 3 2" xfId="8045" xr:uid="{00000000-0005-0000-0000-0000671F0000}"/>
    <cellStyle name="40% - Accent4 3 2 2 4" xfId="8046" xr:uid="{00000000-0005-0000-0000-0000681F0000}"/>
    <cellStyle name="40% - Accent4 3 2 3" xfId="8047" xr:uid="{00000000-0005-0000-0000-0000691F0000}"/>
    <cellStyle name="40% - Accent4 3 2 3 2" xfId="8048" xr:uid="{00000000-0005-0000-0000-00006A1F0000}"/>
    <cellStyle name="40% - Accent4 3 2 4" xfId="8049" xr:uid="{00000000-0005-0000-0000-00006B1F0000}"/>
    <cellStyle name="40% - Accent4 3 2 4 2" xfId="8050" xr:uid="{00000000-0005-0000-0000-00006C1F0000}"/>
    <cellStyle name="40% - Accent4 3 2 5" xfId="8051" xr:uid="{00000000-0005-0000-0000-00006D1F0000}"/>
    <cellStyle name="40% - Accent4 3 3" xfId="8052" xr:uid="{00000000-0005-0000-0000-00006E1F0000}"/>
    <cellStyle name="40% - Accent4 3 3 2" xfId="8053" xr:uid="{00000000-0005-0000-0000-00006F1F0000}"/>
    <cellStyle name="40% - Accent4 3 3 3" xfId="8054" xr:uid="{00000000-0005-0000-0000-0000701F0000}"/>
    <cellStyle name="40% - Accent4 3 3 3 2" xfId="8055" xr:uid="{00000000-0005-0000-0000-0000711F0000}"/>
    <cellStyle name="40% - Accent4 3 3 4" xfId="8056" xr:uid="{00000000-0005-0000-0000-0000721F0000}"/>
    <cellStyle name="40% - Accent4 3 4" xfId="8057" xr:uid="{00000000-0005-0000-0000-0000731F0000}"/>
    <cellStyle name="40% - Accent4 3 4 2" xfId="8058" xr:uid="{00000000-0005-0000-0000-0000741F0000}"/>
    <cellStyle name="40% - Accent4 3 5" xfId="8059" xr:uid="{00000000-0005-0000-0000-0000751F0000}"/>
    <cellStyle name="40% - Accent4 3 5 2" xfId="8060" xr:uid="{00000000-0005-0000-0000-0000761F0000}"/>
    <cellStyle name="40% - Accent4 3 6" xfId="8061" xr:uid="{00000000-0005-0000-0000-0000771F0000}"/>
    <cellStyle name="40% - Accent4 3 6 2" xfId="8062" xr:uid="{00000000-0005-0000-0000-0000781F0000}"/>
    <cellStyle name="40% - Accent4 3 7" xfId="8063" xr:uid="{00000000-0005-0000-0000-0000791F0000}"/>
    <cellStyle name="40% - Accent4 3 7 2" xfId="8064" xr:uid="{00000000-0005-0000-0000-00007A1F0000}"/>
    <cellStyle name="40% - Accent4 3 8" xfId="8065" xr:uid="{00000000-0005-0000-0000-00007B1F0000}"/>
    <cellStyle name="40% - Accent4 3 8 2" xfId="8066" xr:uid="{00000000-0005-0000-0000-00007C1F0000}"/>
    <cellStyle name="40% - Accent4 4" xfId="8067" xr:uid="{00000000-0005-0000-0000-00007D1F0000}"/>
    <cellStyle name="40% - Accent4 4 10" xfId="8068" xr:uid="{00000000-0005-0000-0000-00007E1F0000}"/>
    <cellStyle name="40% - Accent4 4 10 2" xfId="8069" xr:uid="{00000000-0005-0000-0000-00007F1F0000}"/>
    <cellStyle name="40% - Accent4 4 11" xfId="8070" xr:uid="{00000000-0005-0000-0000-0000801F0000}"/>
    <cellStyle name="40% - Accent4 4 11 2" xfId="8071" xr:uid="{00000000-0005-0000-0000-0000811F0000}"/>
    <cellStyle name="40% - Accent4 4 12" xfId="8072" xr:uid="{00000000-0005-0000-0000-0000821F0000}"/>
    <cellStyle name="40% - Accent4 4 12 2" xfId="8073" xr:uid="{00000000-0005-0000-0000-0000831F0000}"/>
    <cellStyle name="40% - Accent4 4 13" xfId="8074" xr:uid="{00000000-0005-0000-0000-0000841F0000}"/>
    <cellStyle name="40% - Accent4 4 2" xfId="8075" xr:uid="{00000000-0005-0000-0000-0000851F0000}"/>
    <cellStyle name="40% - Accent4 4 2 10" xfId="8076" xr:uid="{00000000-0005-0000-0000-0000861F0000}"/>
    <cellStyle name="40% - Accent4 4 2 10 2" xfId="8077" xr:uid="{00000000-0005-0000-0000-0000871F0000}"/>
    <cellStyle name="40% - Accent4 4 2 11" xfId="8078" xr:uid="{00000000-0005-0000-0000-0000881F0000}"/>
    <cellStyle name="40% - Accent4 4 2 2" xfId="8079" xr:uid="{00000000-0005-0000-0000-0000891F0000}"/>
    <cellStyle name="40% - Accent4 4 2 2 10" xfId="8080" xr:uid="{00000000-0005-0000-0000-00008A1F0000}"/>
    <cellStyle name="40% - Accent4 4 2 2 2" xfId="8081" xr:uid="{00000000-0005-0000-0000-00008B1F0000}"/>
    <cellStyle name="40% - Accent4 4 2 2 2 2" xfId="8082" xr:uid="{00000000-0005-0000-0000-00008C1F0000}"/>
    <cellStyle name="40% - Accent4 4 2 2 2 2 2" xfId="8083" xr:uid="{00000000-0005-0000-0000-00008D1F0000}"/>
    <cellStyle name="40% - Accent4 4 2 2 2 2 2 2" xfId="8084" xr:uid="{00000000-0005-0000-0000-00008E1F0000}"/>
    <cellStyle name="40% - Accent4 4 2 2 2 2 2 2 2" xfId="8085" xr:uid="{00000000-0005-0000-0000-00008F1F0000}"/>
    <cellStyle name="40% - Accent4 4 2 2 2 2 2 3" xfId="8086" xr:uid="{00000000-0005-0000-0000-0000901F0000}"/>
    <cellStyle name="40% - Accent4 4 2 2 2 2 2 3 2" xfId="8087" xr:uid="{00000000-0005-0000-0000-0000911F0000}"/>
    <cellStyle name="40% - Accent4 4 2 2 2 2 2 4" xfId="8088" xr:uid="{00000000-0005-0000-0000-0000921F0000}"/>
    <cellStyle name="40% - Accent4 4 2 2 2 2 3" xfId="8089" xr:uid="{00000000-0005-0000-0000-0000931F0000}"/>
    <cellStyle name="40% - Accent4 4 2 2 2 2 3 2" xfId="8090" xr:uid="{00000000-0005-0000-0000-0000941F0000}"/>
    <cellStyle name="40% - Accent4 4 2 2 2 2 4" xfId="8091" xr:uid="{00000000-0005-0000-0000-0000951F0000}"/>
    <cellStyle name="40% - Accent4 4 2 2 2 2 4 2" xfId="8092" xr:uid="{00000000-0005-0000-0000-0000961F0000}"/>
    <cellStyle name="40% - Accent4 4 2 2 2 2 5" xfId="8093" xr:uid="{00000000-0005-0000-0000-0000971F0000}"/>
    <cellStyle name="40% - Accent4 4 2 2 2 2 5 2" xfId="8094" xr:uid="{00000000-0005-0000-0000-0000981F0000}"/>
    <cellStyle name="40% - Accent4 4 2 2 2 2 6" xfId="8095" xr:uid="{00000000-0005-0000-0000-0000991F0000}"/>
    <cellStyle name="40% - Accent4 4 2 2 2 2 6 2" xfId="8096" xr:uid="{00000000-0005-0000-0000-00009A1F0000}"/>
    <cellStyle name="40% - Accent4 4 2 2 2 2 7" xfId="8097" xr:uid="{00000000-0005-0000-0000-00009B1F0000}"/>
    <cellStyle name="40% - Accent4 4 2 2 2 3" xfId="8098" xr:uid="{00000000-0005-0000-0000-00009C1F0000}"/>
    <cellStyle name="40% - Accent4 4 2 2 2 3 2" xfId="8099" xr:uid="{00000000-0005-0000-0000-00009D1F0000}"/>
    <cellStyle name="40% - Accent4 4 2 2 2 3 2 2" xfId="8100" xr:uid="{00000000-0005-0000-0000-00009E1F0000}"/>
    <cellStyle name="40% - Accent4 4 2 2 2 3 3" xfId="8101" xr:uid="{00000000-0005-0000-0000-00009F1F0000}"/>
    <cellStyle name="40% - Accent4 4 2 2 2 3 3 2" xfId="8102" xr:uid="{00000000-0005-0000-0000-0000A01F0000}"/>
    <cellStyle name="40% - Accent4 4 2 2 2 3 4" xfId="8103" xr:uid="{00000000-0005-0000-0000-0000A11F0000}"/>
    <cellStyle name="40% - Accent4 4 2 2 2 3 4 2" xfId="8104" xr:uid="{00000000-0005-0000-0000-0000A21F0000}"/>
    <cellStyle name="40% - Accent4 4 2 2 2 3 5" xfId="8105" xr:uid="{00000000-0005-0000-0000-0000A31F0000}"/>
    <cellStyle name="40% - Accent4 4 2 2 2 3 5 2" xfId="8106" xr:uid="{00000000-0005-0000-0000-0000A41F0000}"/>
    <cellStyle name="40% - Accent4 4 2 2 2 3 6" xfId="8107" xr:uid="{00000000-0005-0000-0000-0000A51F0000}"/>
    <cellStyle name="40% - Accent4 4 2 2 2 4" xfId="8108" xr:uid="{00000000-0005-0000-0000-0000A61F0000}"/>
    <cellStyle name="40% - Accent4 4 2 2 2 4 2" xfId="8109" xr:uid="{00000000-0005-0000-0000-0000A71F0000}"/>
    <cellStyle name="40% - Accent4 4 2 2 2 4 2 2" xfId="8110" xr:uid="{00000000-0005-0000-0000-0000A81F0000}"/>
    <cellStyle name="40% - Accent4 4 2 2 2 4 3" xfId="8111" xr:uid="{00000000-0005-0000-0000-0000A91F0000}"/>
    <cellStyle name="40% - Accent4 4 2 2 2 5" xfId="8112" xr:uid="{00000000-0005-0000-0000-0000AA1F0000}"/>
    <cellStyle name="40% - Accent4 4 2 2 2 5 2" xfId="8113" xr:uid="{00000000-0005-0000-0000-0000AB1F0000}"/>
    <cellStyle name="40% - Accent4 4 2 2 2 6" xfId="8114" xr:uid="{00000000-0005-0000-0000-0000AC1F0000}"/>
    <cellStyle name="40% - Accent4 4 2 2 2 6 2" xfId="8115" xr:uid="{00000000-0005-0000-0000-0000AD1F0000}"/>
    <cellStyle name="40% - Accent4 4 2 2 2 7" xfId="8116" xr:uid="{00000000-0005-0000-0000-0000AE1F0000}"/>
    <cellStyle name="40% - Accent4 4 2 2 2 7 2" xfId="8117" xr:uid="{00000000-0005-0000-0000-0000AF1F0000}"/>
    <cellStyle name="40% - Accent4 4 2 2 2 8" xfId="8118" xr:uid="{00000000-0005-0000-0000-0000B01F0000}"/>
    <cellStyle name="40% - Accent4 4 2 2 3" xfId="8119" xr:uid="{00000000-0005-0000-0000-0000B11F0000}"/>
    <cellStyle name="40% - Accent4 4 2 2 3 2" xfId="8120" xr:uid="{00000000-0005-0000-0000-0000B21F0000}"/>
    <cellStyle name="40% - Accent4 4 2 2 3 2 2" xfId="8121" xr:uid="{00000000-0005-0000-0000-0000B31F0000}"/>
    <cellStyle name="40% - Accent4 4 2 2 3 2 2 2" xfId="8122" xr:uid="{00000000-0005-0000-0000-0000B41F0000}"/>
    <cellStyle name="40% - Accent4 4 2 2 3 2 2 2 2" xfId="8123" xr:uid="{00000000-0005-0000-0000-0000B51F0000}"/>
    <cellStyle name="40% - Accent4 4 2 2 3 2 2 3" xfId="8124" xr:uid="{00000000-0005-0000-0000-0000B61F0000}"/>
    <cellStyle name="40% - Accent4 4 2 2 3 2 2 3 2" xfId="8125" xr:uid="{00000000-0005-0000-0000-0000B71F0000}"/>
    <cellStyle name="40% - Accent4 4 2 2 3 2 2 4" xfId="8126" xr:uid="{00000000-0005-0000-0000-0000B81F0000}"/>
    <cellStyle name="40% - Accent4 4 2 2 3 2 3" xfId="8127" xr:uid="{00000000-0005-0000-0000-0000B91F0000}"/>
    <cellStyle name="40% - Accent4 4 2 2 3 2 3 2" xfId="8128" xr:uid="{00000000-0005-0000-0000-0000BA1F0000}"/>
    <cellStyle name="40% - Accent4 4 2 2 3 2 4" xfId="8129" xr:uid="{00000000-0005-0000-0000-0000BB1F0000}"/>
    <cellStyle name="40% - Accent4 4 2 2 3 2 4 2" xfId="8130" xr:uid="{00000000-0005-0000-0000-0000BC1F0000}"/>
    <cellStyle name="40% - Accent4 4 2 2 3 2 5" xfId="8131" xr:uid="{00000000-0005-0000-0000-0000BD1F0000}"/>
    <cellStyle name="40% - Accent4 4 2 2 3 2 5 2" xfId="8132" xr:uid="{00000000-0005-0000-0000-0000BE1F0000}"/>
    <cellStyle name="40% - Accent4 4 2 2 3 2 6" xfId="8133" xr:uid="{00000000-0005-0000-0000-0000BF1F0000}"/>
    <cellStyle name="40% - Accent4 4 2 2 3 2 6 2" xfId="8134" xr:uid="{00000000-0005-0000-0000-0000C01F0000}"/>
    <cellStyle name="40% - Accent4 4 2 2 3 2 7" xfId="8135" xr:uid="{00000000-0005-0000-0000-0000C11F0000}"/>
    <cellStyle name="40% - Accent4 4 2 2 3 3" xfId="8136" xr:uid="{00000000-0005-0000-0000-0000C21F0000}"/>
    <cellStyle name="40% - Accent4 4 2 2 3 3 2" xfId="8137" xr:uid="{00000000-0005-0000-0000-0000C31F0000}"/>
    <cellStyle name="40% - Accent4 4 2 2 3 3 2 2" xfId="8138" xr:uid="{00000000-0005-0000-0000-0000C41F0000}"/>
    <cellStyle name="40% - Accent4 4 2 2 3 3 3" xfId="8139" xr:uid="{00000000-0005-0000-0000-0000C51F0000}"/>
    <cellStyle name="40% - Accent4 4 2 2 3 3 3 2" xfId="8140" xr:uid="{00000000-0005-0000-0000-0000C61F0000}"/>
    <cellStyle name="40% - Accent4 4 2 2 3 3 4" xfId="8141" xr:uid="{00000000-0005-0000-0000-0000C71F0000}"/>
    <cellStyle name="40% - Accent4 4 2 2 3 3 4 2" xfId="8142" xr:uid="{00000000-0005-0000-0000-0000C81F0000}"/>
    <cellStyle name="40% - Accent4 4 2 2 3 3 5" xfId="8143" xr:uid="{00000000-0005-0000-0000-0000C91F0000}"/>
    <cellStyle name="40% - Accent4 4 2 2 3 3 5 2" xfId="8144" xr:uid="{00000000-0005-0000-0000-0000CA1F0000}"/>
    <cellStyle name="40% - Accent4 4 2 2 3 3 6" xfId="8145" xr:uid="{00000000-0005-0000-0000-0000CB1F0000}"/>
    <cellStyle name="40% - Accent4 4 2 2 3 4" xfId="8146" xr:uid="{00000000-0005-0000-0000-0000CC1F0000}"/>
    <cellStyle name="40% - Accent4 4 2 2 3 4 2" xfId="8147" xr:uid="{00000000-0005-0000-0000-0000CD1F0000}"/>
    <cellStyle name="40% - Accent4 4 2 2 3 4 2 2" xfId="8148" xr:uid="{00000000-0005-0000-0000-0000CE1F0000}"/>
    <cellStyle name="40% - Accent4 4 2 2 3 4 3" xfId="8149" xr:uid="{00000000-0005-0000-0000-0000CF1F0000}"/>
    <cellStyle name="40% - Accent4 4 2 2 3 5" xfId="8150" xr:uid="{00000000-0005-0000-0000-0000D01F0000}"/>
    <cellStyle name="40% - Accent4 4 2 2 3 5 2" xfId="8151" xr:uid="{00000000-0005-0000-0000-0000D11F0000}"/>
    <cellStyle name="40% - Accent4 4 2 2 3 6" xfId="8152" xr:uid="{00000000-0005-0000-0000-0000D21F0000}"/>
    <cellStyle name="40% - Accent4 4 2 2 3 6 2" xfId="8153" xr:uid="{00000000-0005-0000-0000-0000D31F0000}"/>
    <cellStyle name="40% - Accent4 4 2 2 3 7" xfId="8154" xr:uid="{00000000-0005-0000-0000-0000D41F0000}"/>
    <cellStyle name="40% - Accent4 4 2 2 3 7 2" xfId="8155" xr:uid="{00000000-0005-0000-0000-0000D51F0000}"/>
    <cellStyle name="40% - Accent4 4 2 2 3 8" xfId="8156" xr:uid="{00000000-0005-0000-0000-0000D61F0000}"/>
    <cellStyle name="40% - Accent4 4 2 2 4" xfId="8157" xr:uid="{00000000-0005-0000-0000-0000D71F0000}"/>
    <cellStyle name="40% - Accent4 4 2 2 4 2" xfId="8158" xr:uid="{00000000-0005-0000-0000-0000D81F0000}"/>
    <cellStyle name="40% - Accent4 4 2 2 4 2 2" xfId="8159" xr:uid="{00000000-0005-0000-0000-0000D91F0000}"/>
    <cellStyle name="40% - Accent4 4 2 2 4 2 2 2" xfId="8160" xr:uid="{00000000-0005-0000-0000-0000DA1F0000}"/>
    <cellStyle name="40% - Accent4 4 2 2 4 2 3" xfId="8161" xr:uid="{00000000-0005-0000-0000-0000DB1F0000}"/>
    <cellStyle name="40% - Accent4 4 2 2 4 2 3 2" xfId="8162" xr:uid="{00000000-0005-0000-0000-0000DC1F0000}"/>
    <cellStyle name="40% - Accent4 4 2 2 4 2 4" xfId="8163" xr:uid="{00000000-0005-0000-0000-0000DD1F0000}"/>
    <cellStyle name="40% - Accent4 4 2 2 4 3" xfId="8164" xr:uid="{00000000-0005-0000-0000-0000DE1F0000}"/>
    <cellStyle name="40% - Accent4 4 2 2 4 3 2" xfId="8165" xr:uid="{00000000-0005-0000-0000-0000DF1F0000}"/>
    <cellStyle name="40% - Accent4 4 2 2 4 4" xfId="8166" xr:uid="{00000000-0005-0000-0000-0000E01F0000}"/>
    <cellStyle name="40% - Accent4 4 2 2 4 4 2" xfId="8167" xr:uid="{00000000-0005-0000-0000-0000E11F0000}"/>
    <cellStyle name="40% - Accent4 4 2 2 4 5" xfId="8168" xr:uid="{00000000-0005-0000-0000-0000E21F0000}"/>
    <cellStyle name="40% - Accent4 4 2 2 4 5 2" xfId="8169" xr:uid="{00000000-0005-0000-0000-0000E31F0000}"/>
    <cellStyle name="40% - Accent4 4 2 2 4 6" xfId="8170" xr:uid="{00000000-0005-0000-0000-0000E41F0000}"/>
    <cellStyle name="40% - Accent4 4 2 2 4 6 2" xfId="8171" xr:uid="{00000000-0005-0000-0000-0000E51F0000}"/>
    <cellStyle name="40% - Accent4 4 2 2 4 7" xfId="8172" xr:uid="{00000000-0005-0000-0000-0000E61F0000}"/>
    <cellStyle name="40% - Accent4 4 2 2 5" xfId="8173" xr:uid="{00000000-0005-0000-0000-0000E71F0000}"/>
    <cellStyle name="40% - Accent4 4 2 2 5 2" xfId="8174" xr:uid="{00000000-0005-0000-0000-0000E81F0000}"/>
    <cellStyle name="40% - Accent4 4 2 2 5 2 2" xfId="8175" xr:uid="{00000000-0005-0000-0000-0000E91F0000}"/>
    <cellStyle name="40% - Accent4 4 2 2 5 3" xfId="8176" xr:uid="{00000000-0005-0000-0000-0000EA1F0000}"/>
    <cellStyle name="40% - Accent4 4 2 2 5 3 2" xfId="8177" xr:uid="{00000000-0005-0000-0000-0000EB1F0000}"/>
    <cellStyle name="40% - Accent4 4 2 2 5 4" xfId="8178" xr:uid="{00000000-0005-0000-0000-0000EC1F0000}"/>
    <cellStyle name="40% - Accent4 4 2 2 5 4 2" xfId="8179" xr:uid="{00000000-0005-0000-0000-0000ED1F0000}"/>
    <cellStyle name="40% - Accent4 4 2 2 5 5" xfId="8180" xr:uid="{00000000-0005-0000-0000-0000EE1F0000}"/>
    <cellStyle name="40% - Accent4 4 2 2 5 5 2" xfId="8181" xr:uid="{00000000-0005-0000-0000-0000EF1F0000}"/>
    <cellStyle name="40% - Accent4 4 2 2 5 6" xfId="8182" xr:uid="{00000000-0005-0000-0000-0000F01F0000}"/>
    <cellStyle name="40% - Accent4 4 2 2 6" xfId="8183" xr:uid="{00000000-0005-0000-0000-0000F11F0000}"/>
    <cellStyle name="40% - Accent4 4 2 2 6 2" xfId="8184" xr:uid="{00000000-0005-0000-0000-0000F21F0000}"/>
    <cellStyle name="40% - Accent4 4 2 2 6 2 2" xfId="8185" xr:uid="{00000000-0005-0000-0000-0000F31F0000}"/>
    <cellStyle name="40% - Accent4 4 2 2 6 3" xfId="8186" xr:uid="{00000000-0005-0000-0000-0000F41F0000}"/>
    <cellStyle name="40% - Accent4 4 2 2 7" xfId="8187" xr:uid="{00000000-0005-0000-0000-0000F51F0000}"/>
    <cellStyle name="40% - Accent4 4 2 2 7 2" xfId="8188" xr:uid="{00000000-0005-0000-0000-0000F61F0000}"/>
    <cellStyle name="40% - Accent4 4 2 2 8" xfId="8189" xr:uid="{00000000-0005-0000-0000-0000F71F0000}"/>
    <cellStyle name="40% - Accent4 4 2 2 8 2" xfId="8190" xr:uid="{00000000-0005-0000-0000-0000F81F0000}"/>
    <cellStyle name="40% - Accent4 4 2 2 9" xfId="8191" xr:uid="{00000000-0005-0000-0000-0000F91F0000}"/>
    <cellStyle name="40% - Accent4 4 2 2 9 2" xfId="8192" xr:uid="{00000000-0005-0000-0000-0000FA1F0000}"/>
    <cellStyle name="40% - Accent4 4 2 3" xfId="8193" xr:uid="{00000000-0005-0000-0000-0000FB1F0000}"/>
    <cellStyle name="40% - Accent4 4 2 3 2" xfId="8194" xr:uid="{00000000-0005-0000-0000-0000FC1F0000}"/>
    <cellStyle name="40% - Accent4 4 2 3 2 2" xfId="8195" xr:uid="{00000000-0005-0000-0000-0000FD1F0000}"/>
    <cellStyle name="40% - Accent4 4 2 3 2 2 2" xfId="8196" xr:uid="{00000000-0005-0000-0000-0000FE1F0000}"/>
    <cellStyle name="40% - Accent4 4 2 3 2 2 2 2" xfId="8197" xr:uid="{00000000-0005-0000-0000-0000FF1F0000}"/>
    <cellStyle name="40% - Accent4 4 2 3 2 2 3" xfId="8198" xr:uid="{00000000-0005-0000-0000-000000200000}"/>
    <cellStyle name="40% - Accent4 4 2 3 2 2 3 2" xfId="8199" xr:uid="{00000000-0005-0000-0000-000001200000}"/>
    <cellStyle name="40% - Accent4 4 2 3 2 2 4" xfId="8200" xr:uid="{00000000-0005-0000-0000-000002200000}"/>
    <cellStyle name="40% - Accent4 4 2 3 2 3" xfId="8201" xr:uid="{00000000-0005-0000-0000-000003200000}"/>
    <cellStyle name="40% - Accent4 4 2 3 2 3 2" xfId="8202" xr:uid="{00000000-0005-0000-0000-000004200000}"/>
    <cellStyle name="40% - Accent4 4 2 3 2 4" xfId="8203" xr:uid="{00000000-0005-0000-0000-000005200000}"/>
    <cellStyle name="40% - Accent4 4 2 3 2 4 2" xfId="8204" xr:uid="{00000000-0005-0000-0000-000006200000}"/>
    <cellStyle name="40% - Accent4 4 2 3 2 5" xfId="8205" xr:uid="{00000000-0005-0000-0000-000007200000}"/>
    <cellStyle name="40% - Accent4 4 2 3 2 5 2" xfId="8206" xr:uid="{00000000-0005-0000-0000-000008200000}"/>
    <cellStyle name="40% - Accent4 4 2 3 2 6" xfId="8207" xr:uid="{00000000-0005-0000-0000-000009200000}"/>
    <cellStyle name="40% - Accent4 4 2 3 2 6 2" xfId="8208" xr:uid="{00000000-0005-0000-0000-00000A200000}"/>
    <cellStyle name="40% - Accent4 4 2 3 2 7" xfId="8209" xr:uid="{00000000-0005-0000-0000-00000B200000}"/>
    <cellStyle name="40% - Accent4 4 2 3 3" xfId="8210" xr:uid="{00000000-0005-0000-0000-00000C200000}"/>
    <cellStyle name="40% - Accent4 4 2 3 3 2" xfId="8211" xr:uid="{00000000-0005-0000-0000-00000D200000}"/>
    <cellStyle name="40% - Accent4 4 2 3 3 2 2" xfId="8212" xr:uid="{00000000-0005-0000-0000-00000E200000}"/>
    <cellStyle name="40% - Accent4 4 2 3 3 3" xfId="8213" xr:uid="{00000000-0005-0000-0000-00000F200000}"/>
    <cellStyle name="40% - Accent4 4 2 3 3 3 2" xfId="8214" xr:uid="{00000000-0005-0000-0000-000010200000}"/>
    <cellStyle name="40% - Accent4 4 2 3 3 4" xfId="8215" xr:uid="{00000000-0005-0000-0000-000011200000}"/>
    <cellStyle name="40% - Accent4 4 2 3 3 4 2" xfId="8216" xr:uid="{00000000-0005-0000-0000-000012200000}"/>
    <cellStyle name="40% - Accent4 4 2 3 3 5" xfId="8217" xr:uid="{00000000-0005-0000-0000-000013200000}"/>
    <cellStyle name="40% - Accent4 4 2 3 3 5 2" xfId="8218" xr:uid="{00000000-0005-0000-0000-000014200000}"/>
    <cellStyle name="40% - Accent4 4 2 3 3 6" xfId="8219" xr:uid="{00000000-0005-0000-0000-000015200000}"/>
    <cellStyle name="40% - Accent4 4 2 3 4" xfId="8220" xr:uid="{00000000-0005-0000-0000-000016200000}"/>
    <cellStyle name="40% - Accent4 4 2 3 4 2" xfId="8221" xr:uid="{00000000-0005-0000-0000-000017200000}"/>
    <cellStyle name="40% - Accent4 4 2 3 4 2 2" xfId="8222" xr:uid="{00000000-0005-0000-0000-000018200000}"/>
    <cellStyle name="40% - Accent4 4 2 3 4 3" xfId="8223" xr:uid="{00000000-0005-0000-0000-000019200000}"/>
    <cellStyle name="40% - Accent4 4 2 3 5" xfId="8224" xr:uid="{00000000-0005-0000-0000-00001A200000}"/>
    <cellStyle name="40% - Accent4 4 2 3 5 2" xfId="8225" xr:uid="{00000000-0005-0000-0000-00001B200000}"/>
    <cellStyle name="40% - Accent4 4 2 3 6" xfId="8226" xr:uid="{00000000-0005-0000-0000-00001C200000}"/>
    <cellStyle name="40% - Accent4 4 2 3 6 2" xfId="8227" xr:uid="{00000000-0005-0000-0000-00001D200000}"/>
    <cellStyle name="40% - Accent4 4 2 3 7" xfId="8228" xr:uid="{00000000-0005-0000-0000-00001E200000}"/>
    <cellStyle name="40% - Accent4 4 2 3 7 2" xfId="8229" xr:uid="{00000000-0005-0000-0000-00001F200000}"/>
    <cellStyle name="40% - Accent4 4 2 3 8" xfId="8230" xr:uid="{00000000-0005-0000-0000-000020200000}"/>
    <cellStyle name="40% - Accent4 4 2 4" xfId="8231" xr:uid="{00000000-0005-0000-0000-000021200000}"/>
    <cellStyle name="40% - Accent4 4 2 4 2" xfId="8232" xr:uid="{00000000-0005-0000-0000-000022200000}"/>
    <cellStyle name="40% - Accent4 4 2 4 2 2" xfId="8233" xr:uid="{00000000-0005-0000-0000-000023200000}"/>
    <cellStyle name="40% - Accent4 4 2 4 2 2 2" xfId="8234" xr:uid="{00000000-0005-0000-0000-000024200000}"/>
    <cellStyle name="40% - Accent4 4 2 4 2 2 2 2" xfId="8235" xr:uid="{00000000-0005-0000-0000-000025200000}"/>
    <cellStyle name="40% - Accent4 4 2 4 2 2 3" xfId="8236" xr:uid="{00000000-0005-0000-0000-000026200000}"/>
    <cellStyle name="40% - Accent4 4 2 4 2 2 3 2" xfId="8237" xr:uid="{00000000-0005-0000-0000-000027200000}"/>
    <cellStyle name="40% - Accent4 4 2 4 2 2 4" xfId="8238" xr:uid="{00000000-0005-0000-0000-000028200000}"/>
    <cellStyle name="40% - Accent4 4 2 4 2 3" xfId="8239" xr:uid="{00000000-0005-0000-0000-000029200000}"/>
    <cellStyle name="40% - Accent4 4 2 4 2 3 2" xfId="8240" xr:uid="{00000000-0005-0000-0000-00002A200000}"/>
    <cellStyle name="40% - Accent4 4 2 4 2 4" xfId="8241" xr:uid="{00000000-0005-0000-0000-00002B200000}"/>
    <cellStyle name="40% - Accent4 4 2 4 2 4 2" xfId="8242" xr:uid="{00000000-0005-0000-0000-00002C200000}"/>
    <cellStyle name="40% - Accent4 4 2 4 2 5" xfId="8243" xr:uid="{00000000-0005-0000-0000-00002D200000}"/>
    <cellStyle name="40% - Accent4 4 2 4 2 5 2" xfId="8244" xr:uid="{00000000-0005-0000-0000-00002E200000}"/>
    <cellStyle name="40% - Accent4 4 2 4 2 6" xfId="8245" xr:uid="{00000000-0005-0000-0000-00002F200000}"/>
    <cellStyle name="40% - Accent4 4 2 4 2 6 2" xfId="8246" xr:uid="{00000000-0005-0000-0000-000030200000}"/>
    <cellStyle name="40% - Accent4 4 2 4 2 7" xfId="8247" xr:uid="{00000000-0005-0000-0000-000031200000}"/>
    <cellStyle name="40% - Accent4 4 2 4 3" xfId="8248" xr:uid="{00000000-0005-0000-0000-000032200000}"/>
    <cellStyle name="40% - Accent4 4 2 4 3 2" xfId="8249" xr:uid="{00000000-0005-0000-0000-000033200000}"/>
    <cellStyle name="40% - Accent4 4 2 4 3 2 2" xfId="8250" xr:uid="{00000000-0005-0000-0000-000034200000}"/>
    <cellStyle name="40% - Accent4 4 2 4 3 3" xfId="8251" xr:uid="{00000000-0005-0000-0000-000035200000}"/>
    <cellStyle name="40% - Accent4 4 2 4 3 3 2" xfId="8252" xr:uid="{00000000-0005-0000-0000-000036200000}"/>
    <cellStyle name="40% - Accent4 4 2 4 3 4" xfId="8253" xr:uid="{00000000-0005-0000-0000-000037200000}"/>
    <cellStyle name="40% - Accent4 4 2 4 3 4 2" xfId="8254" xr:uid="{00000000-0005-0000-0000-000038200000}"/>
    <cellStyle name="40% - Accent4 4 2 4 3 5" xfId="8255" xr:uid="{00000000-0005-0000-0000-000039200000}"/>
    <cellStyle name="40% - Accent4 4 2 4 3 5 2" xfId="8256" xr:uid="{00000000-0005-0000-0000-00003A200000}"/>
    <cellStyle name="40% - Accent4 4 2 4 3 6" xfId="8257" xr:uid="{00000000-0005-0000-0000-00003B200000}"/>
    <cellStyle name="40% - Accent4 4 2 4 4" xfId="8258" xr:uid="{00000000-0005-0000-0000-00003C200000}"/>
    <cellStyle name="40% - Accent4 4 2 4 4 2" xfId="8259" xr:uid="{00000000-0005-0000-0000-00003D200000}"/>
    <cellStyle name="40% - Accent4 4 2 4 4 2 2" xfId="8260" xr:uid="{00000000-0005-0000-0000-00003E200000}"/>
    <cellStyle name="40% - Accent4 4 2 4 4 3" xfId="8261" xr:uid="{00000000-0005-0000-0000-00003F200000}"/>
    <cellStyle name="40% - Accent4 4 2 4 5" xfId="8262" xr:uid="{00000000-0005-0000-0000-000040200000}"/>
    <cellStyle name="40% - Accent4 4 2 4 5 2" xfId="8263" xr:uid="{00000000-0005-0000-0000-000041200000}"/>
    <cellStyle name="40% - Accent4 4 2 4 6" xfId="8264" xr:uid="{00000000-0005-0000-0000-000042200000}"/>
    <cellStyle name="40% - Accent4 4 2 4 6 2" xfId="8265" xr:uid="{00000000-0005-0000-0000-000043200000}"/>
    <cellStyle name="40% - Accent4 4 2 4 7" xfId="8266" xr:uid="{00000000-0005-0000-0000-000044200000}"/>
    <cellStyle name="40% - Accent4 4 2 4 7 2" xfId="8267" xr:uid="{00000000-0005-0000-0000-000045200000}"/>
    <cellStyle name="40% - Accent4 4 2 4 8" xfId="8268" xr:uid="{00000000-0005-0000-0000-000046200000}"/>
    <cellStyle name="40% - Accent4 4 2 5" xfId="8269" xr:uid="{00000000-0005-0000-0000-000047200000}"/>
    <cellStyle name="40% - Accent4 4 2 5 2" xfId="8270" xr:uid="{00000000-0005-0000-0000-000048200000}"/>
    <cellStyle name="40% - Accent4 4 2 5 2 2" xfId="8271" xr:uid="{00000000-0005-0000-0000-000049200000}"/>
    <cellStyle name="40% - Accent4 4 2 5 2 2 2" xfId="8272" xr:uid="{00000000-0005-0000-0000-00004A200000}"/>
    <cellStyle name="40% - Accent4 4 2 5 2 3" xfId="8273" xr:uid="{00000000-0005-0000-0000-00004B200000}"/>
    <cellStyle name="40% - Accent4 4 2 5 2 3 2" xfId="8274" xr:uid="{00000000-0005-0000-0000-00004C200000}"/>
    <cellStyle name="40% - Accent4 4 2 5 2 4" xfId="8275" xr:uid="{00000000-0005-0000-0000-00004D200000}"/>
    <cellStyle name="40% - Accent4 4 2 5 3" xfId="8276" xr:uid="{00000000-0005-0000-0000-00004E200000}"/>
    <cellStyle name="40% - Accent4 4 2 5 3 2" xfId="8277" xr:uid="{00000000-0005-0000-0000-00004F200000}"/>
    <cellStyle name="40% - Accent4 4 2 5 4" xfId="8278" xr:uid="{00000000-0005-0000-0000-000050200000}"/>
    <cellStyle name="40% - Accent4 4 2 5 4 2" xfId="8279" xr:uid="{00000000-0005-0000-0000-000051200000}"/>
    <cellStyle name="40% - Accent4 4 2 5 5" xfId="8280" xr:uid="{00000000-0005-0000-0000-000052200000}"/>
    <cellStyle name="40% - Accent4 4 2 5 5 2" xfId="8281" xr:uid="{00000000-0005-0000-0000-000053200000}"/>
    <cellStyle name="40% - Accent4 4 2 5 6" xfId="8282" xr:uid="{00000000-0005-0000-0000-000054200000}"/>
    <cellStyle name="40% - Accent4 4 2 5 6 2" xfId="8283" xr:uid="{00000000-0005-0000-0000-000055200000}"/>
    <cellStyle name="40% - Accent4 4 2 5 7" xfId="8284" xr:uid="{00000000-0005-0000-0000-000056200000}"/>
    <cellStyle name="40% - Accent4 4 2 6" xfId="8285" xr:uid="{00000000-0005-0000-0000-000057200000}"/>
    <cellStyle name="40% - Accent4 4 2 6 2" xfId="8286" xr:uid="{00000000-0005-0000-0000-000058200000}"/>
    <cellStyle name="40% - Accent4 4 2 6 2 2" xfId="8287" xr:uid="{00000000-0005-0000-0000-000059200000}"/>
    <cellStyle name="40% - Accent4 4 2 6 3" xfId="8288" xr:uid="{00000000-0005-0000-0000-00005A200000}"/>
    <cellStyle name="40% - Accent4 4 2 6 3 2" xfId="8289" xr:uid="{00000000-0005-0000-0000-00005B200000}"/>
    <cellStyle name="40% - Accent4 4 2 6 4" xfId="8290" xr:uid="{00000000-0005-0000-0000-00005C200000}"/>
    <cellStyle name="40% - Accent4 4 2 6 4 2" xfId="8291" xr:uid="{00000000-0005-0000-0000-00005D200000}"/>
    <cellStyle name="40% - Accent4 4 2 6 5" xfId="8292" xr:uid="{00000000-0005-0000-0000-00005E200000}"/>
    <cellStyle name="40% - Accent4 4 2 6 5 2" xfId="8293" xr:uid="{00000000-0005-0000-0000-00005F200000}"/>
    <cellStyle name="40% - Accent4 4 2 6 6" xfId="8294" xr:uid="{00000000-0005-0000-0000-000060200000}"/>
    <cellStyle name="40% - Accent4 4 2 7" xfId="8295" xr:uid="{00000000-0005-0000-0000-000061200000}"/>
    <cellStyle name="40% - Accent4 4 2 7 2" xfId="8296" xr:uid="{00000000-0005-0000-0000-000062200000}"/>
    <cellStyle name="40% - Accent4 4 2 7 2 2" xfId="8297" xr:uid="{00000000-0005-0000-0000-000063200000}"/>
    <cellStyle name="40% - Accent4 4 2 7 3" xfId="8298" xr:uid="{00000000-0005-0000-0000-000064200000}"/>
    <cellStyle name="40% - Accent4 4 2 8" xfId="8299" xr:uid="{00000000-0005-0000-0000-000065200000}"/>
    <cellStyle name="40% - Accent4 4 2 8 2" xfId="8300" xr:uid="{00000000-0005-0000-0000-000066200000}"/>
    <cellStyle name="40% - Accent4 4 2 9" xfId="8301" xr:uid="{00000000-0005-0000-0000-000067200000}"/>
    <cellStyle name="40% - Accent4 4 2 9 2" xfId="8302" xr:uid="{00000000-0005-0000-0000-000068200000}"/>
    <cellStyle name="40% - Accent4 4 3" xfId="8303" xr:uid="{00000000-0005-0000-0000-000069200000}"/>
    <cellStyle name="40% - Accent4 4 3 10" xfId="8304" xr:uid="{00000000-0005-0000-0000-00006A200000}"/>
    <cellStyle name="40% - Accent4 4 3 2" xfId="8305" xr:uid="{00000000-0005-0000-0000-00006B200000}"/>
    <cellStyle name="40% - Accent4 4 3 2 2" xfId="8306" xr:uid="{00000000-0005-0000-0000-00006C200000}"/>
    <cellStyle name="40% - Accent4 4 3 2 2 2" xfId="8307" xr:uid="{00000000-0005-0000-0000-00006D200000}"/>
    <cellStyle name="40% - Accent4 4 3 2 2 2 2" xfId="8308" xr:uid="{00000000-0005-0000-0000-00006E200000}"/>
    <cellStyle name="40% - Accent4 4 3 2 2 2 2 2" xfId="8309" xr:uid="{00000000-0005-0000-0000-00006F200000}"/>
    <cellStyle name="40% - Accent4 4 3 2 2 2 3" xfId="8310" xr:uid="{00000000-0005-0000-0000-000070200000}"/>
    <cellStyle name="40% - Accent4 4 3 2 2 2 3 2" xfId="8311" xr:uid="{00000000-0005-0000-0000-000071200000}"/>
    <cellStyle name="40% - Accent4 4 3 2 2 2 4" xfId="8312" xr:uid="{00000000-0005-0000-0000-000072200000}"/>
    <cellStyle name="40% - Accent4 4 3 2 2 3" xfId="8313" xr:uid="{00000000-0005-0000-0000-000073200000}"/>
    <cellStyle name="40% - Accent4 4 3 2 2 3 2" xfId="8314" xr:uid="{00000000-0005-0000-0000-000074200000}"/>
    <cellStyle name="40% - Accent4 4 3 2 2 4" xfId="8315" xr:uid="{00000000-0005-0000-0000-000075200000}"/>
    <cellStyle name="40% - Accent4 4 3 2 2 4 2" xfId="8316" xr:uid="{00000000-0005-0000-0000-000076200000}"/>
    <cellStyle name="40% - Accent4 4 3 2 2 5" xfId="8317" xr:uid="{00000000-0005-0000-0000-000077200000}"/>
    <cellStyle name="40% - Accent4 4 3 2 2 5 2" xfId="8318" xr:uid="{00000000-0005-0000-0000-000078200000}"/>
    <cellStyle name="40% - Accent4 4 3 2 2 6" xfId="8319" xr:uid="{00000000-0005-0000-0000-000079200000}"/>
    <cellStyle name="40% - Accent4 4 3 2 2 6 2" xfId="8320" xr:uid="{00000000-0005-0000-0000-00007A200000}"/>
    <cellStyle name="40% - Accent4 4 3 2 2 7" xfId="8321" xr:uid="{00000000-0005-0000-0000-00007B200000}"/>
    <cellStyle name="40% - Accent4 4 3 2 3" xfId="8322" xr:uid="{00000000-0005-0000-0000-00007C200000}"/>
    <cellStyle name="40% - Accent4 4 3 2 3 2" xfId="8323" xr:uid="{00000000-0005-0000-0000-00007D200000}"/>
    <cellStyle name="40% - Accent4 4 3 2 3 2 2" xfId="8324" xr:uid="{00000000-0005-0000-0000-00007E200000}"/>
    <cellStyle name="40% - Accent4 4 3 2 3 3" xfId="8325" xr:uid="{00000000-0005-0000-0000-00007F200000}"/>
    <cellStyle name="40% - Accent4 4 3 2 3 3 2" xfId="8326" xr:uid="{00000000-0005-0000-0000-000080200000}"/>
    <cellStyle name="40% - Accent4 4 3 2 3 4" xfId="8327" xr:uid="{00000000-0005-0000-0000-000081200000}"/>
    <cellStyle name="40% - Accent4 4 3 2 3 4 2" xfId="8328" xr:uid="{00000000-0005-0000-0000-000082200000}"/>
    <cellStyle name="40% - Accent4 4 3 2 3 5" xfId="8329" xr:uid="{00000000-0005-0000-0000-000083200000}"/>
    <cellStyle name="40% - Accent4 4 3 2 3 5 2" xfId="8330" xr:uid="{00000000-0005-0000-0000-000084200000}"/>
    <cellStyle name="40% - Accent4 4 3 2 3 6" xfId="8331" xr:uid="{00000000-0005-0000-0000-000085200000}"/>
    <cellStyle name="40% - Accent4 4 3 2 4" xfId="8332" xr:uid="{00000000-0005-0000-0000-000086200000}"/>
    <cellStyle name="40% - Accent4 4 3 2 4 2" xfId="8333" xr:uid="{00000000-0005-0000-0000-000087200000}"/>
    <cellStyle name="40% - Accent4 4 3 2 4 2 2" xfId="8334" xr:uid="{00000000-0005-0000-0000-000088200000}"/>
    <cellStyle name="40% - Accent4 4 3 2 4 3" xfId="8335" xr:uid="{00000000-0005-0000-0000-000089200000}"/>
    <cellStyle name="40% - Accent4 4 3 2 5" xfId="8336" xr:uid="{00000000-0005-0000-0000-00008A200000}"/>
    <cellStyle name="40% - Accent4 4 3 2 5 2" xfId="8337" xr:uid="{00000000-0005-0000-0000-00008B200000}"/>
    <cellStyle name="40% - Accent4 4 3 2 6" xfId="8338" xr:uid="{00000000-0005-0000-0000-00008C200000}"/>
    <cellStyle name="40% - Accent4 4 3 2 6 2" xfId="8339" xr:uid="{00000000-0005-0000-0000-00008D200000}"/>
    <cellStyle name="40% - Accent4 4 3 2 7" xfId="8340" xr:uid="{00000000-0005-0000-0000-00008E200000}"/>
    <cellStyle name="40% - Accent4 4 3 2 7 2" xfId="8341" xr:uid="{00000000-0005-0000-0000-00008F200000}"/>
    <cellStyle name="40% - Accent4 4 3 2 8" xfId="8342" xr:uid="{00000000-0005-0000-0000-000090200000}"/>
    <cellStyle name="40% - Accent4 4 3 3" xfId="8343" xr:uid="{00000000-0005-0000-0000-000091200000}"/>
    <cellStyle name="40% - Accent4 4 3 3 2" xfId="8344" xr:uid="{00000000-0005-0000-0000-000092200000}"/>
    <cellStyle name="40% - Accent4 4 3 3 2 2" xfId="8345" xr:uid="{00000000-0005-0000-0000-000093200000}"/>
    <cellStyle name="40% - Accent4 4 3 3 2 2 2" xfId="8346" xr:uid="{00000000-0005-0000-0000-000094200000}"/>
    <cellStyle name="40% - Accent4 4 3 3 2 2 2 2" xfId="8347" xr:uid="{00000000-0005-0000-0000-000095200000}"/>
    <cellStyle name="40% - Accent4 4 3 3 2 2 3" xfId="8348" xr:uid="{00000000-0005-0000-0000-000096200000}"/>
    <cellStyle name="40% - Accent4 4 3 3 2 2 3 2" xfId="8349" xr:uid="{00000000-0005-0000-0000-000097200000}"/>
    <cellStyle name="40% - Accent4 4 3 3 2 2 4" xfId="8350" xr:uid="{00000000-0005-0000-0000-000098200000}"/>
    <cellStyle name="40% - Accent4 4 3 3 2 3" xfId="8351" xr:uid="{00000000-0005-0000-0000-000099200000}"/>
    <cellStyle name="40% - Accent4 4 3 3 2 3 2" xfId="8352" xr:uid="{00000000-0005-0000-0000-00009A200000}"/>
    <cellStyle name="40% - Accent4 4 3 3 2 4" xfId="8353" xr:uid="{00000000-0005-0000-0000-00009B200000}"/>
    <cellStyle name="40% - Accent4 4 3 3 2 4 2" xfId="8354" xr:uid="{00000000-0005-0000-0000-00009C200000}"/>
    <cellStyle name="40% - Accent4 4 3 3 2 5" xfId="8355" xr:uid="{00000000-0005-0000-0000-00009D200000}"/>
    <cellStyle name="40% - Accent4 4 3 3 2 5 2" xfId="8356" xr:uid="{00000000-0005-0000-0000-00009E200000}"/>
    <cellStyle name="40% - Accent4 4 3 3 2 6" xfId="8357" xr:uid="{00000000-0005-0000-0000-00009F200000}"/>
    <cellStyle name="40% - Accent4 4 3 3 2 6 2" xfId="8358" xr:uid="{00000000-0005-0000-0000-0000A0200000}"/>
    <cellStyle name="40% - Accent4 4 3 3 2 7" xfId="8359" xr:uid="{00000000-0005-0000-0000-0000A1200000}"/>
    <cellStyle name="40% - Accent4 4 3 3 3" xfId="8360" xr:uid="{00000000-0005-0000-0000-0000A2200000}"/>
    <cellStyle name="40% - Accent4 4 3 3 3 2" xfId="8361" xr:uid="{00000000-0005-0000-0000-0000A3200000}"/>
    <cellStyle name="40% - Accent4 4 3 3 3 2 2" xfId="8362" xr:uid="{00000000-0005-0000-0000-0000A4200000}"/>
    <cellStyle name="40% - Accent4 4 3 3 3 3" xfId="8363" xr:uid="{00000000-0005-0000-0000-0000A5200000}"/>
    <cellStyle name="40% - Accent4 4 3 3 3 3 2" xfId="8364" xr:uid="{00000000-0005-0000-0000-0000A6200000}"/>
    <cellStyle name="40% - Accent4 4 3 3 3 4" xfId="8365" xr:uid="{00000000-0005-0000-0000-0000A7200000}"/>
    <cellStyle name="40% - Accent4 4 3 3 3 4 2" xfId="8366" xr:uid="{00000000-0005-0000-0000-0000A8200000}"/>
    <cellStyle name="40% - Accent4 4 3 3 3 5" xfId="8367" xr:uid="{00000000-0005-0000-0000-0000A9200000}"/>
    <cellStyle name="40% - Accent4 4 3 3 3 5 2" xfId="8368" xr:uid="{00000000-0005-0000-0000-0000AA200000}"/>
    <cellStyle name="40% - Accent4 4 3 3 3 6" xfId="8369" xr:uid="{00000000-0005-0000-0000-0000AB200000}"/>
    <cellStyle name="40% - Accent4 4 3 3 4" xfId="8370" xr:uid="{00000000-0005-0000-0000-0000AC200000}"/>
    <cellStyle name="40% - Accent4 4 3 3 4 2" xfId="8371" xr:uid="{00000000-0005-0000-0000-0000AD200000}"/>
    <cellStyle name="40% - Accent4 4 3 3 4 2 2" xfId="8372" xr:uid="{00000000-0005-0000-0000-0000AE200000}"/>
    <cellStyle name="40% - Accent4 4 3 3 4 3" xfId="8373" xr:uid="{00000000-0005-0000-0000-0000AF200000}"/>
    <cellStyle name="40% - Accent4 4 3 3 5" xfId="8374" xr:uid="{00000000-0005-0000-0000-0000B0200000}"/>
    <cellStyle name="40% - Accent4 4 3 3 5 2" xfId="8375" xr:uid="{00000000-0005-0000-0000-0000B1200000}"/>
    <cellStyle name="40% - Accent4 4 3 3 6" xfId="8376" xr:uid="{00000000-0005-0000-0000-0000B2200000}"/>
    <cellStyle name="40% - Accent4 4 3 3 6 2" xfId="8377" xr:uid="{00000000-0005-0000-0000-0000B3200000}"/>
    <cellStyle name="40% - Accent4 4 3 3 7" xfId="8378" xr:uid="{00000000-0005-0000-0000-0000B4200000}"/>
    <cellStyle name="40% - Accent4 4 3 3 7 2" xfId="8379" xr:uid="{00000000-0005-0000-0000-0000B5200000}"/>
    <cellStyle name="40% - Accent4 4 3 3 8" xfId="8380" xr:uid="{00000000-0005-0000-0000-0000B6200000}"/>
    <cellStyle name="40% - Accent4 4 3 4" xfId="8381" xr:uid="{00000000-0005-0000-0000-0000B7200000}"/>
    <cellStyle name="40% - Accent4 4 3 4 2" xfId="8382" xr:uid="{00000000-0005-0000-0000-0000B8200000}"/>
    <cellStyle name="40% - Accent4 4 3 4 2 2" xfId="8383" xr:uid="{00000000-0005-0000-0000-0000B9200000}"/>
    <cellStyle name="40% - Accent4 4 3 4 2 2 2" xfId="8384" xr:uid="{00000000-0005-0000-0000-0000BA200000}"/>
    <cellStyle name="40% - Accent4 4 3 4 2 3" xfId="8385" xr:uid="{00000000-0005-0000-0000-0000BB200000}"/>
    <cellStyle name="40% - Accent4 4 3 4 2 3 2" xfId="8386" xr:uid="{00000000-0005-0000-0000-0000BC200000}"/>
    <cellStyle name="40% - Accent4 4 3 4 2 4" xfId="8387" xr:uid="{00000000-0005-0000-0000-0000BD200000}"/>
    <cellStyle name="40% - Accent4 4 3 4 3" xfId="8388" xr:uid="{00000000-0005-0000-0000-0000BE200000}"/>
    <cellStyle name="40% - Accent4 4 3 4 3 2" xfId="8389" xr:uid="{00000000-0005-0000-0000-0000BF200000}"/>
    <cellStyle name="40% - Accent4 4 3 4 4" xfId="8390" xr:uid="{00000000-0005-0000-0000-0000C0200000}"/>
    <cellStyle name="40% - Accent4 4 3 4 4 2" xfId="8391" xr:uid="{00000000-0005-0000-0000-0000C1200000}"/>
    <cellStyle name="40% - Accent4 4 3 4 5" xfId="8392" xr:uid="{00000000-0005-0000-0000-0000C2200000}"/>
    <cellStyle name="40% - Accent4 4 3 4 5 2" xfId="8393" xr:uid="{00000000-0005-0000-0000-0000C3200000}"/>
    <cellStyle name="40% - Accent4 4 3 4 6" xfId="8394" xr:uid="{00000000-0005-0000-0000-0000C4200000}"/>
    <cellStyle name="40% - Accent4 4 3 4 6 2" xfId="8395" xr:uid="{00000000-0005-0000-0000-0000C5200000}"/>
    <cellStyle name="40% - Accent4 4 3 4 7" xfId="8396" xr:uid="{00000000-0005-0000-0000-0000C6200000}"/>
    <cellStyle name="40% - Accent4 4 3 5" xfId="8397" xr:uid="{00000000-0005-0000-0000-0000C7200000}"/>
    <cellStyle name="40% - Accent4 4 3 5 2" xfId="8398" xr:uid="{00000000-0005-0000-0000-0000C8200000}"/>
    <cellStyle name="40% - Accent4 4 3 5 2 2" xfId="8399" xr:uid="{00000000-0005-0000-0000-0000C9200000}"/>
    <cellStyle name="40% - Accent4 4 3 5 3" xfId="8400" xr:uid="{00000000-0005-0000-0000-0000CA200000}"/>
    <cellStyle name="40% - Accent4 4 3 5 3 2" xfId="8401" xr:uid="{00000000-0005-0000-0000-0000CB200000}"/>
    <cellStyle name="40% - Accent4 4 3 5 4" xfId="8402" xr:uid="{00000000-0005-0000-0000-0000CC200000}"/>
    <cellStyle name="40% - Accent4 4 3 5 4 2" xfId="8403" xr:uid="{00000000-0005-0000-0000-0000CD200000}"/>
    <cellStyle name="40% - Accent4 4 3 5 5" xfId="8404" xr:uid="{00000000-0005-0000-0000-0000CE200000}"/>
    <cellStyle name="40% - Accent4 4 3 5 5 2" xfId="8405" xr:uid="{00000000-0005-0000-0000-0000CF200000}"/>
    <cellStyle name="40% - Accent4 4 3 5 6" xfId="8406" xr:uid="{00000000-0005-0000-0000-0000D0200000}"/>
    <cellStyle name="40% - Accent4 4 3 6" xfId="8407" xr:uid="{00000000-0005-0000-0000-0000D1200000}"/>
    <cellStyle name="40% - Accent4 4 3 6 2" xfId="8408" xr:uid="{00000000-0005-0000-0000-0000D2200000}"/>
    <cellStyle name="40% - Accent4 4 3 6 2 2" xfId="8409" xr:uid="{00000000-0005-0000-0000-0000D3200000}"/>
    <cellStyle name="40% - Accent4 4 3 6 3" xfId="8410" xr:uid="{00000000-0005-0000-0000-0000D4200000}"/>
    <cellStyle name="40% - Accent4 4 3 7" xfId="8411" xr:uid="{00000000-0005-0000-0000-0000D5200000}"/>
    <cellStyle name="40% - Accent4 4 3 7 2" xfId="8412" xr:uid="{00000000-0005-0000-0000-0000D6200000}"/>
    <cellStyle name="40% - Accent4 4 3 8" xfId="8413" xr:uid="{00000000-0005-0000-0000-0000D7200000}"/>
    <cellStyle name="40% - Accent4 4 3 8 2" xfId="8414" xr:uid="{00000000-0005-0000-0000-0000D8200000}"/>
    <cellStyle name="40% - Accent4 4 3 9" xfId="8415" xr:uid="{00000000-0005-0000-0000-0000D9200000}"/>
    <cellStyle name="40% - Accent4 4 3 9 2" xfId="8416" xr:uid="{00000000-0005-0000-0000-0000DA200000}"/>
    <cellStyle name="40% - Accent4 4 4" xfId="8417" xr:uid="{00000000-0005-0000-0000-0000DB200000}"/>
    <cellStyle name="40% - Accent4 4 4 2" xfId="8418" xr:uid="{00000000-0005-0000-0000-0000DC200000}"/>
    <cellStyle name="40% - Accent4 4 4 2 2" xfId="8419" xr:uid="{00000000-0005-0000-0000-0000DD200000}"/>
    <cellStyle name="40% - Accent4 4 4 2 2 2" xfId="8420" xr:uid="{00000000-0005-0000-0000-0000DE200000}"/>
    <cellStyle name="40% - Accent4 4 4 2 2 2 2" xfId="8421" xr:uid="{00000000-0005-0000-0000-0000DF200000}"/>
    <cellStyle name="40% - Accent4 4 4 2 2 3" xfId="8422" xr:uid="{00000000-0005-0000-0000-0000E0200000}"/>
    <cellStyle name="40% - Accent4 4 4 2 2 3 2" xfId="8423" xr:uid="{00000000-0005-0000-0000-0000E1200000}"/>
    <cellStyle name="40% - Accent4 4 4 2 2 4" xfId="8424" xr:uid="{00000000-0005-0000-0000-0000E2200000}"/>
    <cellStyle name="40% - Accent4 4 4 2 3" xfId="8425" xr:uid="{00000000-0005-0000-0000-0000E3200000}"/>
    <cellStyle name="40% - Accent4 4 4 2 3 2" xfId="8426" xr:uid="{00000000-0005-0000-0000-0000E4200000}"/>
    <cellStyle name="40% - Accent4 4 4 2 4" xfId="8427" xr:uid="{00000000-0005-0000-0000-0000E5200000}"/>
    <cellStyle name="40% - Accent4 4 4 2 4 2" xfId="8428" xr:uid="{00000000-0005-0000-0000-0000E6200000}"/>
    <cellStyle name="40% - Accent4 4 4 2 5" xfId="8429" xr:uid="{00000000-0005-0000-0000-0000E7200000}"/>
    <cellStyle name="40% - Accent4 4 4 2 5 2" xfId="8430" xr:uid="{00000000-0005-0000-0000-0000E8200000}"/>
    <cellStyle name="40% - Accent4 4 4 2 6" xfId="8431" xr:uid="{00000000-0005-0000-0000-0000E9200000}"/>
    <cellStyle name="40% - Accent4 4 4 2 6 2" xfId="8432" xr:uid="{00000000-0005-0000-0000-0000EA200000}"/>
    <cellStyle name="40% - Accent4 4 4 2 7" xfId="8433" xr:uid="{00000000-0005-0000-0000-0000EB200000}"/>
    <cellStyle name="40% - Accent4 4 4 3" xfId="8434" xr:uid="{00000000-0005-0000-0000-0000EC200000}"/>
    <cellStyle name="40% - Accent4 4 4 3 2" xfId="8435" xr:uid="{00000000-0005-0000-0000-0000ED200000}"/>
    <cellStyle name="40% - Accent4 4 4 3 2 2" xfId="8436" xr:uid="{00000000-0005-0000-0000-0000EE200000}"/>
    <cellStyle name="40% - Accent4 4 4 3 3" xfId="8437" xr:uid="{00000000-0005-0000-0000-0000EF200000}"/>
    <cellStyle name="40% - Accent4 4 4 3 3 2" xfId="8438" xr:uid="{00000000-0005-0000-0000-0000F0200000}"/>
    <cellStyle name="40% - Accent4 4 4 3 4" xfId="8439" xr:uid="{00000000-0005-0000-0000-0000F1200000}"/>
    <cellStyle name="40% - Accent4 4 4 3 4 2" xfId="8440" xr:uid="{00000000-0005-0000-0000-0000F2200000}"/>
    <cellStyle name="40% - Accent4 4 4 3 5" xfId="8441" xr:uid="{00000000-0005-0000-0000-0000F3200000}"/>
    <cellStyle name="40% - Accent4 4 4 3 5 2" xfId="8442" xr:uid="{00000000-0005-0000-0000-0000F4200000}"/>
    <cellStyle name="40% - Accent4 4 4 3 6" xfId="8443" xr:uid="{00000000-0005-0000-0000-0000F5200000}"/>
    <cellStyle name="40% - Accent4 4 4 4" xfId="8444" xr:uid="{00000000-0005-0000-0000-0000F6200000}"/>
    <cellStyle name="40% - Accent4 4 4 4 2" xfId="8445" xr:uid="{00000000-0005-0000-0000-0000F7200000}"/>
    <cellStyle name="40% - Accent4 4 4 4 2 2" xfId="8446" xr:uid="{00000000-0005-0000-0000-0000F8200000}"/>
    <cellStyle name="40% - Accent4 4 4 4 3" xfId="8447" xr:uid="{00000000-0005-0000-0000-0000F9200000}"/>
    <cellStyle name="40% - Accent4 4 4 5" xfId="8448" xr:uid="{00000000-0005-0000-0000-0000FA200000}"/>
    <cellStyle name="40% - Accent4 4 4 5 2" xfId="8449" xr:uid="{00000000-0005-0000-0000-0000FB200000}"/>
    <cellStyle name="40% - Accent4 4 4 6" xfId="8450" xr:uid="{00000000-0005-0000-0000-0000FC200000}"/>
    <cellStyle name="40% - Accent4 4 4 6 2" xfId="8451" xr:uid="{00000000-0005-0000-0000-0000FD200000}"/>
    <cellStyle name="40% - Accent4 4 4 7" xfId="8452" xr:uid="{00000000-0005-0000-0000-0000FE200000}"/>
    <cellStyle name="40% - Accent4 4 4 7 2" xfId="8453" xr:uid="{00000000-0005-0000-0000-0000FF200000}"/>
    <cellStyle name="40% - Accent4 4 4 8" xfId="8454" xr:uid="{00000000-0005-0000-0000-000000210000}"/>
    <cellStyle name="40% - Accent4 4 5" xfId="8455" xr:uid="{00000000-0005-0000-0000-000001210000}"/>
    <cellStyle name="40% - Accent4 4 5 2" xfId="8456" xr:uid="{00000000-0005-0000-0000-000002210000}"/>
    <cellStyle name="40% - Accent4 4 5 2 2" xfId="8457" xr:uid="{00000000-0005-0000-0000-000003210000}"/>
    <cellStyle name="40% - Accent4 4 5 2 2 2" xfId="8458" xr:uid="{00000000-0005-0000-0000-000004210000}"/>
    <cellStyle name="40% - Accent4 4 5 2 2 2 2" xfId="8459" xr:uid="{00000000-0005-0000-0000-000005210000}"/>
    <cellStyle name="40% - Accent4 4 5 2 2 3" xfId="8460" xr:uid="{00000000-0005-0000-0000-000006210000}"/>
    <cellStyle name="40% - Accent4 4 5 2 2 3 2" xfId="8461" xr:uid="{00000000-0005-0000-0000-000007210000}"/>
    <cellStyle name="40% - Accent4 4 5 2 2 4" xfId="8462" xr:uid="{00000000-0005-0000-0000-000008210000}"/>
    <cellStyle name="40% - Accent4 4 5 2 3" xfId="8463" xr:uid="{00000000-0005-0000-0000-000009210000}"/>
    <cellStyle name="40% - Accent4 4 5 2 3 2" xfId="8464" xr:uid="{00000000-0005-0000-0000-00000A210000}"/>
    <cellStyle name="40% - Accent4 4 5 2 4" xfId="8465" xr:uid="{00000000-0005-0000-0000-00000B210000}"/>
    <cellStyle name="40% - Accent4 4 5 2 4 2" xfId="8466" xr:uid="{00000000-0005-0000-0000-00000C210000}"/>
    <cellStyle name="40% - Accent4 4 5 2 5" xfId="8467" xr:uid="{00000000-0005-0000-0000-00000D210000}"/>
    <cellStyle name="40% - Accent4 4 5 2 5 2" xfId="8468" xr:uid="{00000000-0005-0000-0000-00000E210000}"/>
    <cellStyle name="40% - Accent4 4 5 2 6" xfId="8469" xr:uid="{00000000-0005-0000-0000-00000F210000}"/>
    <cellStyle name="40% - Accent4 4 5 2 6 2" xfId="8470" xr:uid="{00000000-0005-0000-0000-000010210000}"/>
    <cellStyle name="40% - Accent4 4 5 2 7" xfId="8471" xr:uid="{00000000-0005-0000-0000-000011210000}"/>
    <cellStyle name="40% - Accent4 4 5 3" xfId="8472" xr:uid="{00000000-0005-0000-0000-000012210000}"/>
    <cellStyle name="40% - Accent4 4 5 3 2" xfId="8473" xr:uid="{00000000-0005-0000-0000-000013210000}"/>
    <cellStyle name="40% - Accent4 4 5 3 2 2" xfId="8474" xr:uid="{00000000-0005-0000-0000-000014210000}"/>
    <cellStyle name="40% - Accent4 4 5 3 3" xfId="8475" xr:uid="{00000000-0005-0000-0000-000015210000}"/>
    <cellStyle name="40% - Accent4 4 5 3 3 2" xfId="8476" xr:uid="{00000000-0005-0000-0000-000016210000}"/>
    <cellStyle name="40% - Accent4 4 5 3 4" xfId="8477" xr:uid="{00000000-0005-0000-0000-000017210000}"/>
    <cellStyle name="40% - Accent4 4 5 3 4 2" xfId="8478" xr:uid="{00000000-0005-0000-0000-000018210000}"/>
    <cellStyle name="40% - Accent4 4 5 3 5" xfId="8479" xr:uid="{00000000-0005-0000-0000-000019210000}"/>
    <cellStyle name="40% - Accent4 4 5 3 5 2" xfId="8480" xr:uid="{00000000-0005-0000-0000-00001A210000}"/>
    <cellStyle name="40% - Accent4 4 5 3 6" xfId="8481" xr:uid="{00000000-0005-0000-0000-00001B210000}"/>
    <cellStyle name="40% - Accent4 4 5 4" xfId="8482" xr:uid="{00000000-0005-0000-0000-00001C210000}"/>
    <cellStyle name="40% - Accent4 4 5 4 2" xfId="8483" xr:uid="{00000000-0005-0000-0000-00001D210000}"/>
    <cellStyle name="40% - Accent4 4 5 4 2 2" xfId="8484" xr:uid="{00000000-0005-0000-0000-00001E210000}"/>
    <cellStyle name="40% - Accent4 4 5 4 3" xfId="8485" xr:uid="{00000000-0005-0000-0000-00001F210000}"/>
    <cellStyle name="40% - Accent4 4 5 5" xfId="8486" xr:uid="{00000000-0005-0000-0000-000020210000}"/>
    <cellStyle name="40% - Accent4 4 5 5 2" xfId="8487" xr:uid="{00000000-0005-0000-0000-000021210000}"/>
    <cellStyle name="40% - Accent4 4 5 6" xfId="8488" xr:uid="{00000000-0005-0000-0000-000022210000}"/>
    <cellStyle name="40% - Accent4 4 5 6 2" xfId="8489" xr:uid="{00000000-0005-0000-0000-000023210000}"/>
    <cellStyle name="40% - Accent4 4 5 7" xfId="8490" xr:uid="{00000000-0005-0000-0000-000024210000}"/>
    <cellStyle name="40% - Accent4 4 5 7 2" xfId="8491" xr:uid="{00000000-0005-0000-0000-000025210000}"/>
    <cellStyle name="40% - Accent4 4 5 8" xfId="8492" xr:uid="{00000000-0005-0000-0000-000026210000}"/>
    <cellStyle name="40% - Accent4 4 6" xfId="8493" xr:uid="{00000000-0005-0000-0000-000027210000}"/>
    <cellStyle name="40% - Accent4 4 6 2" xfId="8494" xr:uid="{00000000-0005-0000-0000-000028210000}"/>
    <cellStyle name="40% - Accent4 4 6 2 2" xfId="8495" xr:uid="{00000000-0005-0000-0000-000029210000}"/>
    <cellStyle name="40% - Accent4 4 6 2 2 2" xfId="8496" xr:uid="{00000000-0005-0000-0000-00002A210000}"/>
    <cellStyle name="40% - Accent4 4 6 2 3" xfId="8497" xr:uid="{00000000-0005-0000-0000-00002B210000}"/>
    <cellStyle name="40% - Accent4 4 6 2 3 2" xfId="8498" xr:uid="{00000000-0005-0000-0000-00002C210000}"/>
    <cellStyle name="40% - Accent4 4 6 2 4" xfId="8499" xr:uid="{00000000-0005-0000-0000-00002D210000}"/>
    <cellStyle name="40% - Accent4 4 6 3" xfId="8500" xr:uid="{00000000-0005-0000-0000-00002E210000}"/>
    <cellStyle name="40% - Accent4 4 6 3 2" xfId="8501" xr:uid="{00000000-0005-0000-0000-00002F210000}"/>
    <cellStyle name="40% - Accent4 4 6 4" xfId="8502" xr:uid="{00000000-0005-0000-0000-000030210000}"/>
    <cellStyle name="40% - Accent4 4 6 4 2" xfId="8503" xr:uid="{00000000-0005-0000-0000-000031210000}"/>
    <cellStyle name="40% - Accent4 4 6 5" xfId="8504" xr:uid="{00000000-0005-0000-0000-000032210000}"/>
    <cellStyle name="40% - Accent4 4 6 5 2" xfId="8505" xr:uid="{00000000-0005-0000-0000-000033210000}"/>
    <cellStyle name="40% - Accent4 4 6 6" xfId="8506" xr:uid="{00000000-0005-0000-0000-000034210000}"/>
    <cellStyle name="40% - Accent4 4 6 6 2" xfId="8507" xr:uid="{00000000-0005-0000-0000-000035210000}"/>
    <cellStyle name="40% - Accent4 4 6 7" xfId="8508" xr:uid="{00000000-0005-0000-0000-000036210000}"/>
    <cellStyle name="40% - Accent4 4 7" xfId="8509" xr:uid="{00000000-0005-0000-0000-000037210000}"/>
    <cellStyle name="40% - Accent4 4 7 2" xfId="8510" xr:uid="{00000000-0005-0000-0000-000038210000}"/>
    <cellStyle name="40% - Accent4 4 7 2 2" xfId="8511" xr:uid="{00000000-0005-0000-0000-000039210000}"/>
    <cellStyle name="40% - Accent4 4 7 3" xfId="8512" xr:uid="{00000000-0005-0000-0000-00003A210000}"/>
    <cellStyle name="40% - Accent4 4 7 3 2" xfId="8513" xr:uid="{00000000-0005-0000-0000-00003B210000}"/>
    <cellStyle name="40% - Accent4 4 7 4" xfId="8514" xr:uid="{00000000-0005-0000-0000-00003C210000}"/>
    <cellStyle name="40% - Accent4 4 7 4 2" xfId="8515" xr:uid="{00000000-0005-0000-0000-00003D210000}"/>
    <cellStyle name="40% - Accent4 4 7 5" xfId="8516" xr:uid="{00000000-0005-0000-0000-00003E210000}"/>
    <cellStyle name="40% - Accent4 4 7 5 2" xfId="8517" xr:uid="{00000000-0005-0000-0000-00003F210000}"/>
    <cellStyle name="40% - Accent4 4 7 6" xfId="8518" xr:uid="{00000000-0005-0000-0000-000040210000}"/>
    <cellStyle name="40% - Accent4 4 8" xfId="8519" xr:uid="{00000000-0005-0000-0000-000041210000}"/>
    <cellStyle name="40% - Accent4 4 8 2" xfId="8520" xr:uid="{00000000-0005-0000-0000-000042210000}"/>
    <cellStyle name="40% - Accent4 4 8 2 2" xfId="8521" xr:uid="{00000000-0005-0000-0000-000043210000}"/>
    <cellStyle name="40% - Accent4 4 8 3" xfId="8522" xr:uid="{00000000-0005-0000-0000-000044210000}"/>
    <cellStyle name="40% - Accent4 4 8 3 2" xfId="8523" xr:uid="{00000000-0005-0000-0000-000045210000}"/>
    <cellStyle name="40% - Accent4 4 8 4" xfId="8524" xr:uid="{00000000-0005-0000-0000-000046210000}"/>
    <cellStyle name="40% - Accent4 4 9" xfId="8525" xr:uid="{00000000-0005-0000-0000-000047210000}"/>
    <cellStyle name="40% - Accent4 4 9 2" xfId="8526" xr:uid="{00000000-0005-0000-0000-000048210000}"/>
    <cellStyle name="40% - Accent4 4 9 2 2" xfId="8527" xr:uid="{00000000-0005-0000-0000-000049210000}"/>
    <cellStyle name="40% - Accent4 4 9 3" xfId="8528" xr:uid="{00000000-0005-0000-0000-00004A210000}"/>
    <cellStyle name="40% - Accent4 5" xfId="8529" xr:uid="{00000000-0005-0000-0000-00004B210000}"/>
    <cellStyle name="40% - Accent4 5 2" xfId="8530" xr:uid="{00000000-0005-0000-0000-00004C210000}"/>
    <cellStyle name="40% - Accent4 5 2 2" xfId="8531" xr:uid="{00000000-0005-0000-0000-00004D210000}"/>
    <cellStyle name="40% - Accent4 5 2 2 2" xfId="8532" xr:uid="{00000000-0005-0000-0000-00004E210000}"/>
    <cellStyle name="40% - Accent4 5 2 3" xfId="8533" xr:uid="{00000000-0005-0000-0000-00004F210000}"/>
    <cellStyle name="40% - Accent4 5 3" xfId="8534" xr:uid="{00000000-0005-0000-0000-000050210000}"/>
    <cellStyle name="40% - Accent4 5 3 2" xfId="8535" xr:uid="{00000000-0005-0000-0000-000051210000}"/>
    <cellStyle name="40% - Accent4 5 3 2 2" xfId="8536" xr:uid="{00000000-0005-0000-0000-000052210000}"/>
    <cellStyle name="40% - Accent4 5 3 3" xfId="8537" xr:uid="{00000000-0005-0000-0000-000053210000}"/>
    <cellStyle name="40% - Accent4 5 4" xfId="8538" xr:uid="{00000000-0005-0000-0000-000054210000}"/>
    <cellStyle name="40% - Accent4 6" xfId="8539" xr:uid="{00000000-0005-0000-0000-000055210000}"/>
    <cellStyle name="40% - Accent4 6 10" xfId="8540" xr:uid="{00000000-0005-0000-0000-000056210000}"/>
    <cellStyle name="40% - Accent4 6 10 2" xfId="8541" xr:uid="{00000000-0005-0000-0000-000057210000}"/>
    <cellStyle name="40% - Accent4 6 11" xfId="8542" xr:uid="{00000000-0005-0000-0000-000058210000}"/>
    <cellStyle name="40% - Accent4 6 2" xfId="8543" xr:uid="{00000000-0005-0000-0000-000059210000}"/>
    <cellStyle name="40% - Accent4 6 2 10" xfId="8544" xr:uid="{00000000-0005-0000-0000-00005A210000}"/>
    <cellStyle name="40% - Accent4 6 2 2" xfId="8545" xr:uid="{00000000-0005-0000-0000-00005B210000}"/>
    <cellStyle name="40% - Accent4 6 2 2 2" xfId="8546" xr:uid="{00000000-0005-0000-0000-00005C210000}"/>
    <cellStyle name="40% - Accent4 6 2 2 2 2" xfId="8547" xr:uid="{00000000-0005-0000-0000-00005D210000}"/>
    <cellStyle name="40% - Accent4 6 2 2 2 2 2" xfId="8548" xr:uid="{00000000-0005-0000-0000-00005E210000}"/>
    <cellStyle name="40% - Accent4 6 2 2 2 2 2 2" xfId="8549" xr:uid="{00000000-0005-0000-0000-00005F210000}"/>
    <cellStyle name="40% - Accent4 6 2 2 2 2 3" xfId="8550" xr:uid="{00000000-0005-0000-0000-000060210000}"/>
    <cellStyle name="40% - Accent4 6 2 2 2 2 3 2" xfId="8551" xr:uid="{00000000-0005-0000-0000-000061210000}"/>
    <cellStyle name="40% - Accent4 6 2 2 2 2 4" xfId="8552" xr:uid="{00000000-0005-0000-0000-000062210000}"/>
    <cellStyle name="40% - Accent4 6 2 2 2 3" xfId="8553" xr:uid="{00000000-0005-0000-0000-000063210000}"/>
    <cellStyle name="40% - Accent4 6 2 2 2 3 2" xfId="8554" xr:uid="{00000000-0005-0000-0000-000064210000}"/>
    <cellStyle name="40% - Accent4 6 2 2 2 4" xfId="8555" xr:uid="{00000000-0005-0000-0000-000065210000}"/>
    <cellStyle name="40% - Accent4 6 2 2 2 4 2" xfId="8556" xr:uid="{00000000-0005-0000-0000-000066210000}"/>
    <cellStyle name="40% - Accent4 6 2 2 2 5" xfId="8557" xr:uid="{00000000-0005-0000-0000-000067210000}"/>
    <cellStyle name="40% - Accent4 6 2 2 2 5 2" xfId="8558" xr:uid="{00000000-0005-0000-0000-000068210000}"/>
    <cellStyle name="40% - Accent4 6 2 2 2 6" xfId="8559" xr:uid="{00000000-0005-0000-0000-000069210000}"/>
    <cellStyle name="40% - Accent4 6 2 2 2 6 2" xfId="8560" xr:uid="{00000000-0005-0000-0000-00006A210000}"/>
    <cellStyle name="40% - Accent4 6 2 2 2 7" xfId="8561" xr:uid="{00000000-0005-0000-0000-00006B210000}"/>
    <cellStyle name="40% - Accent4 6 2 2 3" xfId="8562" xr:uid="{00000000-0005-0000-0000-00006C210000}"/>
    <cellStyle name="40% - Accent4 6 2 2 3 2" xfId="8563" xr:uid="{00000000-0005-0000-0000-00006D210000}"/>
    <cellStyle name="40% - Accent4 6 2 2 3 2 2" xfId="8564" xr:uid="{00000000-0005-0000-0000-00006E210000}"/>
    <cellStyle name="40% - Accent4 6 2 2 3 3" xfId="8565" xr:uid="{00000000-0005-0000-0000-00006F210000}"/>
    <cellStyle name="40% - Accent4 6 2 2 3 3 2" xfId="8566" xr:uid="{00000000-0005-0000-0000-000070210000}"/>
    <cellStyle name="40% - Accent4 6 2 2 3 4" xfId="8567" xr:uid="{00000000-0005-0000-0000-000071210000}"/>
    <cellStyle name="40% - Accent4 6 2 2 3 4 2" xfId="8568" xr:uid="{00000000-0005-0000-0000-000072210000}"/>
    <cellStyle name="40% - Accent4 6 2 2 3 5" xfId="8569" xr:uid="{00000000-0005-0000-0000-000073210000}"/>
    <cellStyle name="40% - Accent4 6 2 2 3 5 2" xfId="8570" xr:uid="{00000000-0005-0000-0000-000074210000}"/>
    <cellStyle name="40% - Accent4 6 2 2 3 6" xfId="8571" xr:uid="{00000000-0005-0000-0000-000075210000}"/>
    <cellStyle name="40% - Accent4 6 2 2 4" xfId="8572" xr:uid="{00000000-0005-0000-0000-000076210000}"/>
    <cellStyle name="40% - Accent4 6 2 2 4 2" xfId="8573" xr:uid="{00000000-0005-0000-0000-000077210000}"/>
    <cellStyle name="40% - Accent4 6 2 2 4 2 2" xfId="8574" xr:uid="{00000000-0005-0000-0000-000078210000}"/>
    <cellStyle name="40% - Accent4 6 2 2 4 3" xfId="8575" xr:uid="{00000000-0005-0000-0000-000079210000}"/>
    <cellStyle name="40% - Accent4 6 2 2 5" xfId="8576" xr:uid="{00000000-0005-0000-0000-00007A210000}"/>
    <cellStyle name="40% - Accent4 6 2 2 5 2" xfId="8577" xr:uid="{00000000-0005-0000-0000-00007B210000}"/>
    <cellStyle name="40% - Accent4 6 2 2 6" xfId="8578" xr:uid="{00000000-0005-0000-0000-00007C210000}"/>
    <cellStyle name="40% - Accent4 6 2 2 6 2" xfId="8579" xr:uid="{00000000-0005-0000-0000-00007D210000}"/>
    <cellStyle name="40% - Accent4 6 2 2 7" xfId="8580" xr:uid="{00000000-0005-0000-0000-00007E210000}"/>
    <cellStyle name="40% - Accent4 6 2 2 7 2" xfId="8581" xr:uid="{00000000-0005-0000-0000-00007F210000}"/>
    <cellStyle name="40% - Accent4 6 2 2 8" xfId="8582" xr:uid="{00000000-0005-0000-0000-000080210000}"/>
    <cellStyle name="40% - Accent4 6 2 3" xfId="8583" xr:uid="{00000000-0005-0000-0000-000081210000}"/>
    <cellStyle name="40% - Accent4 6 2 3 2" xfId="8584" xr:uid="{00000000-0005-0000-0000-000082210000}"/>
    <cellStyle name="40% - Accent4 6 2 3 2 2" xfId="8585" xr:uid="{00000000-0005-0000-0000-000083210000}"/>
    <cellStyle name="40% - Accent4 6 2 3 2 2 2" xfId="8586" xr:uid="{00000000-0005-0000-0000-000084210000}"/>
    <cellStyle name="40% - Accent4 6 2 3 2 2 2 2" xfId="8587" xr:uid="{00000000-0005-0000-0000-000085210000}"/>
    <cellStyle name="40% - Accent4 6 2 3 2 2 3" xfId="8588" xr:uid="{00000000-0005-0000-0000-000086210000}"/>
    <cellStyle name="40% - Accent4 6 2 3 2 2 3 2" xfId="8589" xr:uid="{00000000-0005-0000-0000-000087210000}"/>
    <cellStyle name="40% - Accent4 6 2 3 2 2 4" xfId="8590" xr:uid="{00000000-0005-0000-0000-000088210000}"/>
    <cellStyle name="40% - Accent4 6 2 3 2 3" xfId="8591" xr:uid="{00000000-0005-0000-0000-000089210000}"/>
    <cellStyle name="40% - Accent4 6 2 3 2 3 2" xfId="8592" xr:uid="{00000000-0005-0000-0000-00008A210000}"/>
    <cellStyle name="40% - Accent4 6 2 3 2 4" xfId="8593" xr:uid="{00000000-0005-0000-0000-00008B210000}"/>
    <cellStyle name="40% - Accent4 6 2 3 2 4 2" xfId="8594" xr:uid="{00000000-0005-0000-0000-00008C210000}"/>
    <cellStyle name="40% - Accent4 6 2 3 2 5" xfId="8595" xr:uid="{00000000-0005-0000-0000-00008D210000}"/>
    <cellStyle name="40% - Accent4 6 2 3 2 5 2" xfId="8596" xr:uid="{00000000-0005-0000-0000-00008E210000}"/>
    <cellStyle name="40% - Accent4 6 2 3 2 6" xfId="8597" xr:uid="{00000000-0005-0000-0000-00008F210000}"/>
    <cellStyle name="40% - Accent4 6 2 3 2 6 2" xfId="8598" xr:uid="{00000000-0005-0000-0000-000090210000}"/>
    <cellStyle name="40% - Accent4 6 2 3 2 7" xfId="8599" xr:uid="{00000000-0005-0000-0000-000091210000}"/>
    <cellStyle name="40% - Accent4 6 2 3 3" xfId="8600" xr:uid="{00000000-0005-0000-0000-000092210000}"/>
    <cellStyle name="40% - Accent4 6 2 3 3 2" xfId="8601" xr:uid="{00000000-0005-0000-0000-000093210000}"/>
    <cellStyle name="40% - Accent4 6 2 3 3 2 2" xfId="8602" xr:uid="{00000000-0005-0000-0000-000094210000}"/>
    <cellStyle name="40% - Accent4 6 2 3 3 3" xfId="8603" xr:uid="{00000000-0005-0000-0000-000095210000}"/>
    <cellStyle name="40% - Accent4 6 2 3 3 3 2" xfId="8604" xr:uid="{00000000-0005-0000-0000-000096210000}"/>
    <cellStyle name="40% - Accent4 6 2 3 3 4" xfId="8605" xr:uid="{00000000-0005-0000-0000-000097210000}"/>
    <cellStyle name="40% - Accent4 6 2 3 3 4 2" xfId="8606" xr:uid="{00000000-0005-0000-0000-000098210000}"/>
    <cellStyle name="40% - Accent4 6 2 3 3 5" xfId="8607" xr:uid="{00000000-0005-0000-0000-000099210000}"/>
    <cellStyle name="40% - Accent4 6 2 3 3 5 2" xfId="8608" xr:uid="{00000000-0005-0000-0000-00009A210000}"/>
    <cellStyle name="40% - Accent4 6 2 3 3 6" xfId="8609" xr:uid="{00000000-0005-0000-0000-00009B210000}"/>
    <cellStyle name="40% - Accent4 6 2 3 4" xfId="8610" xr:uid="{00000000-0005-0000-0000-00009C210000}"/>
    <cellStyle name="40% - Accent4 6 2 3 4 2" xfId="8611" xr:uid="{00000000-0005-0000-0000-00009D210000}"/>
    <cellStyle name="40% - Accent4 6 2 3 4 2 2" xfId="8612" xr:uid="{00000000-0005-0000-0000-00009E210000}"/>
    <cellStyle name="40% - Accent4 6 2 3 4 3" xfId="8613" xr:uid="{00000000-0005-0000-0000-00009F210000}"/>
    <cellStyle name="40% - Accent4 6 2 3 5" xfId="8614" xr:uid="{00000000-0005-0000-0000-0000A0210000}"/>
    <cellStyle name="40% - Accent4 6 2 3 5 2" xfId="8615" xr:uid="{00000000-0005-0000-0000-0000A1210000}"/>
    <cellStyle name="40% - Accent4 6 2 3 6" xfId="8616" xr:uid="{00000000-0005-0000-0000-0000A2210000}"/>
    <cellStyle name="40% - Accent4 6 2 3 6 2" xfId="8617" xr:uid="{00000000-0005-0000-0000-0000A3210000}"/>
    <cellStyle name="40% - Accent4 6 2 3 7" xfId="8618" xr:uid="{00000000-0005-0000-0000-0000A4210000}"/>
    <cellStyle name="40% - Accent4 6 2 3 7 2" xfId="8619" xr:uid="{00000000-0005-0000-0000-0000A5210000}"/>
    <cellStyle name="40% - Accent4 6 2 3 8" xfId="8620" xr:uid="{00000000-0005-0000-0000-0000A6210000}"/>
    <cellStyle name="40% - Accent4 6 2 4" xfId="8621" xr:uid="{00000000-0005-0000-0000-0000A7210000}"/>
    <cellStyle name="40% - Accent4 6 2 4 2" xfId="8622" xr:uid="{00000000-0005-0000-0000-0000A8210000}"/>
    <cellStyle name="40% - Accent4 6 2 4 2 2" xfId="8623" xr:uid="{00000000-0005-0000-0000-0000A9210000}"/>
    <cellStyle name="40% - Accent4 6 2 4 2 2 2" xfId="8624" xr:uid="{00000000-0005-0000-0000-0000AA210000}"/>
    <cellStyle name="40% - Accent4 6 2 4 2 3" xfId="8625" xr:uid="{00000000-0005-0000-0000-0000AB210000}"/>
    <cellStyle name="40% - Accent4 6 2 4 2 3 2" xfId="8626" xr:uid="{00000000-0005-0000-0000-0000AC210000}"/>
    <cellStyle name="40% - Accent4 6 2 4 2 4" xfId="8627" xr:uid="{00000000-0005-0000-0000-0000AD210000}"/>
    <cellStyle name="40% - Accent4 6 2 4 3" xfId="8628" xr:uid="{00000000-0005-0000-0000-0000AE210000}"/>
    <cellStyle name="40% - Accent4 6 2 4 3 2" xfId="8629" xr:uid="{00000000-0005-0000-0000-0000AF210000}"/>
    <cellStyle name="40% - Accent4 6 2 4 4" xfId="8630" xr:uid="{00000000-0005-0000-0000-0000B0210000}"/>
    <cellStyle name="40% - Accent4 6 2 4 4 2" xfId="8631" xr:uid="{00000000-0005-0000-0000-0000B1210000}"/>
    <cellStyle name="40% - Accent4 6 2 4 5" xfId="8632" xr:uid="{00000000-0005-0000-0000-0000B2210000}"/>
    <cellStyle name="40% - Accent4 6 2 4 5 2" xfId="8633" xr:uid="{00000000-0005-0000-0000-0000B3210000}"/>
    <cellStyle name="40% - Accent4 6 2 4 6" xfId="8634" xr:uid="{00000000-0005-0000-0000-0000B4210000}"/>
    <cellStyle name="40% - Accent4 6 2 4 6 2" xfId="8635" xr:uid="{00000000-0005-0000-0000-0000B5210000}"/>
    <cellStyle name="40% - Accent4 6 2 4 7" xfId="8636" xr:uid="{00000000-0005-0000-0000-0000B6210000}"/>
    <cellStyle name="40% - Accent4 6 2 5" xfId="8637" xr:uid="{00000000-0005-0000-0000-0000B7210000}"/>
    <cellStyle name="40% - Accent4 6 2 5 2" xfId="8638" xr:uid="{00000000-0005-0000-0000-0000B8210000}"/>
    <cellStyle name="40% - Accent4 6 2 5 2 2" xfId="8639" xr:uid="{00000000-0005-0000-0000-0000B9210000}"/>
    <cellStyle name="40% - Accent4 6 2 5 3" xfId="8640" xr:uid="{00000000-0005-0000-0000-0000BA210000}"/>
    <cellStyle name="40% - Accent4 6 2 5 3 2" xfId="8641" xr:uid="{00000000-0005-0000-0000-0000BB210000}"/>
    <cellStyle name="40% - Accent4 6 2 5 4" xfId="8642" xr:uid="{00000000-0005-0000-0000-0000BC210000}"/>
    <cellStyle name="40% - Accent4 6 2 5 4 2" xfId="8643" xr:uid="{00000000-0005-0000-0000-0000BD210000}"/>
    <cellStyle name="40% - Accent4 6 2 5 5" xfId="8644" xr:uid="{00000000-0005-0000-0000-0000BE210000}"/>
    <cellStyle name="40% - Accent4 6 2 5 5 2" xfId="8645" xr:uid="{00000000-0005-0000-0000-0000BF210000}"/>
    <cellStyle name="40% - Accent4 6 2 5 6" xfId="8646" xr:uid="{00000000-0005-0000-0000-0000C0210000}"/>
    <cellStyle name="40% - Accent4 6 2 6" xfId="8647" xr:uid="{00000000-0005-0000-0000-0000C1210000}"/>
    <cellStyle name="40% - Accent4 6 2 6 2" xfId="8648" xr:uid="{00000000-0005-0000-0000-0000C2210000}"/>
    <cellStyle name="40% - Accent4 6 2 6 2 2" xfId="8649" xr:uid="{00000000-0005-0000-0000-0000C3210000}"/>
    <cellStyle name="40% - Accent4 6 2 6 3" xfId="8650" xr:uid="{00000000-0005-0000-0000-0000C4210000}"/>
    <cellStyle name="40% - Accent4 6 2 7" xfId="8651" xr:uid="{00000000-0005-0000-0000-0000C5210000}"/>
    <cellStyle name="40% - Accent4 6 2 7 2" xfId="8652" xr:uid="{00000000-0005-0000-0000-0000C6210000}"/>
    <cellStyle name="40% - Accent4 6 2 8" xfId="8653" xr:uid="{00000000-0005-0000-0000-0000C7210000}"/>
    <cellStyle name="40% - Accent4 6 2 8 2" xfId="8654" xr:uid="{00000000-0005-0000-0000-0000C8210000}"/>
    <cellStyle name="40% - Accent4 6 2 9" xfId="8655" xr:uid="{00000000-0005-0000-0000-0000C9210000}"/>
    <cellStyle name="40% - Accent4 6 2 9 2" xfId="8656" xr:uid="{00000000-0005-0000-0000-0000CA210000}"/>
    <cellStyle name="40% - Accent4 6 3" xfId="8657" xr:uid="{00000000-0005-0000-0000-0000CB210000}"/>
    <cellStyle name="40% - Accent4 6 3 2" xfId="8658" xr:uid="{00000000-0005-0000-0000-0000CC210000}"/>
    <cellStyle name="40% - Accent4 6 3 2 2" xfId="8659" xr:uid="{00000000-0005-0000-0000-0000CD210000}"/>
    <cellStyle name="40% - Accent4 6 3 2 2 2" xfId="8660" xr:uid="{00000000-0005-0000-0000-0000CE210000}"/>
    <cellStyle name="40% - Accent4 6 3 2 2 2 2" xfId="8661" xr:uid="{00000000-0005-0000-0000-0000CF210000}"/>
    <cellStyle name="40% - Accent4 6 3 2 2 3" xfId="8662" xr:uid="{00000000-0005-0000-0000-0000D0210000}"/>
    <cellStyle name="40% - Accent4 6 3 2 2 3 2" xfId="8663" xr:uid="{00000000-0005-0000-0000-0000D1210000}"/>
    <cellStyle name="40% - Accent4 6 3 2 2 4" xfId="8664" xr:uid="{00000000-0005-0000-0000-0000D2210000}"/>
    <cellStyle name="40% - Accent4 6 3 2 3" xfId="8665" xr:uid="{00000000-0005-0000-0000-0000D3210000}"/>
    <cellStyle name="40% - Accent4 6 3 2 3 2" xfId="8666" xr:uid="{00000000-0005-0000-0000-0000D4210000}"/>
    <cellStyle name="40% - Accent4 6 3 2 4" xfId="8667" xr:uid="{00000000-0005-0000-0000-0000D5210000}"/>
    <cellStyle name="40% - Accent4 6 3 2 4 2" xfId="8668" xr:uid="{00000000-0005-0000-0000-0000D6210000}"/>
    <cellStyle name="40% - Accent4 6 3 2 5" xfId="8669" xr:uid="{00000000-0005-0000-0000-0000D7210000}"/>
    <cellStyle name="40% - Accent4 6 3 2 5 2" xfId="8670" xr:uid="{00000000-0005-0000-0000-0000D8210000}"/>
    <cellStyle name="40% - Accent4 6 3 2 6" xfId="8671" xr:uid="{00000000-0005-0000-0000-0000D9210000}"/>
    <cellStyle name="40% - Accent4 6 3 2 6 2" xfId="8672" xr:uid="{00000000-0005-0000-0000-0000DA210000}"/>
    <cellStyle name="40% - Accent4 6 3 2 7" xfId="8673" xr:uid="{00000000-0005-0000-0000-0000DB210000}"/>
    <cellStyle name="40% - Accent4 6 3 3" xfId="8674" xr:uid="{00000000-0005-0000-0000-0000DC210000}"/>
    <cellStyle name="40% - Accent4 6 3 3 2" xfId="8675" xr:uid="{00000000-0005-0000-0000-0000DD210000}"/>
    <cellStyle name="40% - Accent4 6 3 3 2 2" xfId="8676" xr:uid="{00000000-0005-0000-0000-0000DE210000}"/>
    <cellStyle name="40% - Accent4 6 3 3 3" xfId="8677" xr:uid="{00000000-0005-0000-0000-0000DF210000}"/>
    <cellStyle name="40% - Accent4 6 3 3 3 2" xfId="8678" xr:uid="{00000000-0005-0000-0000-0000E0210000}"/>
    <cellStyle name="40% - Accent4 6 3 3 4" xfId="8679" xr:uid="{00000000-0005-0000-0000-0000E1210000}"/>
    <cellStyle name="40% - Accent4 6 3 3 4 2" xfId="8680" xr:uid="{00000000-0005-0000-0000-0000E2210000}"/>
    <cellStyle name="40% - Accent4 6 3 3 5" xfId="8681" xr:uid="{00000000-0005-0000-0000-0000E3210000}"/>
    <cellStyle name="40% - Accent4 6 3 3 5 2" xfId="8682" xr:uid="{00000000-0005-0000-0000-0000E4210000}"/>
    <cellStyle name="40% - Accent4 6 3 3 6" xfId="8683" xr:uid="{00000000-0005-0000-0000-0000E5210000}"/>
    <cellStyle name="40% - Accent4 6 3 4" xfId="8684" xr:uid="{00000000-0005-0000-0000-0000E6210000}"/>
    <cellStyle name="40% - Accent4 6 3 4 2" xfId="8685" xr:uid="{00000000-0005-0000-0000-0000E7210000}"/>
    <cellStyle name="40% - Accent4 6 3 4 2 2" xfId="8686" xr:uid="{00000000-0005-0000-0000-0000E8210000}"/>
    <cellStyle name="40% - Accent4 6 3 4 3" xfId="8687" xr:uid="{00000000-0005-0000-0000-0000E9210000}"/>
    <cellStyle name="40% - Accent4 6 3 5" xfId="8688" xr:uid="{00000000-0005-0000-0000-0000EA210000}"/>
    <cellStyle name="40% - Accent4 6 3 5 2" xfId="8689" xr:uid="{00000000-0005-0000-0000-0000EB210000}"/>
    <cellStyle name="40% - Accent4 6 3 6" xfId="8690" xr:uid="{00000000-0005-0000-0000-0000EC210000}"/>
    <cellStyle name="40% - Accent4 6 3 6 2" xfId="8691" xr:uid="{00000000-0005-0000-0000-0000ED210000}"/>
    <cellStyle name="40% - Accent4 6 3 7" xfId="8692" xr:uid="{00000000-0005-0000-0000-0000EE210000}"/>
    <cellStyle name="40% - Accent4 6 3 7 2" xfId="8693" xr:uid="{00000000-0005-0000-0000-0000EF210000}"/>
    <cellStyle name="40% - Accent4 6 3 8" xfId="8694" xr:uid="{00000000-0005-0000-0000-0000F0210000}"/>
    <cellStyle name="40% - Accent4 6 4" xfId="8695" xr:uid="{00000000-0005-0000-0000-0000F1210000}"/>
    <cellStyle name="40% - Accent4 6 4 2" xfId="8696" xr:uid="{00000000-0005-0000-0000-0000F2210000}"/>
    <cellStyle name="40% - Accent4 6 4 2 2" xfId="8697" xr:uid="{00000000-0005-0000-0000-0000F3210000}"/>
    <cellStyle name="40% - Accent4 6 4 2 2 2" xfId="8698" xr:uid="{00000000-0005-0000-0000-0000F4210000}"/>
    <cellStyle name="40% - Accent4 6 4 2 2 2 2" xfId="8699" xr:uid="{00000000-0005-0000-0000-0000F5210000}"/>
    <cellStyle name="40% - Accent4 6 4 2 2 3" xfId="8700" xr:uid="{00000000-0005-0000-0000-0000F6210000}"/>
    <cellStyle name="40% - Accent4 6 4 2 2 3 2" xfId="8701" xr:uid="{00000000-0005-0000-0000-0000F7210000}"/>
    <cellStyle name="40% - Accent4 6 4 2 2 4" xfId="8702" xr:uid="{00000000-0005-0000-0000-0000F8210000}"/>
    <cellStyle name="40% - Accent4 6 4 2 3" xfId="8703" xr:uid="{00000000-0005-0000-0000-0000F9210000}"/>
    <cellStyle name="40% - Accent4 6 4 2 3 2" xfId="8704" xr:uid="{00000000-0005-0000-0000-0000FA210000}"/>
    <cellStyle name="40% - Accent4 6 4 2 4" xfId="8705" xr:uid="{00000000-0005-0000-0000-0000FB210000}"/>
    <cellStyle name="40% - Accent4 6 4 2 4 2" xfId="8706" xr:uid="{00000000-0005-0000-0000-0000FC210000}"/>
    <cellStyle name="40% - Accent4 6 4 2 5" xfId="8707" xr:uid="{00000000-0005-0000-0000-0000FD210000}"/>
    <cellStyle name="40% - Accent4 6 4 2 5 2" xfId="8708" xr:uid="{00000000-0005-0000-0000-0000FE210000}"/>
    <cellStyle name="40% - Accent4 6 4 2 6" xfId="8709" xr:uid="{00000000-0005-0000-0000-0000FF210000}"/>
    <cellStyle name="40% - Accent4 6 4 2 6 2" xfId="8710" xr:uid="{00000000-0005-0000-0000-000000220000}"/>
    <cellStyle name="40% - Accent4 6 4 2 7" xfId="8711" xr:uid="{00000000-0005-0000-0000-000001220000}"/>
    <cellStyle name="40% - Accent4 6 4 3" xfId="8712" xr:uid="{00000000-0005-0000-0000-000002220000}"/>
    <cellStyle name="40% - Accent4 6 4 3 2" xfId="8713" xr:uid="{00000000-0005-0000-0000-000003220000}"/>
    <cellStyle name="40% - Accent4 6 4 3 2 2" xfId="8714" xr:uid="{00000000-0005-0000-0000-000004220000}"/>
    <cellStyle name="40% - Accent4 6 4 3 3" xfId="8715" xr:uid="{00000000-0005-0000-0000-000005220000}"/>
    <cellStyle name="40% - Accent4 6 4 3 3 2" xfId="8716" xr:uid="{00000000-0005-0000-0000-000006220000}"/>
    <cellStyle name="40% - Accent4 6 4 3 4" xfId="8717" xr:uid="{00000000-0005-0000-0000-000007220000}"/>
    <cellStyle name="40% - Accent4 6 4 3 4 2" xfId="8718" xr:uid="{00000000-0005-0000-0000-000008220000}"/>
    <cellStyle name="40% - Accent4 6 4 3 5" xfId="8719" xr:uid="{00000000-0005-0000-0000-000009220000}"/>
    <cellStyle name="40% - Accent4 6 4 3 5 2" xfId="8720" xr:uid="{00000000-0005-0000-0000-00000A220000}"/>
    <cellStyle name="40% - Accent4 6 4 3 6" xfId="8721" xr:uid="{00000000-0005-0000-0000-00000B220000}"/>
    <cellStyle name="40% - Accent4 6 4 4" xfId="8722" xr:uid="{00000000-0005-0000-0000-00000C220000}"/>
    <cellStyle name="40% - Accent4 6 4 4 2" xfId="8723" xr:uid="{00000000-0005-0000-0000-00000D220000}"/>
    <cellStyle name="40% - Accent4 6 4 4 2 2" xfId="8724" xr:uid="{00000000-0005-0000-0000-00000E220000}"/>
    <cellStyle name="40% - Accent4 6 4 4 3" xfId="8725" xr:uid="{00000000-0005-0000-0000-00000F220000}"/>
    <cellStyle name="40% - Accent4 6 4 5" xfId="8726" xr:uid="{00000000-0005-0000-0000-000010220000}"/>
    <cellStyle name="40% - Accent4 6 4 5 2" xfId="8727" xr:uid="{00000000-0005-0000-0000-000011220000}"/>
    <cellStyle name="40% - Accent4 6 4 6" xfId="8728" xr:uid="{00000000-0005-0000-0000-000012220000}"/>
    <cellStyle name="40% - Accent4 6 4 6 2" xfId="8729" xr:uid="{00000000-0005-0000-0000-000013220000}"/>
    <cellStyle name="40% - Accent4 6 4 7" xfId="8730" xr:uid="{00000000-0005-0000-0000-000014220000}"/>
    <cellStyle name="40% - Accent4 6 4 7 2" xfId="8731" xr:uid="{00000000-0005-0000-0000-000015220000}"/>
    <cellStyle name="40% - Accent4 6 4 8" xfId="8732" xr:uid="{00000000-0005-0000-0000-000016220000}"/>
    <cellStyle name="40% - Accent4 6 5" xfId="8733" xr:uid="{00000000-0005-0000-0000-000017220000}"/>
    <cellStyle name="40% - Accent4 6 5 2" xfId="8734" xr:uid="{00000000-0005-0000-0000-000018220000}"/>
    <cellStyle name="40% - Accent4 6 5 2 2" xfId="8735" xr:uid="{00000000-0005-0000-0000-000019220000}"/>
    <cellStyle name="40% - Accent4 6 5 2 2 2" xfId="8736" xr:uid="{00000000-0005-0000-0000-00001A220000}"/>
    <cellStyle name="40% - Accent4 6 5 2 3" xfId="8737" xr:uid="{00000000-0005-0000-0000-00001B220000}"/>
    <cellStyle name="40% - Accent4 6 5 2 3 2" xfId="8738" xr:uid="{00000000-0005-0000-0000-00001C220000}"/>
    <cellStyle name="40% - Accent4 6 5 2 4" xfId="8739" xr:uid="{00000000-0005-0000-0000-00001D220000}"/>
    <cellStyle name="40% - Accent4 6 5 3" xfId="8740" xr:uid="{00000000-0005-0000-0000-00001E220000}"/>
    <cellStyle name="40% - Accent4 6 5 3 2" xfId="8741" xr:uid="{00000000-0005-0000-0000-00001F220000}"/>
    <cellStyle name="40% - Accent4 6 5 4" xfId="8742" xr:uid="{00000000-0005-0000-0000-000020220000}"/>
    <cellStyle name="40% - Accent4 6 5 4 2" xfId="8743" xr:uid="{00000000-0005-0000-0000-000021220000}"/>
    <cellStyle name="40% - Accent4 6 5 5" xfId="8744" xr:uid="{00000000-0005-0000-0000-000022220000}"/>
    <cellStyle name="40% - Accent4 6 5 5 2" xfId="8745" xr:uid="{00000000-0005-0000-0000-000023220000}"/>
    <cellStyle name="40% - Accent4 6 5 6" xfId="8746" xr:uid="{00000000-0005-0000-0000-000024220000}"/>
    <cellStyle name="40% - Accent4 6 5 6 2" xfId="8747" xr:uid="{00000000-0005-0000-0000-000025220000}"/>
    <cellStyle name="40% - Accent4 6 5 7" xfId="8748" xr:uid="{00000000-0005-0000-0000-000026220000}"/>
    <cellStyle name="40% - Accent4 6 6" xfId="8749" xr:uid="{00000000-0005-0000-0000-000027220000}"/>
    <cellStyle name="40% - Accent4 6 6 2" xfId="8750" xr:uid="{00000000-0005-0000-0000-000028220000}"/>
    <cellStyle name="40% - Accent4 6 6 2 2" xfId="8751" xr:uid="{00000000-0005-0000-0000-000029220000}"/>
    <cellStyle name="40% - Accent4 6 6 3" xfId="8752" xr:uid="{00000000-0005-0000-0000-00002A220000}"/>
    <cellStyle name="40% - Accent4 6 6 3 2" xfId="8753" xr:uid="{00000000-0005-0000-0000-00002B220000}"/>
    <cellStyle name="40% - Accent4 6 6 4" xfId="8754" xr:uid="{00000000-0005-0000-0000-00002C220000}"/>
    <cellStyle name="40% - Accent4 6 6 4 2" xfId="8755" xr:uid="{00000000-0005-0000-0000-00002D220000}"/>
    <cellStyle name="40% - Accent4 6 6 5" xfId="8756" xr:uid="{00000000-0005-0000-0000-00002E220000}"/>
    <cellStyle name="40% - Accent4 6 6 5 2" xfId="8757" xr:uid="{00000000-0005-0000-0000-00002F220000}"/>
    <cellStyle name="40% - Accent4 6 6 6" xfId="8758" xr:uid="{00000000-0005-0000-0000-000030220000}"/>
    <cellStyle name="40% - Accent4 6 7" xfId="8759" xr:uid="{00000000-0005-0000-0000-000031220000}"/>
    <cellStyle name="40% - Accent4 6 7 2" xfId="8760" xr:uid="{00000000-0005-0000-0000-000032220000}"/>
    <cellStyle name="40% - Accent4 6 7 2 2" xfId="8761" xr:uid="{00000000-0005-0000-0000-000033220000}"/>
    <cellStyle name="40% - Accent4 6 7 3" xfId="8762" xr:uid="{00000000-0005-0000-0000-000034220000}"/>
    <cellStyle name="40% - Accent4 6 8" xfId="8763" xr:uid="{00000000-0005-0000-0000-000035220000}"/>
    <cellStyle name="40% - Accent4 6 8 2" xfId="8764" xr:uid="{00000000-0005-0000-0000-000036220000}"/>
    <cellStyle name="40% - Accent4 6 9" xfId="8765" xr:uid="{00000000-0005-0000-0000-000037220000}"/>
    <cellStyle name="40% - Accent4 6 9 2" xfId="8766" xr:uid="{00000000-0005-0000-0000-000038220000}"/>
    <cellStyle name="40% - Accent4 7" xfId="8767" xr:uid="{00000000-0005-0000-0000-000039220000}"/>
    <cellStyle name="40% - Accent4 7 2" xfId="8768" xr:uid="{00000000-0005-0000-0000-00003A220000}"/>
    <cellStyle name="40% - Accent4 8" xfId="8769" xr:uid="{00000000-0005-0000-0000-00003B220000}"/>
    <cellStyle name="40% - Accent4 8 2" xfId="8770" xr:uid="{00000000-0005-0000-0000-00003C220000}"/>
    <cellStyle name="40% - Accent4 8 2 2" xfId="8771" xr:uid="{00000000-0005-0000-0000-00003D220000}"/>
    <cellStyle name="40% - Accent4 8 2 2 2" xfId="8772" xr:uid="{00000000-0005-0000-0000-00003E220000}"/>
    <cellStyle name="40% - Accent4 8 2 2 2 2" xfId="8773" xr:uid="{00000000-0005-0000-0000-00003F220000}"/>
    <cellStyle name="40% - Accent4 8 2 2 2 2 2" xfId="8774" xr:uid="{00000000-0005-0000-0000-000040220000}"/>
    <cellStyle name="40% - Accent4 8 2 2 2 3" xfId="8775" xr:uid="{00000000-0005-0000-0000-000041220000}"/>
    <cellStyle name="40% - Accent4 8 2 2 2 3 2" xfId="8776" xr:uid="{00000000-0005-0000-0000-000042220000}"/>
    <cellStyle name="40% - Accent4 8 2 2 2 4" xfId="8777" xr:uid="{00000000-0005-0000-0000-000043220000}"/>
    <cellStyle name="40% - Accent4 8 2 2 3" xfId="8778" xr:uid="{00000000-0005-0000-0000-000044220000}"/>
    <cellStyle name="40% - Accent4 8 2 2 3 2" xfId="8779" xr:uid="{00000000-0005-0000-0000-000045220000}"/>
    <cellStyle name="40% - Accent4 8 2 2 4" xfId="8780" xr:uid="{00000000-0005-0000-0000-000046220000}"/>
    <cellStyle name="40% - Accent4 8 2 2 4 2" xfId="8781" xr:uid="{00000000-0005-0000-0000-000047220000}"/>
    <cellStyle name="40% - Accent4 8 2 2 5" xfId="8782" xr:uid="{00000000-0005-0000-0000-000048220000}"/>
    <cellStyle name="40% - Accent4 8 2 2 5 2" xfId="8783" xr:uid="{00000000-0005-0000-0000-000049220000}"/>
    <cellStyle name="40% - Accent4 8 2 2 6" xfId="8784" xr:uid="{00000000-0005-0000-0000-00004A220000}"/>
    <cellStyle name="40% - Accent4 8 2 2 6 2" xfId="8785" xr:uid="{00000000-0005-0000-0000-00004B220000}"/>
    <cellStyle name="40% - Accent4 8 2 2 7" xfId="8786" xr:uid="{00000000-0005-0000-0000-00004C220000}"/>
    <cellStyle name="40% - Accent4 8 2 3" xfId="8787" xr:uid="{00000000-0005-0000-0000-00004D220000}"/>
    <cellStyle name="40% - Accent4 8 2 3 2" xfId="8788" xr:uid="{00000000-0005-0000-0000-00004E220000}"/>
    <cellStyle name="40% - Accent4 8 2 3 2 2" xfId="8789" xr:uid="{00000000-0005-0000-0000-00004F220000}"/>
    <cellStyle name="40% - Accent4 8 2 3 3" xfId="8790" xr:uid="{00000000-0005-0000-0000-000050220000}"/>
    <cellStyle name="40% - Accent4 8 2 3 3 2" xfId="8791" xr:uid="{00000000-0005-0000-0000-000051220000}"/>
    <cellStyle name="40% - Accent4 8 2 3 4" xfId="8792" xr:uid="{00000000-0005-0000-0000-000052220000}"/>
    <cellStyle name="40% - Accent4 8 2 3 4 2" xfId="8793" xr:uid="{00000000-0005-0000-0000-000053220000}"/>
    <cellStyle name="40% - Accent4 8 2 3 5" xfId="8794" xr:uid="{00000000-0005-0000-0000-000054220000}"/>
    <cellStyle name="40% - Accent4 8 2 3 5 2" xfId="8795" xr:uid="{00000000-0005-0000-0000-000055220000}"/>
    <cellStyle name="40% - Accent4 8 2 3 6" xfId="8796" xr:uid="{00000000-0005-0000-0000-000056220000}"/>
    <cellStyle name="40% - Accent4 8 2 4" xfId="8797" xr:uid="{00000000-0005-0000-0000-000057220000}"/>
    <cellStyle name="40% - Accent4 8 2 4 2" xfId="8798" xr:uid="{00000000-0005-0000-0000-000058220000}"/>
    <cellStyle name="40% - Accent4 8 2 4 2 2" xfId="8799" xr:uid="{00000000-0005-0000-0000-000059220000}"/>
    <cellStyle name="40% - Accent4 8 2 4 3" xfId="8800" xr:uid="{00000000-0005-0000-0000-00005A220000}"/>
    <cellStyle name="40% - Accent4 8 2 5" xfId="8801" xr:uid="{00000000-0005-0000-0000-00005B220000}"/>
    <cellStyle name="40% - Accent4 8 2 5 2" xfId="8802" xr:uid="{00000000-0005-0000-0000-00005C220000}"/>
    <cellStyle name="40% - Accent4 8 2 6" xfId="8803" xr:uid="{00000000-0005-0000-0000-00005D220000}"/>
    <cellStyle name="40% - Accent4 8 2 6 2" xfId="8804" xr:uid="{00000000-0005-0000-0000-00005E220000}"/>
    <cellStyle name="40% - Accent4 8 2 7" xfId="8805" xr:uid="{00000000-0005-0000-0000-00005F220000}"/>
    <cellStyle name="40% - Accent4 8 2 7 2" xfId="8806" xr:uid="{00000000-0005-0000-0000-000060220000}"/>
    <cellStyle name="40% - Accent4 8 2 8" xfId="8807" xr:uid="{00000000-0005-0000-0000-000061220000}"/>
    <cellStyle name="40% - Accent4 8 3" xfId="8808" xr:uid="{00000000-0005-0000-0000-000062220000}"/>
    <cellStyle name="40% - Accent4 8 3 2" xfId="8809" xr:uid="{00000000-0005-0000-0000-000063220000}"/>
    <cellStyle name="40% - Accent4 8 3 2 2" xfId="8810" xr:uid="{00000000-0005-0000-0000-000064220000}"/>
    <cellStyle name="40% - Accent4 8 3 2 2 2" xfId="8811" xr:uid="{00000000-0005-0000-0000-000065220000}"/>
    <cellStyle name="40% - Accent4 8 3 2 3" xfId="8812" xr:uid="{00000000-0005-0000-0000-000066220000}"/>
    <cellStyle name="40% - Accent4 8 3 2 3 2" xfId="8813" xr:uid="{00000000-0005-0000-0000-000067220000}"/>
    <cellStyle name="40% - Accent4 8 3 2 4" xfId="8814" xr:uid="{00000000-0005-0000-0000-000068220000}"/>
    <cellStyle name="40% - Accent4 8 3 3" xfId="8815" xr:uid="{00000000-0005-0000-0000-000069220000}"/>
    <cellStyle name="40% - Accent4 8 3 3 2" xfId="8816" xr:uid="{00000000-0005-0000-0000-00006A220000}"/>
    <cellStyle name="40% - Accent4 8 3 4" xfId="8817" xr:uid="{00000000-0005-0000-0000-00006B220000}"/>
    <cellStyle name="40% - Accent4 8 3 4 2" xfId="8818" xr:uid="{00000000-0005-0000-0000-00006C220000}"/>
    <cellStyle name="40% - Accent4 8 3 5" xfId="8819" xr:uid="{00000000-0005-0000-0000-00006D220000}"/>
    <cellStyle name="40% - Accent4 8 3 5 2" xfId="8820" xr:uid="{00000000-0005-0000-0000-00006E220000}"/>
    <cellStyle name="40% - Accent4 8 3 6" xfId="8821" xr:uid="{00000000-0005-0000-0000-00006F220000}"/>
    <cellStyle name="40% - Accent4 8 3 6 2" xfId="8822" xr:uid="{00000000-0005-0000-0000-000070220000}"/>
    <cellStyle name="40% - Accent4 8 3 7" xfId="8823" xr:uid="{00000000-0005-0000-0000-000071220000}"/>
    <cellStyle name="40% - Accent4 8 4" xfId="8824" xr:uid="{00000000-0005-0000-0000-000072220000}"/>
    <cellStyle name="40% - Accent4 8 4 2" xfId="8825" xr:uid="{00000000-0005-0000-0000-000073220000}"/>
    <cellStyle name="40% - Accent4 8 4 2 2" xfId="8826" xr:uid="{00000000-0005-0000-0000-000074220000}"/>
    <cellStyle name="40% - Accent4 8 4 3" xfId="8827" xr:uid="{00000000-0005-0000-0000-000075220000}"/>
    <cellStyle name="40% - Accent4 8 4 3 2" xfId="8828" xr:uid="{00000000-0005-0000-0000-000076220000}"/>
    <cellStyle name="40% - Accent4 8 4 4" xfId="8829" xr:uid="{00000000-0005-0000-0000-000077220000}"/>
    <cellStyle name="40% - Accent4 8 4 4 2" xfId="8830" xr:uid="{00000000-0005-0000-0000-000078220000}"/>
    <cellStyle name="40% - Accent4 8 4 5" xfId="8831" xr:uid="{00000000-0005-0000-0000-000079220000}"/>
    <cellStyle name="40% - Accent4 8 4 5 2" xfId="8832" xr:uid="{00000000-0005-0000-0000-00007A220000}"/>
    <cellStyle name="40% - Accent4 8 4 6" xfId="8833" xr:uid="{00000000-0005-0000-0000-00007B220000}"/>
    <cellStyle name="40% - Accent4 8 5" xfId="8834" xr:uid="{00000000-0005-0000-0000-00007C220000}"/>
    <cellStyle name="40% - Accent4 8 5 2" xfId="8835" xr:uid="{00000000-0005-0000-0000-00007D220000}"/>
    <cellStyle name="40% - Accent4 8 5 2 2" xfId="8836" xr:uid="{00000000-0005-0000-0000-00007E220000}"/>
    <cellStyle name="40% - Accent4 8 5 3" xfId="8837" xr:uid="{00000000-0005-0000-0000-00007F220000}"/>
    <cellStyle name="40% - Accent4 8 6" xfId="8838" xr:uid="{00000000-0005-0000-0000-000080220000}"/>
    <cellStyle name="40% - Accent4 8 6 2" xfId="8839" xr:uid="{00000000-0005-0000-0000-000081220000}"/>
    <cellStyle name="40% - Accent4 8 7" xfId="8840" xr:uid="{00000000-0005-0000-0000-000082220000}"/>
    <cellStyle name="40% - Accent4 8 7 2" xfId="8841" xr:uid="{00000000-0005-0000-0000-000083220000}"/>
    <cellStyle name="40% - Accent4 8 8" xfId="8842" xr:uid="{00000000-0005-0000-0000-000084220000}"/>
    <cellStyle name="40% - Accent4 8 8 2" xfId="8843" xr:uid="{00000000-0005-0000-0000-000085220000}"/>
    <cellStyle name="40% - Accent4 8 9" xfId="8844" xr:uid="{00000000-0005-0000-0000-000086220000}"/>
    <cellStyle name="40% - Accent4 9" xfId="8845" xr:uid="{00000000-0005-0000-0000-000087220000}"/>
    <cellStyle name="40% - Accent4 9 2" xfId="8846" xr:uid="{00000000-0005-0000-0000-000088220000}"/>
    <cellStyle name="40% - Accent4 9 2 2" xfId="8847" xr:uid="{00000000-0005-0000-0000-000089220000}"/>
    <cellStyle name="40% - Accent4 9 2 2 2" xfId="8848" xr:uid="{00000000-0005-0000-0000-00008A220000}"/>
    <cellStyle name="40% - Accent4 9 2 2 2 2" xfId="8849" xr:uid="{00000000-0005-0000-0000-00008B220000}"/>
    <cellStyle name="40% - Accent4 9 2 2 3" xfId="8850" xr:uid="{00000000-0005-0000-0000-00008C220000}"/>
    <cellStyle name="40% - Accent4 9 2 3" xfId="8851" xr:uid="{00000000-0005-0000-0000-00008D220000}"/>
    <cellStyle name="40% - Accent4 9 2 3 2" xfId="8852" xr:uid="{00000000-0005-0000-0000-00008E220000}"/>
    <cellStyle name="40% - Accent4 9 2 4" xfId="8853" xr:uid="{00000000-0005-0000-0000-00008F220000}"/>
    <cellStyle name="40% - Accent4 9 3" xfId="8854" xr:uid="{00000000-0005-0000-0000-000090220000}"/>
    <cellStyle name="40% - Accent4 9 3 2" xfId="8855" xr:uid="{00000000-0005-0000-0000-000091220000}"/>
    <cellStyle name="40% - Accent4 9 3 2 2" xfId="8856" xr:uid="{00000000-0005-0000-0000-000092220000}"/>
    <cellStyle name="40% - Accent4 9 3 3" xfId="8857" xr:uid="{00000000-0005-0000-0000-000093220000}"/>
    <cellStyle name="40% - Accent4 9 4" xfId="8858" xr:uid="{00000000-0005-0000-0000-000094220000}"/>
    <cellStyle name="40% - Accent4 9 4 2" xfId="8859" xr:uid="{00000000-0005-0000-0000-000095220000}"/>
    <cellStyle name="40% - Accent4 9 5" xfId="8860" xr:uid="{00000000-0005-0000-0000-000096220000}"/>
    <cellStyle name="40% - Accent4 9 5 2" xfId="8861" xr:uid="{00000000-0005-0000-0000-000097220000}"/>
    <cellStyle name="40% - Accent4 9 6" xfId="8862" xr:uid="{00000000-0005-0000-0000-000098220000}"/>
    <cellStyle name="40% - Accent4 9 6 2" xfId="8863" xr:uid="{00000000-0005-0000-0000-000099220000}"/>
    <cellStyle name="40% - Accent4 9 7" xfId="8864" xr:uid="{00000000-0005-0000-0000-00009A220000}"/>
    <cellStyle name="40% - Accent5 10" xfId="8865" xr:uid="{00000000-0005-0000-0000-00009B220000}"/>
    <cellStyle name="40% - Accent5 10 2" xfId="8866" xr:uid="{00000000-0005-0000-0000-00009C220000}"/>
    <cellStyle name="40% - Accent5 10 2 2" xfId="8867" xr:uid="{00000000-0005-0000-0000-00009D220000}"/>
    <cellStyle name="40% - Accent5 10 2 2 2" xfId="8868" xr:uid="{00000000-0005-0000-0000-00009E220000}"/>
    <cellStyle name="40% - Accent5 10 2 2 2 2" xfId="8869" xr:uid="{00000000-0005-0000-0000-00009F220000}"/>
    <cellStyle name="40% - Accent5 10 2 2 3" xfId="8870" xr:uid="{00000000-0005-0000-0000-0000A0220000}"/>
    <cellStyle name="40% - Accent5 10 2 3" xfId="8871" xr:uid="{00000000-0005-0000-0000-0000A1220000}"/>
    <cellStyle name="40% - Accent5 10 2 3 2" xfId="8872" xr:uid="{00000000-0005-0000-0000-0000A2220000}"/>
    <cellStyle name="40% - Accent5 10 2 4" xfId="8873" xr:uid="{00000000-0005-0000-0000-0000A3220000}"/>
    <cellStyle name="40% - Accent5 10 3" xfId="8874" xr:uid="{00000000-0005-0000-0000-0000A4220000}"/>
    <cellStyle name="40% - Accent5 10 3 2" xfId="8875" xr:uid="{00000000-0005-0000-0000-0000A5220000}"/>
    <cellStyle name="40% - Accent5 10 3 2 2" xfId="8876" xr:uid="{00000000-0005-0000-0000-0000A6220000}"/>
    <cellStyle name="40% - Accent5 10 3 3" xfId="8877" xr:uid="{00000000-0005-0000-0000-0000A7220000}"/>
    <cellStyle name="40% - Accent5 10 4" xfId="8878" xr:uid="{00000000-0005-0000-0000-0000A8220000}"/>
    <cellStyle name="40% - Accent5 10 4 2" xfId="8879" xr:uid="{00000000-0005-0000-0000-0000A9220000}"/>
    <cellStyle name="40% - Accent5 10 5" xfId="8880" xr:uid="{00000000-0005-0000-0000-0000AA220000}"/>
    <cellStyle name="40% - Accent5 11" xfId="8881" xr:uid="{00000000-0005-0000-0000-0000AB220000}"/>
    <cellStyle name="40% - Accent5 11 2" xfId="8882" xr:uid="{00000000-0005-0000-0000-0000AC220000}"/>
    <cellStyle name="40% - Accent5 11 2 2" xfId="8883" xr:uid="{00000000-0005-0000-0000-0000AD220000}"/>
    <cellStyle name="40% - Accent5 11 2 2 2" xfId="8884" xr:uid="{00000000-0005-0000-0000-0000AE220000}"/>
    <cellStyle name="40% - Accent5 11 2 2 2 2" xfId="8885" xr:uid="{00000000-0005-0000-0000-0000AF220000}"/>
    <cellStyle name="40% - Accent5 11 2 2 3" xfId="8886" xr:uid="{00000000-0005-0000-0000-0000B0220000}"/>
    <cellStyle name="40% - Accent5 11 2 3" xfId="8887" xr:uid="{00000000-0005-0000-0000-0000B1220000}"/>
    <cellStyle name="40% - Accent5 11 2 3 2" xfId="8888" xr:uid="{00000000-0005-0000-0000-0000B2220000}"/>
    <cellStyle name="40% - Accent5 11 2 4" xfId="8889" xr:uid="{00000000-0005-0000-0000-0000B3220000}"/>
    <cellStyle name="40% - Accent5 11 3" xfId="8890" xr:uid="{00000000-0005-0000-0000-0000B4220000}"/>
    <cellStyle name="40% - Accent5 11 3 2" xfId="8891" xr:uid="{00000000-0005-0000-0000-0000B5220000}"/>
    <cellStyle name="40% - Accent5 11 3 2 2" xfId="8892" xr:uid="{00000000-0005-0000-0000-0000B6220000}"/>
    <cellStyle name="40% - Accent5 11 3 3" xfId="8893" xr:uid="{00000000-0005-0000-0000-0000B7220000}"/>
    <cellStyle name="40% - Accent5 11 4" xfId="8894" xr:uid="{00000000-0005-0000-0000-0000B8220000}"/>
    <cellStyle name="40% - Accent5 11 4 2" xfId="8895" xr:uid="{00000000-0005-0000-0000-0000B9220000}"/>
    <cellStyle name="40% - Accent5 11 5" xfId="8896" xr:uid="{00000000-0005-0000-0000-0000BA220000}"/>
    <cellStyle name="40% - Accent5 12" xfId="8897" xr:uid="{00000000-0005-0000-0000-0000BB220000}"/>
    <cellStyle name="40% - Accent5 12 2" xfId="8898" xr:uid="{00000000-0005-0000-0000-0000BC220000}"/>
    <cellStyle name="40% - Accent5 13" xfId="8899" xr:uid="{00000000-0005-0000-0000-0000BD220000}"/>
    <cellStyle name="40% - Accent5 13 2" xfId="8900" xr:uid="{00000000-0005-0000-0000-0000BE220000}"/>
    <cellStyle name="40% - Accent5 13 2 2" xfId="8901" xr:uid="{00000000-0005-0000-0000-0000BF220000}"/>
    <cellStyle name="40% - Accent5 13 2 2 2" xfId="8902" xr:uid="{00000000-0005-0000-0000-0000C0220000}"/>
    <cellStyle name="40% - Accent5 13 2 3" xfId="8903" xr:uid="{00000000-0005-0000-0000-0000C1220000}"/>
    <cellStyle name="40% - Accent5 13 3" xfId="8904" xr:uid="{00000000-0005-0000-0000-0000C2220000}"/>
    <cellStyle name="40% - Accent5 13 3 2" xfId="8905" xr:uid="{00000000-0005-0000-0000-0000C3220000}"/>
    <cellStyle name="40% - Accent5 13 4" xfId="8906" xr:uid="{00000000-0005-0000-0000-0000C4220000}"/>
    <cellStyle name="40% - Accent5 14" xfId="8907" xr:uid="{00000000-0005-0000-0000-0000C5220000}"/>
    <cellStyle name="40% - Accent5 14 2" xfId="8908" xr:uid="{00000000-0005-0000-0000-0000C6220000}"/>
    <cellStyle name="40% - Accent5 2" xfId="8909" xr:uid="{00000000-0005-0000-0000-0000C7220000}"/>
    <cellStyle name="40% - Accent5 2 2" xfId="8910" xr:uid="{00000000-0005-0000-0000-0000C8220000}"/>
    <cellStyle name="40% - Accent5 2 2 2" xfId="8911" xr:uid="{00000000-0005-0000-0000-0000C9220000}"/>
    <cellStyle name="40% - Accent5 2 2 3" xfId="8912" xr:uid="{00000000-0005-0000-0000-0000CA220000}"/>
    <cellStyle name="40% - Accent5 2 2 3 2" xfId="8913" xr:uid="{00000000-0005-0000-0000-0000CB220000}"/>
    <cellStyle name="40% - Accent5 2 3" xfId="8914" xr:uid="{00000000-0005-0000-0000-0000CC220000}"/>
    <cellStyle name="40% - Accent5 2 3 2" xfId="8915" xr:uid="{00000000-0005-0000-0000-0000CD220000}"/>
    <cellStyle name="40% - Accent5 2 4" xfId="8916" xr:uid="{00000000-0005-0000-0000-0000CE220000}"/>
    <cellStyle name="40% - Accent5 2 4 2" xfId="8917" xr:uid="{00000000-0005-0000-0000-0000CF220000}"/>
    <cellStyle name="40% - Accent5 2 4 3" xfId="8918" xr:uid="{00000000-0005-0000-0000-0000D0220000}"/>
    <cellStyle name="40% - Accent5 2 5" xfId="8919" xr:uid="{00000000-0005-0000-0000-0000D1220000}"/>
    <cellStyle name="40% - Accent5 3" xfId="8920" xr:uid="{00000000-0005-0000-0000-0000D2220000}"/>
    <cellStyle name="40% - Accent5 3 2" xfId="8921" xr:uid="{00000000-0005-0000-0000-0000D3220000}"/>
    <cellStyle name="40% - Accent5 3 2 2" xfId="8922" xr:uid="{00000000-0005-0000-0000-0000D4220000}"/>
    <cellStyle name="40% - Accent5 3 2 2 2" xfId="8923" xr:uid="{00000000-0005-0000-0000-0000D5220000}"/>
    <cellStyle name="40% - Accent5 3 2 2 2 2" xfId="8924" xr:uid="{00000000-0005-0000-0000-0000D6220000}"/>
    <cellStyle name="40% - Accent5 3 2 2 3" xfId="8925" xr:uid="{00000000-0005-0000-0000-0000D7220000}"/>
    <cellStyle name="40% - Accent5 3 2 2 3 2" xfId="8926" xr:uid="{00000000-0005-0000-0000-0000D8220000}"/>
    <cellStyle name="40% - Accent5 3 2 2 4" xfId="8927" xr:uid="{00000000-0005-0000-0000-0000D9220000}"/>
    <cellStyle name="40% - Accent5 3 2 3" xfId="8928" xr:uid="{00000000-0005-0000-0000-0000DA220000}"/>
    <cellStyle name="40% - Accent5 3 2 3 2" xfId="8929" xr:uid="{00000000-0005-0000-0000-0000DB220000}"/>
    <cellStyle name="40% - Accent5 3 2 4" xfId="8930" xr:uid="{00000000-0005-0000-0000-0000DC220000}"/>
    <cellStyle name="40% - Accent5 3 2 4 2" xfId="8931" xr:uid="{00000000-0005-0000-0000-0000DD220000}"/>
    <cellStyle name="40% - Accent5 3 2 5" xfId="8932" xr:uid="{00000000-0005-0000-0000-0000DE220000}"/>
    <cellStyle name="40% - Accent5 3 3" xfId="8933" xr:uid="{00000000-0005-0000-0000-0000DF220000}"/>
    <cellStyle name="40% - Accent5 3 3 2" xfId="8934" xr:uid="{00000000-0005-0000-0000-0000E0220000}"/>
    <cellStyle name="40% - Accent5 3 3 3" xfId="8935" xr:uid="{00000000-0005-0000-0000-0000E1220000}"/>
    <cellStyle name="40% - Accent5 3 3 3 2" xfId="8936" xr:uid="{00000000-0005-0000-0000-0000E2220000}"/>
    <cellStyle name="40% - Accent5 3 3 4" xfId="8937" xr:uid="{00000000-0005-0000-0000-0000E3220000}"/>
    <cellStyle name="40% - Accent5 3 4" xfId="8938" xr:uid="{00000000-0005-0000-0000-0000E4220000}"/>
    <cellStyle name="40% - Accent5 3 4 2" xfId="8939" xr:uid="{00000000-0005-0000-0000-0000E5220000}"/>
    <cellStyle name="40% - Accent5 3 5" xfId="8940" xr:uid="{00000000-0005-0000-0000-0000E6220000}"/>
    <cellStyle name="40% - Accent5 3 5 2" xfId="8941" xr:uid="{00000000-0005-0000-0000-0000E7220000}"/>
    <cellStyle name="40% - Accent5 3 6" xfId="8942" xr:uid="{00000000-0005-0000-0000-0000E8220000}"/>
    <cellStyle name="40% - Accent5 3 6 2" xfId="8943" xr:uid="{00000000-0005-0000-0000-0000E9220000}"/>
    <cellStyle name="40% - Accent5 3 7" xfId="8944" xr:uid="{00000000-0005-0000-0000-0000EA220000}"/>
    <cellStyle name="40% - Accent5 3 7 2" xfId="8945" xr:uid="{00000000-0005-0000-0000-0000EB220000}"/>
    <cellStyle name="40% - Accent5 3 8" xfId="8946" xr:uid="{00000000-0005-0000-0000-0000EC220000}"/>
    <cellStyle name="40% - Accent5 3 8 2" xfId="8947" xr:uid="{00000000-0005-0000-0000-0000ED220000}"/>
    <cellStyle name="40% - Accent5 4" xfId="8948" xr:uid="{00000000-0005-0000-0000-0000EE220000}"/>
    <cellStyle name="40% - Accent5 4 10" xfId="8949" xr:uid="{00000000-0005-0000-0000-0000EF220000}"/>
    <cellStyle name="40% - Accent5 4 10 2" xfId="8950" xr:uid="{00000000-0005-0000-0000-0000F0220000}"/>
    <cellStyle name="40% - Accent5 4 11" xfId="8951" xr:uid="{00000000-0005-0000-0000-0000F1220000}"/>
    <cellStyle name="40% - Accent5 4 11 2" xfId="8952" xr:uid="{00000000-0005-0000-0000-0000F2220000}"/>
    <cellStyle name="40% - Accent5 4 12" xfId="8953" xr:uid="{00000000-0005-0000-0000-0000F3220000}"/>
    <cellStyle name="40% - Accent5 4 12 2" xfId="8954" xr:uid="{00000000-0005-0000-0000-0000F4220000}"/>
    <cellStyle name="40% - Accent5 4 13" xfId="8955" xr:uid="{00000000-0005-0000-0000-0000F5220000}"/>
    <cellStyle name="40% - Accent5 4 2" xfId="8956" xr:uid="{00000000-0005-0000-0000-0000F6220000}"/>
    <cellStyle name="40% - Accent5 4 2 10" xfId="8957" xr:uid="{00000000-0005-0000-0000-0000F7220000}"/>
    <cellStyle name="40% - Accent5 4 2 10 2" xfId="8958" xr:uid="{00000000-0005-0000-0000-0000F8220000}"/>
    <cellStyle name="40% - Accent5 4 2 11" xfId="8959" xr:uid="{00000000-0005-0000-0000-0000F9220000}"/>
    <cellStyle name="40% - Accent5 4 2 2" xfId="8960" xr:uid="{00000000-0005-0000-0000-0000FA220000}"/>
    <cellStyle name="40% - Accent5 4 2 2 10" xfId="8961" xr:uid="{00000000-0005-0000-0000-0000FB220000}"/>
    <cellStyle name="40% - Accent5 4 2 2 2" xfId="8962" xr:uid="{00000000-0005-0000-0000-0000FC220000}"/>
    <cellStyle name="40% - Accent5 4 2 2 2 2" xfId="8963" xr:uid="{00000000-0005-0000-0000-0000FD220000}"/>
    <cellStyle name="40% - Accent5 4 2 2 2 2 2" xfId="8964" xr:uid="{00000000-0005-0000-0000-0000FE220000}"/>
    <cellStyle name="40% - Accent5 4 2 2 2 2 2 2" xfId="8965" xr:uid="{00000000-0005-0000-0000-0000FF220000}"/>
    <cellStyle name="40% - Accent5 4 2 2 2 2 2 2 2" xfId="8966" xr:uid="{00000000-0005-0000-0000-000000230000}"/>
    <cellStyle name="40% - Accent5 4 2 2 2 2 2 3" xfId="8967" xr:uid="{00000000-0005-0000-0000-000001230000}"/>
    <cellStyle name="40% - Accent5 4 2 2 2 2 2 3 2" xfId="8968" xr:uid="{00000000-0005-0000-0000-000002230000}"/>
    <cellStyle name="40% - Accent5 4 2 2 2 2 2 4" xfId="8969" xr:uid="{00000000-0005-0000-0000-000003230000}"/>
    <cellStyle name="40% - Accent5 4 2 2 2 2 3" xfId="8970" xr:uid="{00000000-0005-0000-0000-000004230000}"/>
    <cellStyle name="40% - Accent5 4 2 2 2 2 3 2" xfId="8971" xr:uid="{00000000-0005-0000-0000-000005230000}"/>
    <cellStyle name="40% - Accent5 4 2 2 2 2 4" xfId="8972" xr:uid="{00000000-0005-0000-0000-000006230000}"/>
    <cellStyle name="40% - Accent5 4 2 2 2 2 4 2" xfId="8973" xr:uid="{00000000-0005-0000-0000-000007230000}"/>
    <cellStyle name="40% - Accent5 4 2 2 2 2 5" xfId="8974" xr:uid="{00000000-0005-0000-0000-000008230000}"/>
    <cellStyle name="40% - Accent5 4 2 2 2 2 5 2" xfId="8975" xr:uid="{00000000-0005-0000-0000-000009230000}"/>
    <cellStyle name="40% - Accent5 4 2 2 2 2 6" xfId="8976" xr:uid="{00000000-0005-0000-0000-00000A230000}"/>
    <cellStyle name="40% - Accent5 4 2 2 2 2 6 2" xfId="8977" xr:uid="{00000000-0005-0000-0000-00000B230000}"/>
    <cellStyle name="40% - Accent5 4 2 2 2 2 7" xfId="8978" xr:uid="{00000000-0005-0000-0000-00000C230000}"/>
    <cellStyle name="40% - Accent5 4 2 2 2 3" xfId="8979" xr:uid="{00000000-0005-0000-0000-00000D230000}"/>
    <cellStyle name="40% - Accent5 4 2 2 2 3 2" xfId="8980" xr:uid="{00000000-0005-0000-0000-00000E230000}"/>
    <cellStyle name="40% - Accent5 4 2 2 2 3 2 2" xfId="8981" xr:uid="{00000000-0005-0000-0000-00000F230000}"/>
    <cellStyle name="40% - Accent5 4 2 2 2 3 3" xfId="8982" xr:uid="{00000000-0005-0000-0000-000010230000}"/>
    <cellStyle name="40% - Accent5 4 2 2 2 3 3 2" xfId="8983" xr:uid="{00000000-0005-0000-0000-000011230000}"/>
    <cellStyle name="40% - Accent5 4 2 2 2 3 4" xfId="8984" xr:uid="{00000000-0005-0000-0000-000012230000}"/>
    <cellStyle name="40% - Accent5 4 2 2 2 3 4 2" xfId="8985" xr:uid="{00000000-0005-0000-0000-000013230000}"/>
    <cellStyle name="40% - Accent5 4 2 2 2 3 5" xfId="8986" xr:uid="{00000000-0005-0000-0000-000014230000}"/>
    <cellStyle name="40% - Accent5 4 2 2 2 3 5 2" xfId="8987" xr:uid="{00000000-0005-0000-0000-000015230000}"/>
    <cellStyle name="40% - Accent5 4 2 2 2 3 6" xfId="8988" xr:uid="{00000000-0005-0000-0000-000016230000}"/>
    <cellStyle name="40% - Accent5 4 2 2 2 4" xfId="8989" xr:uid="{00000000-0005-0000-0000-000017230000}"/>
    <cellStyle name="40% - Accent5 4 2 2 2 4 2" xfId="8990" xr:uid="{00000000-0005-0000-0000-000018230000}"/>
    <cellStyle name="40% - Accent5 4 2 2 2 4 2 2" xfId="8991" xr:uid="{00000000-0005-0000-0000-000019230000}"/>
    <cellStyle name="40% - Accent5 4 2 2 2 4 3" xfId="8992" xr:uid="{00000000-0005-0000-0000-00001A230000}"/>
    <cellStyle name="40% - Accent5 4 2 2 2 5" xfId="8993" xr:uid="{00000000-0005-0000-0000-00001B230000}"/>
    <cellStyle name="40% - Accent5 4 2 2 2 5 2" xfId="8994" xr:uid="{00000000-0005-0000-0000-00001C230000}"/>
    <cellStyle name="40% - Accent5 4 2 2 2 6" xfId="8995" xr:uid="{00000000-0005-0000-0000-00001D230000}"/>
    <cellStyle name="40% - Accent5 4 2 2 2 6 2" xfId="8996" xr:uid="{00000000-0005-0000-0000-00001E230000}"/>
    <cellStyle name="40% - Accent5 4 2 2 2 7" xfId="8997" xr:uid="{00000000-0005-0000-0000-00001F230000}"/>
    <cellStyle name="40% - Accent5 4 2 2 2 7 2" xfId="8998" xr:uid="{00000000-0005-0000-0000-000020230000}"/>
    <cellStyle name="40% - Accent5 4 2 2 2 8" xfId="8999" xr:uid="{00000000-0005-0000-0000-000021230000}"/>
    <cellStyle name="40% - Accent5 4 2 2 3" xfId="9000" xr:uid="{00000000-0005-0000-0000-000022230000}"/>
    <cellStyle name="40% - Accent5 4 2 2 3 2" xfId="9001" xr:uid="{00000000-0005-0000-0000-000023230000}"/>
    <cellStyle name="40% - Accent5 4 2 2 3 2 2" xfId="9002" xr:uid="{00000000-0005-0000-0000-000024230000}"/>
    <cellStyle name="40% - Accent5 4 2 2 3 2 2 2" xfId="9003" xr:uid="{00000000-0005-0000-0000-000025230000}"/>
    <cellStyle name="40% - Accent5 4 2 2 3 2 2 2 2" xfId="9004" xr:uid="{00000000-0005-0000-0000-000026230000}"/>
    <cellStyle name="40% - Accent5 4 2 2 3 2 2 3" xfId="9005" xr:uid="{00000000-0005-0000-0000-000027230000}"/>
    <cellStyle name="40% - Accent5 4 2 2 3 2 2 3 2" xfId="9006" xr:uid="{00000000-0005-0000-0000-000028230000}"/>
    <cellStyle name="40% - Accent5 4 2 2 3 2 2 4" xfId="9007" xr:uid="{00000000-0005-0000-0000-000029230000}"/>
    <cellStyle name="40% - Accent5 4 2 2 3 2 3" xfId="9008" xr:uid="{00000000-0005-0000-0000-00002A230000}"/>
    <cellStyle name="40% - Accent5 4 2 2 3 2 3 2" xfId="9009" xr:uid="{00000000-0005-0000-0000-00002B230000}"/>
    <cellStyle name="40% - Accent5 4 2 2 3 2 4" xfId="9010" xr:uid="{00000000-0005-0000-0000-00002C230000}"/>
    <cellStyle name="40% - Accent5 4 2 2 3 2 4 2" xfId="9011" xr:uid="{00000000-0005-0000-0000-00002D230000}"/>
    <cellStyle name="40% - Accent5 4 2 2 3 2 5" xfId="9012" xr:uid="{00000000-0005-0000-0000-00002E230000}"/>
    <cellStyle name="40% - Accent5 4 2 2 3 2 5 2" xfId="9013" xr:uid="{00000000-0005-0000-0000-00002F230000}"/>
    <cellStyle name="40% - Accent5 4 2 2 3 2 6" xfId="9014" xr:uid="{00000000-0005-0000-0000-000030230000}"/>
    <cellStyle name="40% - Accent5 4 2 2 3 2 6 2" xfId="9015" xr:uid="{00000000-0005-0000-0000-000031230000}"/>
    <cellStyle name="40% - Accent5 4 2 2 3 2 7" xfId="9016" xr:uid="{00000000-0005-0000-0000-000032230000}"/>
    <cellStyle name="40% - Accent5 4 2 2 3 3" xfId="9017" xr:uid="{00000000-0005-0000-0000-000033230000}"/>
    <cellStyle name="40% - Accent5 4 2 2 3 3 2" xfId="9018" xr:uid="{00000000-0005-0000-0000-000034230000}"/>
    <cellStyle name="40% - Accent5 4 2 2 3 3 2 2" xfId="9019" xr:uid="{00000000-0005-0000-0000-000035230000}"/>
    <cellStyle name="40% - Accent5 4 2 2 3 3 3" xfId="9020" xr:uid="{00000000-0005-0000-0000-000036230000}"/>
    <cellStyle name="40% - Accent5 4 2 2 3 3 3 2" xfId="9021" xr:uid="{00000000-0005-0000-0000-000037230000}"/>
    <cellStyle name="40% - Accent5 4 2 2 3 3 4" xfId="9022" xr:uid="{00000000-0005-0000-0000-000038230000}"/>
    <cellStyle name="40% - Accent5 4 2 2 3 3 4 2" xfId="9023" xr:uid="{00000000-0005-0000-0000-000039230000}"/>
    <cellStyle name="40% - Accent5 4 2 2 3 3 5" xfId="9024" xr:uid="{00000000-0005-0000-0000-00003A230000}"/>
    <cellStyle name="40% - Accent5 4 2 2 3 3 5 2" xfId="9025" xr:uid="{00000000-0005-0000-0000-00003B230000}"/>
    <cellStyle name="40% - Accent5 4 2 2 3 3 6" xfId="9026" xr:uid="{00000000-0005-0000-0000-00003C230000}"/>
    <cellStyle name="40% - Accent5 4 2 2 3 4" xfId="9027" xr:uid="{00000000-0005-0000-0000-00003D230000}"/>
    <cellStyle name="40% - Accent5 4 2 2 3 4 2" xfId="9028" xr:uid="{00000000-0005-0000-0000-00003E230000}"/>
    <cellStyle name="40% - Accent5 4 2 2 3 4 2 2" xfId="9029" xr:uid="{00000000-0005-0000-0000-00003F230000}"/>
    <cellStyle name="40% - Accent5 4 2 2 3 4 3" xfId="9030" xr:uid="{00000000-0005-0000-0000-000040230000}"/>
    <cellStyle name="40% - Accent5 4 2 2 3 5" xfId="9031" xr:uid="{00000000-0005-0000-0000-000041230000}"/>
    <cellStyle name="40% - Accent5 4 2 2 3 5 2" xfId="9032" xr:uid="{00000000-0005-0000-0000-000042230000}"/>
    <cellStyle name="40% - Accent5 4 2 2 3 6" xfId="9033" xr:uid="{00000000-0005-0000-0000-000043230000}"/>
    <cellStyle name="40% - Accent5 4 2 2 3 6 2" xfId="9034" xr:uid="{00000000-0005-0000-0000-000044230000}"/>
    <cellStyle name="40% - Accent5 4 2 2 3 7" xfId="9035" xr:uid="{00000000-0005-0000-0000-000045230000}"/>
    <cellStyle name="40% - Accent5 4 2 2 3 7 2" xfId="9036" xr:uid="{00000000-0005-0000-0000-000046230000}"/>
    <cellStyle name="40% - Accent5 4 2 2 3 8" xfId="9037" xr:uid="{00000000-0005-0000-0000-000047230000}"/>
    <cellStyle name="40% - Accent5 4 2 2 4" xfId="9038" xr:uid="{00000000-0005-0000-0000-000048230000}"/>
    <cellStyle name="40% - Accent5 4 2 2 4 2" xfId="9039" xr:uid="{00000000-0005-0000-0000-000049230000}"/>
    <cellStyle name="40% - Accent5 4 2 2 4 2 2" xfId="9040" xr:uid="{00000000-0005-0000-0000-00004A230000}"/>
    <cellStyle name="40% - Accent5 4 2 2 4 2 2 2" xfId="9041" xr:uid="{00000000-0005-0000-0000-00004B230000}"/>
    <cellStyle name="40% - Accent5 4 2 2 4 2 3" xfId="9042" xr:uid="{00000000-0005-0000-0000-00004C230000}"/>
    <cellStyle name="40% - Accent5 4 2 2 4 2 3 2" xfId="9043" xr:uid="{00000000-0005-0000-0000-00004D230000}"/>
    <cellStyle name="40% - Accent5 4 2 2 4 2 4" xfId="9044" xr:uid="{00000000-0005-0000-0000-00004E230000}"/>
    <cellStyle name="40% - Accent5 4 2 2 4 3" xfId="9045" xr:uid="{00000000-0005-0000-0000-00004F230000}"/>
    <cellStyle name="40% - Accent5 4 2 2 4 3 2" xfId="9046" xr:uid="{00000000-0005-0000-0000-000050230000}"/>
    <cellStyle name="40% - Accent5 4 2 2 4 4" xfId="9047" xr:uid="{00000000-0005-0000-0000-000051230000}"/>
    <cellStyle name="40% - Accent5 4 2 2 4 4 2" xfId="9048" xr:uid="{00000000-0005-0000-0000-000052230000}"/>
    <cellStyle name="40% - Accent5 4 2 2 4 5" xfId="9049" xr:uid="{00000000-0005-0000-0000-000053230000}"/>
    <cellStyle name="40% - Accent5 4 2 2 4 5 2" xfId="9050" xr:uid="{00000000-0005-0000-0000-000054230000}"/>
    <cellStyle name="40% - Accent5 4 2 2 4 6" xfId="9051" xr:uid="{00000000-0005-0000-0000-000055230000}"/>
    <cellStyle name="40% - Accent5 4 2 2 4 6 2" xfId="9052" xr:uid="{00000000-0005-0000-0000-000056230000}"/>
    <cellStyle name="40% - Accent5 4 2 2 4 7" xfId="9053" xr:uid="{00000000-0005-0000-0000-000057230000}"/>
    <cellStyle name="40% - Accent5 4 2 2 5" xfId="9054" xr:uid="{00000000-0005-0000-0000-000058230000}"/>
    <cellStyle name="40% - Accent5 4 2 2 5 2" xfId="9055" xr:uid="{00000000-0005-0000-0000-000059230000}"/>
    <cellStyle name="40% - Accent5 4 2 2 5 2 2" xfId="9056" xr:uid="{00000000-0005-0000-0000-00005A230000}"/>
    <cellStyle name="40% - Accent5 4 2 2 5 3" xfId="9057" xr:uid="{00000000-0005-0000-0000-00005B230000}"/>
    <cellStyle name="40% - Accent5 4 2 2 5 3 2" xfId="9058" xr:uid="{00000000-0005-0000-0000-00005C230000}"/>
    <cellStyle name="40% - Accent5 4 2 2 5 4" xfId="9059" xr:uid="{00000000-0005-0000-0000-00005D230000}"/>
    <cellStyle name="40% - Accent5 4 2 2 5 4 2" xfId="9060" xr:uid="{00000000-0005-0000-0000-00005E230000}"/>
    <cellStyle name="40% - Accent5 4 2 2 5 5" xfId="9061" xr:uid="{00000000-0005-0000-0000-00005F230000}"/>
    <cellStyle name="40% - Accent5 4 2 2 5 5 2" xfId="9062" xr:uid="{00000000-0005-0000-0000-000060230000}"/>
    <cellStyle name="40% - Accent5 4 2 2 5 6" xfId="9063" xr:uid="{00000000-0005-0000-0000-000061230000}"/>
    <cellStyle name="40% - Accent5 4 2 2 6" xfId="9064" xr:uid="{00000000-0005-0000-0000-000062230000}"/>
    <cellStyle name="40% - Accent5 4 2 2 6 2" xfId="9065" xr:uid="{00000000-0005-0000-0000-000063230000}"/>
    <cellStyle name="40% - Accent5 4 2 2 6 2 2" xfId="9066" xr:uid="{00000000-0005-0000-0000-000064230000}"/>
    <cellStyle name="40% - Accent5 4 2 2 6 3" xfId="9067" xr:uid="{00000000-0005-0000-0000-000065230000}"/>
    <cellStyle name="40% - Accent5 4 2 2 7" xfId="9068" xr:uid="{00000000-0005-0000-0000-000066230000}"/>
    <cellStyle name="40% - Accent5 4 2 2 7 2" xfId="9069" xr:uid="{00000000-0005-0000-0000-000067230000}"/>
    <cellStyle name="40% - Accent5 4 2 2 8" xfId="9070" xr:uid="{00000000-0005-0000-0000-000068230000}"/>
    <cellStyle name="40% - Accent5 4 2 2 8 2" xfId="9071" xr:uid="{00000000-0005-0000-0000-000069230000}"/>
    <cellStyle name="40% - Accent5 4 2 2 9" xfId="9072" xr:uid="{00000000-0005-0000-0000-00006A230000}"/>
    <cellStyle name="40% - Accent5 4 2 2 9 2" xfId="9073" xr:uid="{00000000-0005-0000-0000-00006B230000}"/>
    <cellStyle name="40% - Accent5 4 2 3" xfId="9074" xr:uid="{00000000-0005-0000-0000-00006C230000}"/>
    <cellStyle name="40% - Accent5 4 2 3 2" xfId="9075" xr:uid="{00000000-0005-0000-0000-00006D230000}"/>
    <cellStyle name="40% - Accent5 4 2 3 2 2" xfId="9076" xr:uid="{00000000-0005-0000-0000-00006E230000}"/>
    <cellStyle name="40% - Accent5 4 2 3 2 2 2" xfId="9077" xr:uid="{00000000-0005-0000-0000-00006F230000}"/>
    <cellStyle name="40% - Accent5 4 2 3 2 2 2 2" xfId="9078" xr:uid="{00000000-0005-0000-0000-000070230000}"/>
    <cellStyle name="40% - Accent5 4 2 3 2 2 3" xfId="9079" xr:uid="{00000000-0005-0000-0000-000071230000}"/>
    <cellStyle name="40% - Accent5 4 2 3 2 2 3 2" xfId="9080" xr:uid="{00000000-0005-0000-0000-000072230000}"/>
    <cellStyle name="40% - Accent5 4 2 3 2 2 4" xfId="9081" xr:uid="{00000000-0005-0000-0000-000073230000}"/>
    <cellStyle name="40% - Accent5 4 2 3 2 3" xfId="9082" xr:uid="{00000000-0005-0000-0000-000074230000}"/>
    <cellStyle name="40% - Accent5 4 2 3 2 3 2" xfId="9083" xr:uid="{00000000-0005-0000-0000-000075230000}"/>
    <cellStyle name="40% - Accent5 4 2 3 2 4" xfId="9084" xr:uid="{00000000-0005-0000-0000-000076230000}"/>
    <cellStyle name="40% - Accent5 4 2 3 2 4 2" xfId="9085" xr:uid="{00000000-0005-0000-0000-000077230000}"/>
    <cellStyle name="40% - Accent5 4 2 3 2 5" xfId="9086" xr:uid="{00000000-0005-0000-0000-000078230000}"/>
    <cellStyle name="40% - Accent5 4 2 3 2 5 2" xfId="9087" xr:uid="{00000000-0005-0000-0000-000079230000}"/>
    <cellStyle name="40% - Accent5 4 2 3 2 6" xfId="9088" xr:uid="{00000000-0005-0000-0000-00007A230000}"/>
    <cellStyle name="40% - Accent5 4 2 3 2 6 2" xfId="9089" xr:uid="{00000000-0005-0000-0000-00007B230000}"/>
    <cellStyle name="40% - Accent5 4 2 3 2 7" xfId="9090" xr:uid="{00000000-0005-0000-0000-00007C230000}"/>
    <cellStyle name="40% - Accent5 4 2 3 3" xfId="9091" xr:uid="{00000000-0005-0000-0000-00007D230000}"/>
    <cellStyle name="40% - Accent5 4 2 3 3 2" xfId="9092" xr:uid="{00000000-0005-0000-0000-00007E230000}"/>
    <cellStyle name="40% - Accent5 4 2 3 3 2 2" xfId="9093" xr:uid="{00000000-0005-0000-0000-00007F230000}"/>
    <cellStyle name="40% - Accent5 4 2 3 3 3" xfId="9094" xr:uid="{00000000-0005-0000-0000-000080230000}"/>
    <cellStyle name="40% - Accent5 4 2 3 3 3 2" xfId="9095" xr:uid="{00000000-0005-0000-0000-000081230000}"/>
    <cellStyle name="40% - Accent5 4 2 3 3 4" xfId="9096" xr:uid="{00000000-0005-0000-0000-000082230000}"/>
    <cellStyle name="40% - Accent5 4 2 3 3 4 2" xfId="9097" xr:uid="{00000000-0005-0000-0000-000083230000}"/>
    <cellStyle name="40% - Accent5 4 2 3 3 5" xfId="9098" xr:uid="{00000000-0005-0000-0000-000084230000}"/>
    <cellStyle name="40% - Accent5 4 2 3 3 5 2" xfId="9099" xr:uid="{00000000-0005-0000-0000-000085230000}"/>
    <cellStyle name="40% - Accent5 4 2 3 3 6" xfId="9100" xr:uid="{00000000-0005-0000-0000-000086230000}"/>
    <cellStyle name="40% - Accent5 4 2 3 4" xfId="9101" xr:uid="{00000000-0005-0000-0000-000087230000}"/>
    <cellStyle name="40% - Accent5 4 2 3 4 2" xfId="9102" xr:uid="{00000000-0005-0000-0000-000088230000}"/>
    <cellStyle name="40% - Accent5 4 2 3 4 2 2" xfId="9103" xr:uid="{00000000-0005-0000-0000-000089230000}"/>
    <cellStyle name="40% - Accent5 4 2 3 4 3" xfId="9104" xr:uid="{00000000-0005-0000-0000-00008A230000}"/>
    <cellStyle name="40% - Accent5 4 2 3 5" xfId="9105" xr:uid="{00000000-0005-0000-0000-00008B230000}"/>
    <cellStyle name="40% - Accent5 4 2 3 5 2" xfId="9106" xr:uid="{00000000-0005-0000-0000-00008C230000}"/>
    <cellStyle name="40% - Accent5 4 2 3 6" xfId="9107" xr:uid="{00000000-0005-0000-0000-00008D230000}"/>
    <cellStyle name="40% - Accent5 4 2 3 6 2" xfId="9108" xr:uid="{00000000-0005-0000-0000-00008E230000}"/>
    <cellStyle name="40% - Accent5 4 2 3 7" xfId="9109" xr:uid="{00000000-0005-0000-0000-00008F230000}"/>
    <cellStyle name="40% - Accent5 4 2 3 7 2" xfId="9110" xr:uid="{00000000-0005-0000-0000-000090230000}"/>
    <cellStyle name="40% - Accent5 4 2 3 8" xfId="9111" xr:uid="{00000000-0005-0000-0000-000091230000}"/>
    <cellStyle name="40% - Accent5 4 2 4" xfId="9112" xr:uid="{00000000-0005-0000-0000-000092230000}"/>
    <cellStyle name="40% - Accent5 4 2 4 2" xfId="9113" xr:uid="{00000000-0005-0000-0000-000093230000}"/>
    <cellStyle name="40% - Accent5 4 2 4 2 2" xfId="9114" xr:uid="{00000000-0005-0000-0000-000094230000}"/>
    <cellStyle name="40% - Accent5 4 2 4 2 2 2" xfId="9115" xr:uid="{00000000-0005-0000-0000-000095230000}"/>
    <cellStyle name="40% - Accent5 4 2 4 2 2 2 2" xfId="9116" xr:uid="{00000000-0005-0000-0000-000096230000}"/>
    <cellStyle name="40% - Accent5 4 2 4 2 2 3" xfId="9117" xr:uid="{00000000-0005-0000-0000-000097230000}"/>
    <cellStyle name="40% - Accent5 4 2 4 2 2 3 2" xfId="9118" xr:uid="{00000000-0005-0000-0000-000098230000}"/>
    <cellStyle name="40% - Accent5 4 2 4 2 2 4" xfId="9119" xr:uid="{00000000-0005-0000-0000-000099230000}"/>
    <cellStyle name="40% - Accent5 4 2 4 2 3" xfId="9120" xr:uid="{00000000-0005-0000-0000-00009A230000}"/>
    <cellStyle name="40% - Accent5 4 2 4 2 3 2" xfId="9121" xr:uid="{00000000-0005-0000-0000-00009B230000}"/>
    <cellStyle name="40% - Accent5 4 2 4 2 4" xfId="9122" xr:uid="{00000000-0005-0000-0000-00009C230000}"/>
    <cellStyle name="40% - Accent5 4 2 4 2 4 2" xfId="9123" xr:uid="{00000000-0005-0000-0000-00009D230000}"/>
    <cellStyle name="40% - Accent5 4 2 4 2 5" xfId="9124" xr:uid="{00000000-0005-0000-0000-00009E230000}"/>
    <cellStyle name="40% - Accent5 4 2 4 2 5 2" xfId="9125" xr:uid="{00000000-0005-0000-0000-00009F230000}"/>
    <cellStyle name="40% - Accent5 4 2 4 2 6" xfId="9126" xr:uid="{00000000-0005-0000-0000-0000A0230000}"/>
    <cellStyle name="40% - Accent5 4 2 4 2 6 2" xfId="9127" xr:uid="{00000000-0005-0000-0000-0000A1230000}"/>
    <cellStyle name="40% - Accent5 4 2 4 2 7" xfId="9128" xr:uid="{00000000-0005-0000-0000-0000A2230000}"/>
    <cellStyle name="40% - Accent5 4 2 4 3" xfId="9129" xr:uid="{00000000-0005-0000-0000-0000A3230000}"/>
    <cellStyle name="40% - Accent5 4 2 4 3 2" xfId="9130" xr:uid="{00000000-0005-0000-0000-0000A4230000}"/>
    <cellStyle name="40% - Accent5 4 2 4 3 2 2" xfId="9131" xr:uid="{00000000-0005-0000-0000-0000A5230000}"/>
    <cellStyle name="40% - Accent5 4 2 4 3 3" xfId="9132" xr:uid="{00000000-0005-0000-0000-0000A6230000}"/>
    <cellStyle name="40% - Accent5 4 2 4 3 3 2" xfId="9133" xr:uid="{00000000-0005-0000-0000-0000A7230000}"/>
    <cellStyle name="40% - Accent5 4 2 4 3 4" xfId="9134" xr:uid="{00000000-0005-0000-0000-0000A8230000}"/>
    <cellStyle name="40% - Accent5 4 2 4 3 4 2" xfId="9135" xr:uid="{00000000-0005-0000-0000-0000A9230000}"/>
    <cellStyle name="40% - Accent5 4 2 4 3 5" xfId="9136" xr:uid="{00000000-0005-0000-0000-0000AA230000}"/>
    <cellStyle name="40% - Accent5 4 2 4 3 5 2" xfId="9137" xr:uid="{00000000-0005-0000-0000-0000AB230000}"/>
    <cellStyle name="40% - Accent5 4 2 4 3 6" xfId="9138" xr:uid="{00000000-0005-0000-0000-0000AC230000}"/>
    <cellStyle name="40% - Accent5 4 2 4 4" xfId="9139" xr:uid="{00000000-0005-0000-0000-0000AD230000}"/>
    <cellStyle name="40% - Accent5 4 2 4 4 2" xfId="9140" xr:uid="{00000000-0005-0000-0000-0000AE230000}"/>
    <cellStyle name="40% - Accent5 4 2 4 4 2 2" xfId="9141" xr:uid="{00000000-0005-0000-0000-0000AF230000}"/>
    <cellStyle name="40% - Accent5 4 2 4 4 3" xfId="9142" xr:uid="{00000000-0005-0000-0000-0000B0230000}"/>
    <cellStyle name="40% - Accent5 4 2 4 5" xfId="9143" xr:uid="{00000000-0005-0000-0000-0000B1230000}"/>
    <cellStyle name="40% - Accent5 4 2 4 5 2" xfId="9144" xr:uid="{00000000-0005-0000-0000-0000B2230000}"/>
    <cellStyle name="40% - Accent5 4 2 4 6" xfId="9145" xr:uid="{00000000-0005-0000-0000-0000B3230000}"/>
    <cellStyle name="40% - Accent5 4 2 4 6 2" xfId="9146" xr:uid="{00000000-0005-0000-0000-0000B4230000}"/>
    <cellStyle name="40% - Accent5 4 2 4 7" xfId="9147" xr:uid="{00000000-0005-0000-0000-0000B5230000}"/>
    <cellStyle name="40% - Accent5 4 2 4 7 2" xfId="9148" xr:uid="{00000000-0005-0000-0000-0000B6230000}"/>
    <cellStyle name="40% - Accent5 4 2 4 8" xfId="9149" xr:uid="{00000000-0005-0000-0000-0000B7230000}"/>
    <cellStyle name="40% - Accent5 4 2 5" xfId="9150" xr:uid="{00000000-0005-0000-0000-0000B8230000}"/>
    <cellStyle name="40% - Accent5 4 2 5 2" xfId="9151" xr:uid="{00000000-0005-0000-0000-0000B9230000}"/>
    <cellStyle name="40% - Accent5 4 2 5 2 2" xfId="9152" xr:uid="{00000000-0005-0000-0000-0000BA230000}"/>
    <cellStyle name="40% - Accent5 4 2 5 2 2 2" xfId="9153" xr:uid="{00000000-0005-0000-0000-0000BB230000}"/>
    <cellStyle name="40% - Accent5 4 2 5 2 3" xfId="9154" xr:uid="{00000000-0005-0000-0000-0000BC230000}"/>
    <cellStyle name="40% - Accent5 4 2 5 2 3 2" xfId="9155" xr:uid="{00000000-0005-0000-0000-0000BD230000}"/>
    <cellStyle name="40% - Accent5 4 2 5 2 4" xfId="9156" xr:uid="{00000000-0005-0000-0000-0000BE230000}"/>
    <cellStyle name="40% - Accent5 4 2 5 3" xfId="9157" xr:uid="{00000000-0005-0000-0000-0000BF230000}"/>
    <cellStyle name="40% - Accent5 4 2 5 3 2" xfId="9158" xr:uid="{00000000-0005-0000-0000-0000C0230000}"/>
    <cellStyle name="40% - Accent5 4 2 5 4" xfId="9159" xr:uid="{00000000-0005-0000-0000-0000C1230000}"/>
    <cellStyle name="40% - Accent5 4 2 5 4 2" xfId="9160" xr:uid="{00000000-0005-0000-0000-0000C2230000}"/>
    <cellStyle name="40% - Accent5 4 2 5 5" xfId="9161" xr:uid="{00000000-0005-0000-0000-0000C3230000}"/>
    <cellStyle name="40% - Accent5 4 2 5 5 2" xfId="9162" xr:uid="{00000000-0005-0000-0000-0000C4230000}"/>
    <cellStyle name="40% - Accent5 4 2 5 6" xfId="9163" xr:uid="{00000000-0005-0000-0000-0000C5230000}"/>
    <cellStyle name="40% - Accent5 4 2 5 6 2" xfId="9164" xr:uid="{00000000-0005-0000-0000-0000C6230000}"/>
    <cellStyle name="40% - Accent5 4 2 5 7" xfId="9165" xr:uid="{00000000-0005-0000-0000-0000C7230000}"/>
    <cellStyle name="40% - Accent5 4 2 6" xfId="9166" xr:uid="{00000000-0005-0000-0000-0000C8230000}"/>
    <cellStyle name="40% - Accent5 4 2 6 2" xfId="9167" xr:uid="{00000000-0005-0000-0000-0000C9230000}"/>
    <cellStyle name="40% - Accent5 4 2 6 2 2" xfId="9168" xr:uid="{00000000-0005-0000-0000-0000CA230000}"/>
    <cellStyle name="40% - Accent5 4 2 6 3" xfId="9169" xr:uid="{00000000-0005-0000-0000-0000CB230000}"/>
    <cellStyle name="40% - Accent5 4 2 6 3 2" xfId="9170" xr:uid="{00000000-0005-0000-0000-0000CC230000}"/>
    <cellStyle name="40% - Accent5 4 2 6 4" xfId="9171" xr:uid="{00000000-0005-0000-0000-0000CD230000}"/>
    <cellStyle name="40% - Accent5 4 2 6 4 2" xfId="9172" xr:uid="{00000000-0005-0000-0000-0000CE230000}"/>
    <cellStyle name="40% - Accent5 4 2 6 5" xfId="9173" xr:uid="{00000000-0005-0000-0000-0000CF230000}"/>
    <cellStyle name="40% - Accent5 4 2 6 5 2" xfId="9174" xr:uid="{00000000-0005-0000-0000-0000D0230000}"/>
    <cellStyle name="40% - Accent5 4 2 6 6" xfId="9175" xr:uid="{00000000-0005-0000-0000-0000D1230000}"/>
    <cellStyle name="40% - Accent5 4 2 7" xfId="9176" xr:uid="{00000000-0005-0000-0000-0000D2230000}"/>
    <cellStyle name="40% - Accent5 4 2 7 2" xfId="9177" xr:uid="{00000000-0005-0000-0000-0000D3230000}"/>
    <cellStyle name="40% - Accent5 4 2 7 2 2" xfId="9178" xr:uid="{00000000-0005-0000-0000-0000D4230000}"/>
    <cellStyle name="40% - Accent5 4 2 7 3" xfId="9179" xr:uid="{00000000-0005-0000-0000-0000D5230000}"/>
    <cellStyle name="40% - Accent5 4 2 8" xfId="9180" xr:uid="{00000000-0005-0000-0000-0000D6230000}"/>
    <cellStyle name="40% - Accent5 4 2 8 2" xfId="9181" xr:uid="{00000000-0005-0000-0000-0000D7230000}"/>
    <cellStyle name="40% - Accent5 4 2 9" xfId="9182" xr:uid="{00000000-0005-0000-0000-0000D8230000}"/>
    <cellStyle name="40% - Accent5 4 2 9 2" xfId="9183" xr:uid="{00000000-0005-0000-0000-0000D9230000}"/>
    <cellStyle name="40% - Accent5 4 3" xfId="9184" xr:uid="{00000000-0005-0000-0000-0000DA230000}"/>
    <cellStyle name="40% - Accent5 4 3 10" xfId="9185" xr:uid="{00000000-0005-0000-0000-0000DB230000}"/>
    <cellStyle name="40% - Accent5 4 3 2" xfId="9186" xr:uid="{00000000-0005-0000-0000-0000DC230000}"/>
    <cellStyle name="40% - Accent5 4 3 2 2" xfId="9187" xr:uid="{00000000-0005-0000-0000-0000DD230000}"/>
    <cellStyle name="40% - Accent5 4 3 2 2 2" xfId="9188" xr:uid="{00000000-0005-0000-0000-0000DE230000}"/>
    <cellStyle name="40% - Accent5 4 3 2 2 2 2" xfId="9189" xr:uid="{00000000-0005-0000-0000-0000DF230000}"/>
    <cellStyle name="40% - Accent5 4 3 2 2 2 2 2" xfId="9190" xr:uid="{00000000-0005-0000-0000-0000E0230000}"/>
    <cellStyle name="40% - Accent5 4 3 2 2 2 3" xfId="9191" xr:uid="{00000000-0005-0000-0000-0000E1230000}"/>
    <cellStyle name="40% - Accent5 4 3 2 2 2 3 2" xfId="9192" xr:uid="{00000000-0005-0000-0000-0000E2230000}"/>
    <cellStyle name="40% - Accent5 4 3 2 2 2 4" xfId="9193" xr:uid="{00000000-0005-0000-0000-0000E3230000}"/>
    <cellStyle name="40% - Accent5 4 3 2 2 3" xfId="9194" xr:uid="{00000000-0005-0000-0000-0000E4230000}"/>
    <cellStyle name="40% - Accent5 4 3 2 2 3 2" xfId="9195" xr:uid="{00000000-0005-0000-0000-0000E5230000}"/>
    <cellStyle name="40% - Accent5 4 3 2 2 4" xfId="9196" xr:uid="{00000000-0005-0000-0000-0000E6230000}"/>
    <cellStyle name="40% - Accent5 4 3 2 2 4 2" xfId="9197" xr:uid="{00000000-0005-0000-0000-0000E7230000}"/>
    <cellStyle name="40% - Accent5 4 3 2 2 5" xfId="9198" xr:uid="{00000000-0005-0000-0000-0000E8230000}"/>
    <cellStyle name="40% - Accent5 4 3 2 2 5 2" xfId="9199" xr:uid="{00000000-0005-0000-0000-0000E9230000}"/>
    <cellStyle name="40% - Accent5 4 3 2 2 6" xfId="9200" xr:uid="{00000000-0005-0000-0000-0000EA230000}"/>
    <cellStyle name="40% - Accent5 4 3 2 2 6 2" xfId="9201" xr:uid="{00000000-0005-0000-0000-0000EB230000}"/>
    <cellStyle name="40% - Accent5 4 3 2 2 7" xfId="9202" xr:uid="{00000000-0005-0000-0000-0000EC230000}"/>
    <cellStyle name="40% - Accent5 4 3 2 3" xfId="9203" xr:uid="{00000000-0005-0000-0000-0000ED230000}"/>
    <cellStyle name="40% - Accent5 4 3 2 3 2" xfId="9204" xr:uid="{00000000-0005-0000-0000-0000EE230000}"/>
    <cellStyle name="40% - Accent5 4 3 2 3 2 2" xfId="9205" xr:uid="{00000000-0005-0000-0000-0000EF230000}"/>
    <cellStyle name="40% - Accent5 4 3 2 3 3" xfId="9206" xr:uid="{00000000-0005-0000-0000-0000F0230000}"/>
    <cellStyle name="40% - Accent5 4 3 2 3 3 2" xfId="9207" xr:uid="{00000000-0005-0000-0000-0000F1230000}"/>
    <cellStyle name="40% - Accent5 4 3 2 3 4" xfId="9208" xr:uid="{00000000-0005-0000-0000-0000F2230000}"/>
    <cellStyle name="40% - Accent5 4 3 2 3 4 2" xfId="9209" xr:uid="{00000000-0005-0000-0000-0000F3230000}"/>
    <cellStyle name="40% - Accent5 4 3 2 3 5" xfId="9210" xr:uid="{00000000-0005-0000-0000-0000F4230000}"/>
    <cellStyle name="40% - Accent5 4 3 2 3 5 2" xfId="9211" xr:uid="{00000000-0005-0000-0000-0000F5230000}"/>
    <cellStyle name="40% - Accent5 4 3 2 3 6" xfId="9212" xr:uid="{00000000-0005-0000-0000-0000F6230000}"/>
    <cellStyle name="40% - Accent5 4 3 2 4" xfId="9213" xr:uid="{00000000-0005-0000-0000-0000F7230000}"/>
    <cellStyle name="40% - Accent5 4 3 2 4 2" xfId="9214" xr:uid="{00000000-0005-0000-0000-0000F8230000}"/>
    <cellStyle name="40% - Accent5 4 3 2 4 2 2" xfId="9215" xr:uid="{00000000-0005-0000-0000-0000F9230000}"/>
    <cellStyle name="40% - Accent5 4 3 2 4 3" xfId="9216" xr:uid="{00000000-0005-0000-0000-0000FA230000}"/>
    <cellStyle name="40% - Accent5 4 3 2 5" xfId="9217" xr:uid="{00000000-0005-0000-0000-0000FB230000}"/>
    <cellStyle name="40% - Accent5 4 3 2 5 2" xfId="9218" xr:uid="{00000000-0005-0000-0000-0000FC230000}"/>
    <cellStyle name="40% - Accent5 4 3 2 6" xfId="9219" xr:uid="{00000000-0005-0000-0000-0000FD230000}"/>
    <cellStyle name="40% - Accent5 4 3 2 6 2" xfId="9220" xr:uid="{00000000-0005-0000-0000-0000FE230000}"/>
    <cellStyle name="40% - Accent5 4 3 2 7" xfId="9221" xr:uid="{00000000-0005-0000-0000-0000FF230000}"/>
    <cellStyle name="40% - Accent5 4 3 2 7 2" xfId="9222" xr:uid="{00000000-0005-0000-0000-000000240000}"/>
    <cellStyle name="40% - Accent5 4 3 2 8" xfId="9223" xr:uid="{00000000-0005-0000-0000-000001240000}"/>
    <cellStyle name="40% - Accent5 4 3 3" xfId="9224" xr:uid="{00000000-0005-0000-0000-000002240000}"/>
    <cellStyle name="40% - Accent5 4 3 3 2" xfId="9225" xr:uid="{00000000-0005-0000-0000-000003240000}"/>
    <cellStyle name="40% - Accent5 4 3 3 2 2" xfId="9226" xr:uid="{00000000-0005-0000-0000-000004240000}"/>
    <cellStyle name="40% - Accent5 4 3 3 2 2 2" xfId="9227" xr:uid="{00000000-0005-0000-0000-000005240000}"/>
    <cellStyle name="40% - Accent5 4 3 3 2 2 2 2" xfId="9228" xr:uid="{00000000-0005-0000-0000-000006240000}"/>
    <cellStyle name="40% - Accent5 4 3 3 2 2 3" xfId="9229" xr:uid="{00000000-0005-0000-0000-000007240000}"/>
    <cellStyle name="40% - Accent5 4 3 3 2 2 3 2" xfId="9230" xr:uid="{00000000-0005-0000-0000-000008240000}"/>
    <cellStyle name="40% - Accent5 4 3 3 2 2 4" xfId="9231" xr:uid="{00000000-0005-0000-0000-000009240000}"/>
    <cellStyle name="40% - Accent5 4 3 3 2 3" xfId="9232" xr:uid="{00000000-0005-0000-0000-00000A240000}"/>
    <cellStyle name="40% - Accent5 4 3 3 2 3 2" xfId="9233" xr:uid="{00000000-0005-0000-0000-00000B240000}"/>
    <cellStyle name="40% - Accent5 4 3 3 2 4" xfId="9234" xr:uid="{00000000-0005-0000-0000-00000C240000}"/>
    <cellStyle name="40% - Accent5 4 3 3 2 4 2" xfId="9235" xr:uid="{00000000-0005-0000-0000-00000D240000}"/>
    <cellStyle name="40% - Accent5 4 3 3 2 5" xfId="9236" xr:uid="{00000000-0005-0000-0000-00000E240000}"/>
    <cellStyle name="40% - Accent5 4 3 3 2 5 2" xfId="9237" xr:uid="{00000000-0005-0000-0000-00000F240000}"/>
    <cellStyle name="40% - Accent5 4 3 3 2 6" xfId="9238" xr:uid="{00000000-0005-0000-0000-000010240000}"/>
    <cellStyle name="40% - Accent5 4 3 3 2 6 2" xfId="9239" xr:uid="{00000000-0005-0000-0000-000011240000}"/>
    <cellStyle name="40% - Accent5 4 3 3 2 7" xfId="9240" xr:uid="{00000000-0005-0000-0000-000012240000}"/>
    <cellStyle name="40% - Accent5 4 3 3 3" xfId="9241" xr:uid="{00000000-0005-0000-0000-000013240000}"/>
    <cellStyle name="40% - Accent5 4 3 3 3 2" xfId="9242" xr:uid="{00000000-0005-0000-0000-000014240000}"/>
    <cellStyle name="40% - Accent5 4 3 3 3 2 2" xfId="9243" xr:uid="{00000000-0005-0000-0000-000015240000}"/>
    <cellStyle name="40% - Accent5 4 3 3 3 3" xfId="9244" xr:uid="{00000000-0005-0000-0000-000016240000}"/>
    <cellStyle name="40% - Accent5 4 3 3 3 3 2" xfId="9245" xr:uid="{00000000-0005-0000-0000-000017240000}"/>
    <cellStyle name="40% - Accent5 4 3 3 3 4" xfId="9246" xr:uid="{00000000-0005-0000-0000-000018240000}"/>
    <cellStyle name="40% - Accent5 4 3 3 3 4 2" xfId="9247" xr:uid="{00000000-0005-0000-0000-000019240000}"/>
    <cellStyle name="40% - Accent5 4 3 3 3 5" xfId="9248" xr:uid="{00000000-0005-0000-0000-00001A240000}"/>
    <cellStyle name="40% - Accent5 4 3 3 3 5 2" xfId="9249" xr:uid="{00000000-0005-0000-0000-00001B240000}"/>
    <cellStyle name="40% - Accent5 4 3 3 3 6" xfId="9250" xr:uid="{00000000-0005-0000-0000-00001C240000}"/>
    <cellStyle name="40% - Accent5 4 3 3 4" xfId="9251" xr:uid="{00000000-0005-0000-0000-00001D240000}"/>
    <cellStyle name="40% - Accent5 4 3 3 4 2" xfId="9252" xr:uid="{00000000-0005-0000-0000-00001E240000}"/>
    <cellStyle name="40% - Accent5 4 3 3 4 2 2" xfId="9253" xr:uid="{00000000-0005-0000-0000-00001F240000}"/>
    <cellStyle name="40% - Accent5 4 3 3 4 3" xfId="9254" xr:uid="{00000000-0005-0000-0000-000020240000}"/>
    <cellStyle name="40% - Accent5 4 3 3 5" xfId="9255" xr:uid="{00000000-0005-0000-0000-000021240000}"/>
    <cellStyle name="40% - Accent5 4 3 3 5 2" xfId="9256" xr:uid="{00000000-0005-0000-0000-000022240000}"/>
    <cellStyle name="40% - Accent5 4 3 3 6" xfId="9257" xr:uid="{00000000-0005-0000-0000-000023240000}"/>
    <cellStyle name="40% - Accent5 4 3 3 6 2" xfId="9258" xr:uid="{00000000-0005-0000-0000-000024240000}"/>
    <cellStyle name="40% - Accent5 4 3 3 7" xfId="9259" xr:uid="{00000000-0005-0000-0000-000025240000}"/>
    <cellStyle name="40% - Accent5 4 3 3 7 2" xfId="9260" xr:uid="{00000000-0005-0000-0000-000026240000}"/>
    <cellStyle name="40% - Accent5 4 3 3 8" xfId="9261" xr:uid="{00000000-0005-0000-0000-000027240000}"/>
    <cellStyle name="40% - Accent5 4 3 4" xfId="9262" xr:uid="{00000000-0005-0000-0000-000028240000}"/>
    <cellStyle name="40% - Accent5 4 3 4 2" xfId="9263" xr:uid="{00000000-0005-0000-0000-000029240000}"/>
    <cellStyle name="40% - Accent5 4 3 4 2 2" xfId="9264" xr:uid="{00000000-0005-0000-0000-00002A240000}"/>
    <cellStyle name="40% - Accent5 4 3 4 2 2 2" xfId="9265" xr:uid="{00000000-0005-0000-0000-00002B240000}"/>
    <cellStyle name="40% - Accent5 4 3 4 2 3" xfId="9266" xr:uid="{00000000-0005-0000-0000-00002C240000}"/>
    <cellStyle name="40% - Accent5 4 3 4 2 3 2" xfId="9267" xr:uid="{00000000-0005-0000-0000-00002D240000}"/>
    <cellStyle name="40% - Accent5 4 3 4 2 4" xfId="9268" xr:uid="{00000000-0005-0000-0000-00002E240000}"/>
    <cellStyle name="40% - Accent5 4 3 4 3" xfId="9269" xr:uid="{00000000-0005-0000-0000-00002F240000}"/>
    <cellStyle name="40% - Accent5 4 3 4 3 2" xfId="9270" xr:uid="{00000000-0005-0000-0000-000030240000}"/>
    <cellStyle name="40% - Accent5 4 3 4 4" xfId="9271" xr:uid="{00000000-0005-0000-0000-000031240000}"/>
    <cellStyle name="40% - Accent5 4 3 4 4 2" xfId="9272" xr:uid="{00000000-0005-0000-0000-000032240000}"/>
    <cellStyle name="40% - Accent5 4 3 4 5" xfId="9273" xr:uid="{00000000-0005-0000-0000-000033240000}"/>
    <cellStyle name="40% - Accent5 4 3 4 5 2" xfId="9274" xr:uid="{00000000-0005-0000-0000-000034240000}"/>
    <cellStyle name="40% - Accent5 4 3 4 6" xfId="9275" xr:uid="{00000000-0005-0000-0000-000035240000}"/>
    <cellStyle name="40% - Accent5 4 3 4 6 2" xfId="9276" xr:uid="{00000000-0005-0000-0000-000036240000}"/>
    <cellStyle name="40% - Accent5 4 3 4 7" xfId="9277" xr:uid="{00000000-0005-0000-0000-000037240000}"/>
    <cellStyle name="40% - Accent5 4 3 5" xfId="9278" xr:uid="{00000000-0005-0000-0000-000038240000}"/>
    <cellStyle name="40% - Accent5 4 3 5 2" xfId="9279" xr:uid="{00000000-0005-0000-0000-000039240000}"/>
    <cellStyle name="40% - Accent5 4 3 5 2 2" xfId="9280" xr:uid="{00000000-0005-0000-0000-00003A240000}"/>
    <cellStyle name="40% - Accent5 4 3 5 3" xfId="9281" xr:uid="{00000000-0005-0000-0000-00003B240000}"/>
    <cellStyle name="40% - Accent5 4 3 5 3 2" xfId="9282" xr:uid="{00000000-0005-0000-0000-00003C240000}"/>
    <cellStyle name="40% - Accent5 4 3 5 4" xfId="9283" xr:uid="{00000000-0005-0000-0000-00003D240000}"/>
    <cellStyle name="40% - Accent5 4 3 5 4 2" xfId="9284" xr:uid="{00000000-0005-0000-0000-00003E240000}"/>
    <cellStyle name="40% - Accent5 4 3 5 5" xfId="9285" xr:uid="{00000000-0005-0000-0000-00003F240000}"/>
    <cellStyle name="40% - Accent5 4 3 5 5 2" xfId="9286" xr:uid="{00000000-0005-0000-0000-000040240000}"/>
    <cellStyle name="40% - Accent5 4 3 5 6" xfId="9287" xr:uid="{00000000-0005-0000-0000-000041240000}"/>
    <cellStyle name="40% - Accent5 4 3 6" xfId="9288" xr:uid="{00000000-0005-0000-0000-000042240000}"/>
    <cellStyle name="40% - Accent5 4 3 6 2" xfId="9289" xr:uid="{00000000-0005-0000-0000-000043240000}"/>
    <cellStyle name="40% - Accent5 4 3 6 2 2" xfId="9290" xr:uid="{00000000-0005-0000-0000-000044240000}"/>
    <cellStyle name="40% - Accent5 4 3 6 3" xfId="9291" xr:uid="{00000000-0005-0000-0000-000045240000}"/>
    <cellStyle name="40% - Accent5 4 3 7" xfId="9292" xr:uid="{00000000-0005-0000-0000-000046240000}"/>
    <cellStyle name="40% - Accent5 4 3 7 2" xfId="9293" xr:uid="{00000000-0005-0000-0000-000047240000}"/>
    <cellStyle name="40% - Accent5 4 3 8" xfId="9294" xr:uid="{00000000-0005-0000-0000-000048240000}"/>
    <cellStyle name="40% - Accent5 4 3 8 2" xfId="9295" xr:uid="{00000000-0005-0000-0000-000049240000}"/>
    <cellStyle name="40% - Accent5 4 3 9" xfId="9296" xr:uid="{00000000-0005-0000-0000-00004A240000}"/>
    <cellStyle name="40% - Accent5 4 3 9 2" xfId="9297" xr:uid="{00000000-0005-0000-0000-00004B240000}"/>
    <cellStyle name="40% - Accent5 4 4" xfId="9298" xr:uid="{00000000-0005-0000-0000-00004C240000}"/>
    <cellStyle name="40% - Accent5 4 4 2" xfId="9299" xr:uid="{00000000-0005-0000-0000-00004D240000}"/>
    <cellStyle name="40% - Accent5 4 4 2 2" xfId="9300" xr:uid="{00000000-0005-0000-0000-00004E240000}"/>
    <cellStyle name="40% - Accent5 4 4 2 2 2" xfId="9301" xr:uid="{00000000-0005-0000-0000-00004F240000}"/>
    <cellStyle name="40% - Accent5 4 4 2 2 2 2" xfId="9302" xr:uid="{00000000-0005-0000-0000-000050240000}"/>
    <cellStyle name="40% - Accent5 4 4 2 2 3" xfId="9303" xr:uid="{00000000-0005-0000-0000-000051240000}"/>
    <cellStyle name="40% - Accent5 4 4 2 2 3 2" xfId="9304" xr:uid="{00000000-0005-0000-0000-000052240000}"/>
    <cellStyle name="40% - Accent5 4 4 2 2 4" xfId="9305" xr:uid="{00000000-0005-0000-0000-000053240000}"/>
    <cellStyle name="40% - Accent5 4 4 2 3" xfId="9306" xr:uid="{00000000-0005-0000-0000-000054240000}"/>
    <cellStyle name="40% - Accent5 4 4 2 3 2" xfId="9307" xr:uid="{00000000-0005-0000-0000-000055240000}"/>
    <cellStyle name="40% - Accent5 4 4 2 4" xfId="9308" xr:uid="{00000000-0005-0000-0000-000056240000}"/>
    <cellStyle name="40% - Accent5 4 4 2 4 2" xfId="9309" xr:uid="{00000000-0005-0000-0000-000057240000}"/>
    <cellStyle name="40% - Accent5 4 4 2 5" xfId="9310" xr:uid="{00000000-0005-0000-0000-000058240000}"/>
    <cellStyle name="40% - Accent5 4 4 2 5 2" xfId="9311" xr:uid="{00000000-0005-0000-0000-000059240000}"/>
    <cellStyle name="40% - Accent5 4 4 2 6" xfId="9312" xr:uid="{00000000-0005-0000-0000-00005A240000}"/>
    <cellStyle name="40% - Accent5 4 4 2 6 2" xfId="9313" xr:uid="{00000000-0005-0000-0000-00005B240000}"/>
    <cellStyle name="40% - Accent5 4 4 2 7" xfId="9314" xr:uid="{00000000-0005-0000-0000-00005C240000}"/>
    <cellStyle name="40% - Accent5 4 4 3" xfId="9315" xr:uid="{00000000-0005-0000-0000-00005D240000}"/>
    <cellStyle name="40% - Accent5 4 4 3 2" xfId="9316" xr:uid="{00000000-0005-0000-0000-00005E240000}"/>
    <cellStyle name="40% - Accent5 4 4 3 2 2" xfId="9317" xr:uid="{00000000-0005-0000-0000-00005F240000}"/>
    <cellStyle name="40% - Accent5 4 4 3 3" xfId="9318" xr:uid="{00000000-0005-0000-0000-000060240000}"/>
    <cellStyle name="40% - Accent5 4 4 3 3 2" xfId="9319" xr:uid="{00000000-0005-0000-0000-000061240000}"/>
    <cellStyle name="40% - Accent5 4 4 3 4" xfId="9320" xr:uid="{00000000-0005-0000-0000-000062240000}"/>
    <cellStyle name="40% - Accent5 4 4 3 4 2" xfId="9321" xr:uid="{00000000-0005-0000-0000-000063240000}"/>
    <cellStyle name="40% - Accent5 4 4 3 5" xfId="9322" xr:uid="{00000000-0005-0000-0000-000064240000}"/>
    <cellStyle name="40% - Accent5 4 4 3 5 2" xfId="9323" xr:uid="{00000000-0005-0000-0000-000065240000}"/>
    <cellStyle name="40% - Accent5 4 4 3 6" xfId="9324" xr:uid="{00000000-0005-0000-0000-000066240000}"/>
    <cellStyle name="40% - Accent5 4 4 4" xfId="9325" xr:uid="{00000000-0005-0000-0000-000067240000}"/>
    <cellStyle name="40% - Accent5 4 4 4 2" xfId="9326" xr:uid="{00000000-0005-0000-0000-000068240000}"/>
    <cellStyle name="40% - Accent5 4 4 4 2 2" xfId="9327" xr:uid="{00000000-0005-0000-0000-000069240000}"/>
    <cellStyle name="40% - Accent5 4 4 4 3" xfId="9328" xr:uid="{00000000-0005-0000-0000-00006A240000}"/>
    <cellStyle name="40% - Accent5 4 4 5" xfId="9329" xr:uid="{00000000-0005-0000-0000-00006B240000}"/>
    <cellStyle name="40% - Accent5 4 4 5 2" xfId="9330" xr:uid="{00000000-0005-0000-0000-00006C240000}"/>
    <cellStyle name="40% - Accent5 4 4 6" xfId="9331" xr:uid="{00000000-0005-0000-0000-00006D240000}"/>
    <cellStyle name="40% - Accent5 4 4 6 2" xfId="9332" xr:uid="{00000000-0005-0000-0000-00006E240000}"/>
    <cellStyle name="40% - Accent5 4 4 7" xfId="9333" xr:uid="{00000000-0005-0000-0000-00006F240000}"/>
    <cellStyle name="40% - Accent5 4 4 7 2" xfId="9334" xr:uid="{00000000-0005-0000-0000-000070240000}"/>
    <cellStyle name="40% - Accent5 4 4 8" xfId="9335" xr:uid="{00000000-0005-0000-0000-000071240000}"/>
    <cellStyle name="40% - Accent5 4 5" xfId="9336" xr:uid="{00000000-0005-0000-0000-000072240000}"/>
    <cellStyle name="40% - Accent5 4 5 2" xfId="9337" xr:uid="{00000000-0005-0000-0000-000073240000}"/>
    <cellStyle name="40% - Accent5 4 5 2 2" xfId="9338" xr:uid="{00000000-0005-0000-0000-000074240000}"/>
    <cellStyle name="40% - Accent5 4 5 2 2 2" xfId="9339" xr:uid="{00000000-0005-0000-0000-000075240000}"/>
    <cellStyle name="40% - Accent5 4 5 2 2 2 2" xfId="9340" xr:uid="{00000000-0005-0000-0000-000076240000}"/>
    <cellStyle name="40% - Accent5 4 5 2 2 3" xfId="9341" xr:uid="{00000000-0005-0000-0000-000077240000}"/>
    <cellStyle name="40% - Accent5 4 5 2 2 3 2" xfId="9342" xr:uid="{00000000-0005-0000-0000-000078240000}"/>
    <cellStyle name="40% - Accent5 4 5 2 2 4" xfId="9343" xr:uid="{00000000-0005-0000-0000-000079240000}"/>
    <cellStyle name="40% - Accent5 4 5 2 3" xfId="9344" xr:uid="{00000000-0005-0000-0000-00007A240000}"/>
    <cellStyle name="40% - Accent5 4 5 2 3 2" xfId="9345" xr:uid="{00000000-0005-0000-0000-00007B240000}"/>
    <cellStyle name="40% - Accent5 4 5 2 4" xfId="9346" xr:uid="{00000000-0005-0000-0000-00007C240000}"/>
    <cellStyle name="40% - Accent5 4 5 2 4 2" xfId="9347" xr:uid="{00000000-0005-0000-0000-00007D240000}"/>
    <cellStyle name="40% - Accent5 4 5 2 5" xfId="9348" xr:uid="{00000000-0005-0000-0000-00007E240000}"/>
    <cellStyle name="40% - Accent5 4 5 2 5 2" xfId="9349" xr:uid="{00000000-0005-0000-0000-00007F240000}"/>
    <cellStyle name="40% - Accent5 4 5 2 6" xfId="9350" xr:uid="{00000000-0005-0000-0000-000080240000}"/>
    <cellStyle name="40% - Accent5 4 5 2 6 2" xfId="9351" xr:uid="{00000000-0005-0000-0000-000081240000}"/>
    <cellStyle name="40% - Accent5 4 5 2 7" xfId="9352" xr:uid="{00000000-0005-0000-0000-000082240000}"/>
    <cellStyle name="40% - Accent5 4 5 3" xfId="9353" xr:uid="{00000000-0005-0000-0000-000083240000}"/>
    <cellStyle name="40% - Accent5 4 5 3 2" xfId="9354" xr:uid="{00000000-0005-0000-0000-000084240000}"/>
    <cellStyle name="40% - Accent5 4 5 3 2 2" xfId="9355" xr:uid="{00000000-0005-0000-0000-000085240000}"/>
    <cellStyle name="40% - Accent5 4 5 3 3" xfId="9356" xr:uid="{00000000-0005-0000-0000-000086240000}"/>
    <cellStyle name="40% - Accent5 4 5 3 3 2" xfId="9357" xr:uid="{00000000-0005-0000-0000-000087240000}"/>
    <cellStyle name="40% - Accent5 4 5 3 4" xfId="9358" xr:uid="{00000000-0005-0000-0000-000088240000}"/>
    <cellStyle name="40% - Accent5 4 5 3 4 2" xfId="9359" xr:uid="{00000000-0005-0000-0000-000089240000}"/>
    <cellStyle name="40% - Accent5 4 5 3 5" xfId="9360" xr:uid="{00000000-0005-0000-0000-00008A240000}"/>
    <cellStyle name="40% - Accent5 4 5 3 5 2" xfId="9361" xr:uid="{00000000-0005-0000-0000-00008B240000}"/>
    <cellStyle name="40% - Accent5 4 5 3 6" xfId="9362" xr:uid="{00000000-0005-0000-0000-00008C240000}"/>
    <cellStyle name="40% - Accent5 4 5 4" xfId="9363" xr:uid="{00000000-0005-0000-0000-00008D240000}"/>
    <cellStyle name="40% - Accent5 4 5 4 2" xfId="9364" xr:uid="{00000000-0005-0000-0000-00008E240000}"/>
    <cellStyle name="40% - Accent5 4 5 4 2 2" xfId="9365" xr:uid="{00000000-0005-0000-0000-00008F240000}"/>
    <cellStyle name="40% - Accent5 4 5 4 3" xfId="9366" xr:uid="{00000000-0005-0000-0000-000090240000}"/>
    <cellStyle name="40% - Accent5 4 5 5" xfId="9367" xr:uid="{00000000-0005-0000-0000-000091240000}"/>
    <cellStyle name="40% - Accent5 4 5 5 2" xfId="9368" xr:uid="{00000000-0005-0000-0000-000092240000}"/>
    <cellStyle name="40% - Accent5 4 5 6" xfId="9369" xr:uid="{00000000-0005-0000-0000-000093240000}"/>
    <cellStyle name="40% - Accent5 4 5 6 2" xfId="9370" xr:uid="{00000000-0005-0000-0000-000094240000}"/>
    <cellStyle name="40% - Accent5 4 5 7" xfId="9371" xr:uid="{00000000-0005-0000-0000-000095240000}"/>
    <cellStyle name="40% - Accent5 4 5 7 2" xfId="9372" xr:uid="{00000000-0005-0000-0000-000096240000}"/>
    <cellStyle name="40% - Accent5 4 5 8" xfId="9373" xr:uid="{00000000-0005-0000-0000-000097240000}"/>
    <cellStyle name="40% - Accent5 4 6" xfId="9374" xr:uid="{00000000-0005-0000-0000-000098240000}"/>
    <cellStyle name="40% - Accent5 4 6 2" xfId="9375" xr:uid="{00000000-0005-0000-0000-000099240000}"/>
    <cellStyle name="40% - Accent5 4 6 2 2" xfId="9376" xr:uid="{00000000-0005-0000-0000-00009A240000}"/>
    <cellStyle name="40% - Accent5 4 6 2 2 2" xfId="9377" xr:uid="{00000000-0005-0000-0000-00009B240000}"/>
    <cellStyle name="40% - Accent5 4 6 2 3" xfId="9378" xr:uid="{00000000-0005-0000-0000-00009C240000}"/>
    <cellStyle name="40% - Accent5 4 6 2 3 2" xfId="9379" xr:uid="{00000000-0005-0000-0000-00009D240000}"/>
    <cellStyle name="40% - Accent5 4 6 2 4" xfId="9380" xr:uid="{00000000-0005-0000-0000-00009E240000}"/>
    <cellStyle name="40% - Accent5 4 6 3" xfId="9381" xr:uid="{00000000-0005-0000-0000-00009F240000}"/>
    <cellStyle name="40% - Accent5 4 6 3 2" xfId="9382" xr:uid="{00000000-0005-0000-0000-0000A0240000}"/>
    <cellStyle name="40% - Accent5 4 6 4" xfId="9383" xr:uid="{00000000-0005-0000-0000-0000A1240000}"/>
    <cellStyle name="40% - Accent5 4 6 4 2" xfId="9384" xr:uid="{00000000-0005-0000-0000-0000A2240000}"/>
    <cellStyle name="40% - Accent5 4 6 5" xfId="9385" xr:uid="{00000000-0005-0000-0000-0000A3240000}"/>
    <cellStyle name="40% - Accent5 4 6 5 2" xfId="9386" xr:uid="{00000000-0005-0000-0000-0000A4240000}"/>
    <cellStyle name="40% - Accent5 4 6 6" xfId="9387" xr:uid="{00000000-0005-0000-0000-0000A5240000}"/>
    <cellStyle name="40% - Accent5 4 6 6 2" xfId="9388" xr:uid="{00000000-0005-0000-0000-0000A6240000}"/>
    <cellStyle name="40% - Accent5 4 6 7" xfId="9389" xr:uid="{00000000-0005-0000-0000-0000A7240000}"/>
    <cellStyle name="40% - Accent5 4 7" xfId="9390" xr:uid="{00000000-0005-0000-0000-0000A8240000}"/>
    <cellStyle name="40% - Accent5 4 7 2" xfId="9391" xr:uid="{00000000-0005-0000-0000-0000A9240000}"/>
    <cellStyle name="40% - Accent5 4 7 2 2" xfId="9392" xr:uid="{00000000-0005-0000-0000-0000AA240000}"/>
    <cellStyle name="40% - Accent5 4 7 3" xfId="9393" xr:uid="{00000000-0005-0000-0000-0000AB240000}"/>
    <cellStyle name="40% - Accent5 4 7 3 2" xfId="9394" xr:uid="{00000000-0005-0000-0000-0000AC240000}"/>
    <cellStyle name="40% - Accent5 4 7 4" xfId="9395" xr:uid="{00000000-0005-0000-0000-0000AD240000}"/>
    <cellStyle name="40% - Accent5 4 7 4 2" xfId="9396" xr:uid="{00000000-0005-0000-0000-0000AE240000}"/>
    <cellStyle name="40% - Accent5 4 7 5" xfId="9397" xr:uid="{00000000-0005-0000-0000-0000AF240000}"/>
    <cellStyle name="40% - Accent5 4 7 5 2" xfId="9398" xr:uid="{00000000-0005-0000-0000-0000B0240000}"/>
    <cellStyle name="40% - Accent5 4 7 6" xfId="9399" xr:uid="{00000000-0005-0000-0000-0000B1240000}"/>
    <cellStyle name="40% - Accent5 4 8" xfId="9400" xr:uid="{00000000-0005-0000-0000-0000B2240000}"/>
    <cellStyle name="40% - Accent5 4 8 2" xfId="9401" xr:uid="{00000000-0005-0000-0000-0000B3240000}"/>
    <cellStyle name="40% - Accent5 4 8 2 2" xfId="9402" xr:uid="{00000000-0005-0000-0000-0000B4240000}"/>
    <cellStyle name="40% - Accent5 4 8 3" xfId="9403" xr:uid="{00000000-0005-0000-0000-0000B5240000}"/>
    <cellStyle name="40% - Accent5 4 8 3 2" xfId="9404" xr:uid="{00000000-0005-0000-0000-0000B6240000}"/>
    <cellStyle name="40% - Accent5 4 8 4" xfId="9405" xr:uid="{00000000-0005-0000-0000-0000B7240000}"/>
    <cellStyle name="40% - Accent5 4 9" xfId="9406" xr:uid="{00000000-0005-0000-0000-0000B8240000}"/>
    <cellStyle name="40% - Accent5 4 9 2" xfId="9407" xr:uid="{00000000-0005-0000-0000-0000B9240000}"/>
    <cellStyle name="40% - Accent5 4 9 2 2" xfId="9408" xr:uid="{00000000-0005-0000-0000-0000BA240000}"/>
    <cellStyle name="40% - Accent5 4 9 3" xfId="9409" xr:uid="{00000000-0005-0000-0000-0000BB240000}"/>
    <cellStyle name="40% - Accent5 5" xfId="9410" xr:uid="{00000000-0005-0000-0000-0000BC240000}"/>
    <cellStyle name="40% - Accent5 5 2" xfId="9411" xr:uid="{00000000-0005-0000-0000-0000BD240000}"/>
    <cellStyle name="40% - Accent5 5 2 2" xfId="9412" xr:uid="{00000000-0005-0000-0000-0000BE240000}"/>
    <cellStyle name="40% - Accent5 5 2 2 2" xfId="9413" xr:uid="{00000000-0005-0000-0000-0000BF240000}"/>
    <cellStyle name="40% - Accent5 5 2 3" xfId="9414" xr:uid="{00000000-0005-0000-0000-0000C0240000}"/>
    <cellStyle name="40% - Accent5 5 3" xfId="9415" xr:uid="{00000000-0005-0000-0000-0000C1240000}"/>
    <cellStyle name="40% - Accent5 5 3 2" xfId="9416" xr:uid="{00000000-0005-0000-0000-0000C2240000}"/>
    <cellStyle name="40% - Accent5 5 3 2 2" xfId="9417" xr:uid="{00000000-0005-0000-0000-0000C3240000}"/>
    <cellStyle name="40% - Accent5 5 3 3" xfId="9418" xr:uid="{00000000-0005-0000-0000-0000C4240000}"/>
    <cellStyle name="40% - Accent5 5 4" xfId="9419" xr:uid="{00000000-0005-0000-0000-0000C5240000}"/>
    <cellStyle name="40% - Accent5 6" xfId="9420" xr:uid="{00000000-0005-0000-0000-0000C6240000}"/>
    <cellStyle name="40% - Accent5 6 10" xfId="9421" xr:uid="{00000000-0005-0000-0000-0000C7240000}"/>
    <cellStyle name="40% - Accent5 6 10 2" xfId="9422" xr:uid="{00000000-0005-0000-0000-0000C8240000}"/>
    <cellStyle name="40% - Accent5 6 11" xfId="9423" xr:uid="{00000000-0005-0000-0000-0000C9240000}"/>
    <cellStyle name="40% - Accent5 6 2" xfId="9424" xr:uid="{00000000-0005-0000-0000-0000CA240000}"/>
    <cellStyle name="40% - Accent5 6 2 10" xfId="9425" xr:uid="{00000000-0005-0000-0000-0000CB240000}"/>
    <cellStyle name="40% - Accent5 6 2 2" xfId="9426" xr:uid="{00000000-0005-0000-0000-0000CC240000}"/>
    <cellStyle name="40% - Accent5 6 2 2 2" xfId="9427" xr:uid="{00000000-0005-0000-0000-0000CD240000}"/>
    <cellStyle name="40% - Accent5 6 2 2 2 2" xfId="9428" xr:uid="{00000000-0005-0000-0000-0000CE240000}"/>
    <cellStyle name="40% - Accent5 6 2 2 2 2 2" xfId="9429" xr:uid="{00000000-0005-0000-0000-0000CF240000}"/>
    <cellStyle name="40% - Accent5 6 2 2 2 2 2 2" xfId="9430" xr:uid="{00000000-0005-0000-0000-0000D0240000}"/>
    <cellStyle name="40% - Accent5 6 2 2 2 2 3" xfId="9431" xr:uid="{00000000-0005-0000-0000-0000D1240000}"/>
    <cellStyle name="40% - Accent5 6 2 2 2 2 3 2" xfId="9432" xr:uid="{00000000-0005-0000-0000-0000D2240000}"/>
    <cellStyle name="40% - Accent5 6 2 2 2 2 4" xfId="9433" xr:uid="{00000000-0005-0000-0000-0000D3240000}"/>
    <cellStyle name="40% - Accent5 6 2 2 2 3" xfId="9434" xr:uid="{00000000-0005-0000-0000-0000D4240000}"/>
    <cellStyle name="40% - Accent5 6 2 2 2 3 2" xfId="9435" xr:uid="{00000000-0005-0000-0000-0000D5240000}"/>
    <cellStyle name="40% - Accent5 6 2 2 2 4" xfId="9436" xr:uid="{00000000-0005-0000-0000-0000D6240000}"/>
    <cellStyle name="40% - Accent5 6 2 2 2 4 2" xfId="9437" xr:uid="{00000000-0005-0000-0000-0000D7240000}"/>
    <cellStyle name="40% - Accent5 6 2 2 2 5" xfId="9438" xr:uid="{00000000-0005-0000-0000-0000D8240000}"/>
    <cellStyle name="40% - Accent5 6 2 2 2 5 2" xfId="9439" xr:uid="{00000000-0005-0000-0000-0000D9240000}"/>
    <cellStyle name="40% - Accent5 6 2 2 2 6" xfId="9440" xr:uid="{00000000-0005-0000-0000-0000DA240000}"/>
    <cellStyle name="40% - Accent5 6 2 2 2 6 2" xfId="9441" xr:uid="{00000000-0005-0000-0000-0000DB240000}"/>
    <cellStyle name="40% - Accent5 6 2 2 2 7" xfId="9442" xr:uid="{00000000-0005-0000-0000-0000DC240000}"/>
    <cellStyle name="40% - Accent5 6 2 2 3" xfId="9443" xr:uid="{00000000-0005-0000-0000-0000DD240000}"/>
    <cellStyle name="40% - Accent5 6 2 2 3 2" xfId="9444" xr:uid="{00000000-0005-0000-0000-0000DE240000}"/>
    <cellStyle name="40% - Accent5 6 2 2 3 2 2" xfId="9445" xr:uid="{00000000-0005-0000-0000-0000DF240000}"/>
    <cellStyle name="40% - Accent5 6 2 2 3 3" xfId="9446" xr:uid="{00000000-0005-0000-0000-0000E0240000}"/>
    <cellStyle name="40% - Accent5 6 2 2 3 3 2" xfId="9447" xr:uid="{00000000-0005-0000-0000-0000E1240000}"/>
    <cellStyle name="40% - Accent5 6 2 2 3 4" xfId="9448" xr:uid="{00000000-0005-0000-0000-0000E2240000}"/>
    <cellStyle name="40% - Accent5 6 2 2 3 4 2" xfId="9449" xr:uid="{00000000-0005-0000-0000-0000E3240000}"/>
    <cellStyle name="40% - Accent5 6 2 2 3 5" xfId="9450" xr:uid="{00000000-0005-0000-0000-0000E4240000}"/>
    <cellStyle name="40% - Accent5 6 2 2 3 5 2" xfId="9451" xr:uid="{00000000-0005-0000-0000-0000E5240000}"/>
    <cellStyle name="40% - Accent5 6 2 2 3 6" xfId="9452" xr:uid="{00000000-0005-0000-0000-0000E6240000}"/>
    <cellStyle name="40% - Accent5 6 2 2 4" xfId="9453" xr:uid="{00000000-0005-0000-0000-0000E7240000}"/>
    <cellStyle name="40% - Accent5 6 2 2 4 2" xfId="9454" xr:uid="{00000000-0005-0000-0000-0000E8240000}"/>
    <cellStyle name="40% - Accent5 6 2 2 4 2 2" xfId="9455" xr:uid="{00000000-0005-0000-0000-0000E9240000}"/>
    <cellStyle name="40% - Accent5 6 2 2 4 3" xfId="9456" xr:uid="{00000000-0005-0000-0000-0000EA240000}"/>
    <cellStyle name="40% - Accent5 6 2 2 5" xfId="9457" xr:uid="{00000000-0005-0000-0000-0000EB240000}"/>
    <cellStyle name="40% - Accent5 6 2 2 5 2" xfId="9458" xr:uid="{00000000-0005-0000-0000-0000EC240000}"/>
    <cellStyle name="40% - Accent5 6 2 2 6" xfId="9459" xr:uid="{00000000-0005-0000-0000-0000ED240000}"/>
    <cellStyle name="40% - Accent5 6 2 2 6 2" xfId="9460" xr:uid="{00000000-0005-0000-0000-0000EE240000}"/>
    <cellStyle name="40% - Accent5 6 2 2 7" xfId="9461" xr:uid="{00000000-0005-0000-0000-0000EF240000}"/>
    <cellStyle name="40% - Accent5 6 2 2 7 2" xfId="9462" xr:uid="{00000000-0005-0000-0000-0000F0240000}"/>
    <cellStyle name="40% - Accent5 6 2 2 8" xfId="9463" xr:uid="{00000000-0005-0000-0000-0000F1240000}"/>
    <cellStyle name="40% - Accent5 6 2 3" xfId="9464" xr:uid="{00000000-0005-0000-0000-0000F2240000}"/>
    <cellStyle name="40% - Accent5 6 2 3 2" xfId="9465" xr:uid="{00000000-0005-0000-0000-0000F3240000}"/>
    <cellStyle name="40% - Accent5 6 2 3 2 2" xfId="9466" xr:uid="{00000000-0005-0000-0000-0000F4240000}"/>
    <cellStyle name="40% - Accent5 6 2 3 2 2 2" xfId="9467" xr:uid="{00000000-0005-0000-0000-0000F5240000}"/>
    <cellStyle name="40% - Accent5 6 2 3 2 2 2 2" xfId="9468" xr:uid="{00000000-0005-0000-0000-0000F6240000}"/>
    <cellStyle name="40% - Accent5 6 2 3 2 2 3" xfId="9469" xr:uid="{00000000-0005-0000-0000-0000F7240000}"/>
    <cellStyle name="40% - Accent5 6 2 3 2 2 3 2" xfId="9470" xr:uid="{00000000-0005-0000-0000-0000F8240000}"/>
    <cellStyle name="40% - Accent5 6 2 3 2 2 4" xfId="9471" xr:uid="{00000000-0005-0000-0000-0000F9240000}"/>
    <cellStyle name="40% - Accent5 6 2 3 2 3" xfId="9472" xr:uid="{00000000-0005-0000-0000-0000FA240000}"/>
    <cellStyle name="40% - Accent5 6 2 3 2 3 2" xfId="9473" xr:uid="{00000000-0005-0000-0000-0000FB240000}"/>
    <cellStyle name="40% - Accent5 6 2 3 2 4" xfId="9474" xr:uid="{00000000-0005-0000-0000-0000FC240000}"/>
    <cellStyle name="40% - Accent5 6 2 3 2 4 2" xfId="9475" xr:uid="{00000000-0005-0000-0000-0000FD240000}"/>
    <cellStyle name="40% - Accent5 6 2 3 2 5" xfId="9476" xr:uid="{00000000-0005-0000-0000-0000FE240000}"/>
    <cellStyle name="40% - Accent5 6 2 3 2 5 2" xfId="9477" xr:uid="{00000000-0005-0000-0000-0000FF240000}"/>
    <cellStyle name="40% - Accent5 6 2 3 2 6" xfId="9478" xr:uid="{00000000-0005-0000-0000-000000250000}"/>
    <cellStyle name="40% - Accent5 6 2 3 2 6 2" xfId="9479" xr:uid="{00000000-0005-0000-0000-000001250000}"/>
    <cellStyle name="40% - Accent5 6 2 3 2 7" xfId="9480" xr:uid="{00000000-0005-0000-0000-000002250000}"/>
    <cellStyle name="40% - Accent5 6 2 3 3" xfId="9481" xr:uid="{00000000-0005-0000-0000-000003250000}"/>
    <cellStyle name="40% - Accent5 6 2 3 3 2" xfId="9482" xr:uid="{00000000-0005-0000-0000-000004250000}"/>
    <cellStyle name="40% - Accent5 6 2 3 3 2 2" xfId="9483" xr:uid="{00000000-0005-0000-0000-000005250000}"/>
    <cellStyle name="40% - Accent5 6 2 3 3 3" xfId="9484" xr:uid="{00000000-0005-0000-0000-000006250000}"/>
    <cellStyle name="40% - Accent5 6 2 3 3 3 2" xfId="9485" xr:uid="{00000000-0005-0000-0000-000007250000}"/>
    <cellStyle name="40% - Accent5 6 2 3 3 4" xfId="9486" xr:uid="{00000000-0005-0000-0000-000008250000}"/>
    <cellStyle name="40% - Accent5 6 2 3 3 4 2" xfId="9487" xr:uid="{00000000-0005-0000-0000-000009250000}"/>
    <cellStyle name="40% - Accent5 6 2 3 3 5" xfId="9488" xr:uid="{00000000-0005-0000-0000-00000A250000}"/>
    <cellStyle name="40% - Accent5 6 2 3 3 5 2" xfId="9489" xr:uid="{00000000-0005-0000-0000-00000B250000}"/>
    <cellStyle name="40% - Accent5 6 2 3 3 6" xfId="9490" xr:uid="{00000000-0005-0000-0000-00000C250000}"/>
    <cellStyle name="40% - Accent5 6 2 3 4" xfId="9491" xr:uid="{00000000-0005-0000-0000-00000D250000}"/>
    <cellStyle name="40% - Accent5 6 2 3 4 2" xfId="9492" xr:uid="{00000000-0005-0000-0000-00000E250000}"/>
    <cellStyle name="40% - Accent5 6 2 3 4 2 2" xfId="9493" xr:uid="{00000000-0005-0000-0000-00000F250000}"/>
    <cellStyle name="40% - Accent5 6 2 3 4 3" xfId="9494" xr:uid="{00000000-0005-0000-0000-000010250000}"/>
    <cellStyle name="40% - Accent5 6 2 3 5" xfId="9495" xr:uid="{00000000-0005-0000-0000-000011250000}"/>
    <cellStyle name="40% - Accent5 6 2 3 5 2" xfId="9496" xr:uid="{00000000-0005-0000-0000-000012250000}"/>
    <cellStyle name="40% - Accent5 6 2 3 6" xfId="9497" xr:uid="{00000000-0005-0000-0000-000013250000}"/>
    <cellStyle name="40% - Accent5 6 2 3 6 2" xfId="9498" xr:uid="{00000000-0005-0000-0000-000014250000}"/>
    <cellStyle name="40% - Accent5 6 2 3 7" xfId="9499" xr:uid="{00000000-0005-0000-0000-000015250000}"/>
    <cellStyle name="40% - Accent5 6 2 3 7 2" xfId="9500" xr:uid="{00000000-0005-0000-0000-000016250000}"/>
    <cellStyle name="40% - Accent5 6 2 3 8" xfId="9501" xr:uid="{00000000-0005-0000-0000-000017250000}"/>
    <cellStyle name="40% - Accent5 6 2 4" xfId="9502" xr:uid="{00000000-0005-0000-0000-000018250000}"/>
    <cellStyle name="40% - Accent5 6 2 4 2" xfId="9503" xr:uid="{00000000-0005-0000-0000-000019250000}"/>
    <cellStyle name="40% - Accent5 6 2 4 2 2" xfId="9504" xr:uid="{00000000-0005-0000-0000-00001A250000}"/>
    <cellStyle name="40% - Accent5 6 2 4 2 2 2" xfId="9505" xr:uid="{00000000-0005-0000-0000-00001B250000}"/>
    <cellStyle name="40% - Accent5 6 2 4 2 3" xfId="9506" xr:uid="{00000000-0005-0000-0000-00001C250000}"/>
    <cellStyle name="40% - Accent5 6 2 4 2 3 2" xfId="9507" xr:uid="{00000000-0005-0000-0000-00001D250000}"/>
    <cellStyle name="40% - Accent5 6 2 4 2 4" xfId="9508" xr:uid="{00000000-0005-0000-0000-00001E250000}"/>
    <cellStyle name="40% - Accent5 6 2 4 3" xfId="9509" xr:uid="{00000000-0005-0000-0000-00001F250000}"/>
    <cellStyle name="40% - Accent5 6 2 4 3 2" xfId="9510" xr:uid="{00000000-0005-0000-0000-000020250000}"/>
    <cellStyle name="40% - Accent5 6 2 4 4" xfId="9511" xr:uid="{00000000-0005-0000-0000-000021250000}"/>
    <cellStyle name="40% - Accent5 6 2 4 4 2" xfId="9512" xr:uid="{00000000-0005-0000-0000-000022250000}"/>
    <cellStyle name="40% - Accent5 6 2 4 5" xfId="9513" xr:uid="{00000000-0005-0000-0000-000023250000}"/>
    <cellStyle name="40% - Accent5 6 2 4 5 2" xfId="9514" xr:uid="{00000000-0005-0000-0000-000024250000}"/>
    <cellStyle name="40% - Accent5 6 2 4 6" xfId="9515" xr:uid="{00000000-0005-0000-0000-000025250000}"/>
    <cellStyle name="40% - Accent5 6 2 4 6 2" xfId="9516" xr:uid="{00000000-0005-0000-0000-000026250000}"/>
    <cellStyle name="40% - Accent5 6 2 4 7" xfId="9517" xr:uid="{00000000-0005-0000-0000-000027250000}"/>
    <cellStyle name="40% - Accent5 6 2 5" xfId="9518" xr:uid="{00000000-0005-0000-0000-000028250000}"/>
    <cellStyle name="40% - Accent5 6 2 5 2" xfId="9519" xr:uid="{00000000-0005-0000-0000-000029250000}"/>
    <cellStyle name="40% - Accent5 6 2 5 2 2" xfId="9520" xr:uid="{00000000-0005-0000-0000-00002A250000}"/>
    <cellStyle name="40% - Accent5 6 2 5 3" xfId="9521" xr:uid="{00000000-0005-0000-0000-00002B250000}"/>
    <cellStyle name="40% - Accent5 6 2 5 3 2" xfId="9522" xr:uid="{00000000-0005-0000-0000-00002C250000}"/>
    <cellStyle name="40% - Accent5 6 2 5 4" xfId="9523" xr:uid="{00000000-0005-0000-0000-00002D250000}"/>
    <cellStyle name="40% - Accent5 6 2 5 4 2" xfId="9524" xr:uid="{00000000-0005-0000-0000-00002E250000}"/>
    <cellStyle name="40% - Accent5 6 2 5 5" xfId="9525" xr:uid="{00000000-0005-0000-0000-00002F250000}"/>
    <cellStyle name="40% - Accent5 6 2 5 5 2" xfId="9526" xr:uid="{00000000-0005-0000-0000-000030250000}"/>
    <cellStyle name="40% - Accent5 6 2 5 6" xfId="9527" xr:uid="{00000000-0005-0000-0000-000031250000}"/>
    <cellStyle name="40% - Accent5 6 2 6" xfId="9528" xr:uid="{00000000-0005-0000-0000-000032250000}"/>
    <cellStyle name="40% - Accent5 6 2 6 2" xfId="9529" xr:uid="{00000000-0005-0000-0000-000033250000}"/>
    <cellStyle name="40% - Accent5 6 2 6 2 2" xfId="9530" xr:uid="{00000000-0005-0000-0000-000034250000}"/>
    <cellStyle name="40% - Accent5 6 2 6 3" xfId="9531" xr:uid="{00000000-0005-0000-0000-000035250000}"/>
    <cellStyle name="40% - Accent5 6 2 7" xfId="9532" xr:uid="{00000000-0005-0000-0000-000036250000}"/>
    <cellStyle name="40% - Accent5 6 2 7 2" xfId="9533" xr:uid="{00000000-0005-0000-0000-000037250000}"/>
    <cellStyle name="40% - Accent5 6 2 8" xfId="9534" xr:uid="{00000000-0005-0000-0000-000038250000}"/>
    <cellStyle name="40% - Accent5 6 2 8 2" xfId="9535" xr:uid="{00000000-0005-0000-0000-000039250000}"/>
    <cellStyle name="40% - Accent5 6 2 9" xfId="9536" xr:uid="{00000000-0005-0000-0000-00003A250000}"/>
    <cellStyle name="40% - Accent5 6 2 9 2" xfId="9537" xr:uid="{00000000-0005-0000-0000-00003B250000}"/>
    <cellStyle name="40% - Accent5 6 3" xfId="9538" xr:uid="{00000000-0005-0000-0000-00003C250000}"/>
    <cellStyle name="40% - Accent5 6 3 2" xfId="9539" xr:uid="{00000000-0005-0000-0000-00003D250000}"/>
    <cellStyle name="40% - Accent5 6 3 2 2" xfId="9540" xr:uid="{00000000-0005-0000-0000-00003E250000}"/>
    <cellStyle name="40% - Accent5 6 3 2 2 2" xfId="9541" xr:uid="{00000000-0005-0000-0000-00003F250000}"/>
    <cellStyle name="40% - Accent5 6 3 2 2 2 2" xfId="9542" xr:uid="{00000000-0005-0000-0000-000040250000}"/>
    <cellStyle name="40% - Accent5 6 3 2 2 3" xfId="9543" xr:uid="{00000000-0005-0000-0000-000041250000}"/>
    <cellStyle name="40% - Accent5 6 3 2 2 3 2" xfId="9544" xr:uid="{00000000-0005-0000-0000-000042250000}"/>
    <cellStyle name="40% - Accent5 6 3 2 2 4" xfId="9545" xr:uid="{00000000-0005-0000-0000-000043250000}"/>
    <cellStyle name="40% - Accent5 6 3 2 3" xfId="9546" xr:uid="{00000000-0005-0000-0000-000044250000}"/>
    <cellStyle name="40% - Accent5 6 3 2 3 2" xfId="9547" xr:uid="{00000000-0005-0000-0000-000045250000}"/>
    <cellStyle name="40% - Accent5 6 3 2 4" xfId="9548" xr:uid="{00000000-0005-0000-0000-000046250000}"/>
    <cellStyle name="40% - Accent5 6 3 2 4 2" xfId="9549" xr:uid="{00000000-0005-0000-0000-000047250000}"/>
    <cellStyle name="40% - Accent5 6 3 2 5" xfId="9550" xr:uid="{00000000-0005-0000-0000-000048250000}"/>
    <cellStyle name="40% - Accent5 6 3 2 5 2" xfId="9551" xr:uid="{00000000-0005-0000-0000-000049250000}"/>
    <cellStyle name="40% - Accent5 6 3 2 6" xfId="9552" xr:uid="{00000000-0005-0000-0000-00004A250000}"/>
    <cellStyle name="40% - Accent5 6 3 2 6 2" xfId="9553" xr:uid="{00000000-0005-0000-0000-00004B250000}"/>
    <cellStyle name="40% - Accent5 6 3 2 7" xfId="9554" xr:uid="{00000000-0005-0000-0000-00004C250000}"/>
    <cellStyle name="40% - Accent5 6 3 3" xfId="9555" xr:uid="{00000000-0005-0000-0000-00004D250000}"/>
    <cellStyle name="40% - Accent5 6 3 3 2" xfId="9556" xr:uid="{00000000-0005-0000-0000-00004E250000}"/>
    <cellStyle name="40% - Accent5 6 3 3 2 2" xfId="9557" xr:uid="{00000000-0005-0000-0000-00004F250000}"/>
    <cellStyle name="40% - Accent5 6 3 3 3" xfId="9558" xr:uid="{00000000-0005-0000-0000-000050250000}"/>
    <cellStyle name="40% - Accent5 6 3 3 3 2" xfId="9559" xr:uid="{00000000-0005-0000-0000-000051250000}"/>
    <cellStyle name="40% - Accent5 6 3 3 4" xfId="9560" xr:uid="{00000000-0005-0000-0000-000052250000}"/>
    <cellStyle name="40% - Accent5 6 3 3 4 2" xfId="9561" xr:uid="{00000000-0005-0000-0000-000053250000}"/>
    <cellStyle name="40% - Accent5 6 3 3 5" xfId="9562" xr:uid="{00000000-0005-0000-0000-000054250000}"/>
    <cellStyle name="40% - Accent5 6 3 3 5 2" xfId="9563" xr:uid="{00000000-0005-0000-0000-000055250000}"/>
    <cellStyle name="40% - Accent5 6 3 3 6" xfId="9564" xr:uid="{00000000-0005-0000-0000-000056250000}"/>
    <cellStyle name="40% - Accent5 6 3 4" xfId="9565" xr:uid="{00000000-0005-0000-0000-000057250000}"/>
    <cellStyle name="40% - Accent5 6 3 4 2" xfId="9566" xr:uid="{00000000-0005-0000-0000-000058250000}"/>
    <cellStyle name="40% - Accent5 6 3 4 2 2" xfId="9567" xr:uid="{00000000-0005-0000-0000-000059250000}"/>
    <cellStyle name="40% - Accent5 6 3 4 3" xfId="9568" xr:uid="{00000000-0005-0000-0000-00005A250000}"/>
    <cellStyle name="40% - Accent5 6 3 5" xfId="9569" xr:uid="{00000000-0005-0000-0000-00005B250000}"/>
    <cellStyle name="40% - Accent5 6 3 5 2" xfId="9570" xr:uid="{00000000-0005-0000-0000-00005C250000}"/>
    <cellStyle name="40% - Accent5 6 3 6" xfId="9571" xr:uid="{00000000-0005-0000-0000-00005D250000}"/>
    <cellStyle name="40% - Accent5 6 3 6 2" xfId="9572" xr:uid="{00000000-0005-0000-0000-00005E250000}"/>
    <cellStyle name="40% - Accent5 6 3 7" xfId="9573" xr:uid="{00000000-0005-0000-0000-00005F250000}"/>
    <cellStyle name="40% - Accent5 6 3 7 2" xfId="9574" xr:uid="{00000000-0005-0000-0000-000060250000}"/>
    <cellStyle name="40% - Accent5 6 3 8" xfId="9575" xr:uid="{00000000-0005-0000-0000-000061250000}"/>
    <cellStyle name="40% - Accent5 6 4" xfId="9576" xr:uid="{00000000-0005-0000-0000-000062250000}"/>
    <cellStyle name="40% - Accent5 6 4 2" xfId="9577" xr:uid="{00000000-0005-0000-0000-000063250000}"/>
    <cellStyle name="40% - Accent5 6 4 2 2" xfId="9578" xr:uid="{00000000-0005-0000-0000-000064250000}"/>
    <cellStyle name="40% - Accent5 6 4 2 2 2" xfId="9579" xr:uid="{00000000-0005-0000-0000-000065250000}"/>
    <cellStyle name="40% - Accent5 6 4 2 2 2 2" xfId="9580" xr:uid="{00000000-0005-0000-0000-000066250000}"/>
    <cellStyle name="40% - Accent5 6 4 2 2 3" xfId="9581" xr:uid="{00000000-0005-0000-0000-000067250000}"/>
    <cellStyle name="40% - Accent5 6 4 2 2 3 2" xfId="9582" xr:uid="{00000000-0005-0000-0000-000068250000}"/>
    <cellStyle name="40% - Accent5 6 4 2 2 4" xfId="9583" xr:uid="{00000000-0005-0000-0000-000069250000}"/>
    <cellStyle name="40% - Accent5 6 4 2 3" xfId="9584" xr:uid="{00000000-0005-0000-0000-00006A250000}"/>
    <cellStyle name="40% - Accent5 6 4 2 3 2" xfId="9585" xr:uid="{00000000-0005-0000-0000-00006B250000}"/>
    <cellStyle name="40% - Accent5 6 4 2 4" xfId="9586" xr:uid="{00000000-0005-0000-0000-00006C250000}"/>
    <cellStyle name="40% - Accent5 6 4 2 4 2" xfId="9587" xr:uid="{00000000-0005-0000-0000-00006D250000}"/>
    <cellStyle name="40% - Accent5 6 4 2 5" xfId="9588" xr:uid="{00000000-0005-0000-0000-00006E250000}"/>
    <cellStyle name="40% - Accent5 6 4 2 5 2" xfId="9589" xr:uid="{00000000-0005-0000-0000-00006F250000}"/>
    <cellStyle name="40% - Accent5 6 4 2 6" xfId="9590" xr:uid="{00000000-0005-0000-0000-000070250000}"/>
    <cellStyle name="40% - Accent5 6 4 2 6 2" xfId="9591" xr:uid="{00000000-0005-0000-0000-000071250000}"/>
    <cellStyle name="40% - Accent5 6 4 2 7" xfId="9592" xr:uid="{00000000-0005-0000-0000-000072250000}"/>
    <cellStyle name="40% - Accent5 6 4 3" xfId="9593" xr:uid="{00000000-0005-0000-0000-000073250000}"/>
    <cellStyle name="40% - Accent5 6 4 3 2" xfId="9594" xr:uid="{00000000-0005-0000-0000-000074250000}"/>
    <cellStyle name="40% - Accent5 6 4 3 2 2" xfId="9595" xr:uid="{00000000-0005-0000-0000-000075250000}"/>
    <cellStyle name="40% - Accent5 6 4 3 3" xfId="9596" xr:uid="{00000000-0005-0000-0000-000076250000}"/>
    <cellStyle name="40% - Accent5 6 4 3 3 2" xfId="9597" xr:uid="{00000000-0005-0000-0000-000077250000}"/>
    <cellStyle name="40% - Accent5 6 4 3 4" xfId="9598" xr:uid="{00000000-0005-0000-0000-000078250000}"/>
    <cellStyle name="40% - Accent5 6 4 3 4 2" xfId="9599" xr:uid="{00000000-0005-0000-0000-000079250000}"/>
    <cellStyle name="40% - Accent5 6 4 3 5" xfId="9600" xr:uid="{00000000-0005-0000-0000-00007A250000}"/>
    <cellStyle name="40% - Accent5 6 4 3 5 2" xfId="9601" xr:uid="{00000000-0005-0000-0000-00007B250000}"/>
    <cellStyle name="40% - Accent5 6 4 3 6" xfId="9602" xr:uid="{00000000-0005-0000-0000-00007C250000}"/>
    <cellStyle name="40% - Accent5 6 4 4" xfId="9603" xr:uid="{00000000-0005-0000-0000-00007D250000}"/>
    <cellStyle name="40% - Accent5 6 4 4 2" xfId="9604" xr:uid="{00000000-0005-0000-0000-00007E250000}"/>
    <cellStyle name="40% - Accent5 6 4 4 2 2" xfId="9605" xr:uid="{00000000-0005-0000-0000-00007F250000}"/>
    <cellStyle name="40% - Accent5 6 4 4 3" xfId="9606" xr:uid="{00000000-0005-0000-0000-000080250000}"/>
    <cellStyle name="40% - Accent5 6 4 5" xfId="9607" xr:uid="{00000000-0005-0000-0000-000081250000}"/>
    <cellStyle name="40% - Accent5 6 4 5 2" xfId="9608" xr:uid="{00000000-0005-0000-0000-000082250000}"/>
    <cellStyle name="40% - Accent5 6 4 6" xfId="9609" xr:uid="{00000000-0005-0000-0000-000083250000}"/>
    <cellStyle name="40% - Accent5 6 4 6 2" xfId="9610" xr:uid="{00000000-0005-0000-0000-000084250000}"/>
    <cellStyle name="40% - Accent5 6 4 7" xfId="9611" xr:uid="{00000000-0005-0000-0000-000085250000}"/>
    <cellStyle name="40% - Accent5 6 4 7 2" xfId="9612" xr:uid="{00000000-0005-0000-0000-000086250000}"/>
    <cellStyle name="40% - Accent5 6 4 8" xfId="9613" xr:uid="{00000000-0005-0000-0000-000087250000}"/>
    <cellStyle name="40% - Accent5 6 5" xfId="9614" xr:uid="{00000000-0005-0000-0000-000088250000}"/>
    <cellStyle name="40% - Accent5 6 5 2" xfId="9615" xr:uid="{00000000-0005-0000-0000-000089250000}"/>
    <cellStyle name="40% - Accent5 6 5 2 2" xfId="9616" xr:uid="{00000000-0005-0000-0000-00008A250000}"/>
    <cellStyle name="40% - Accent5 6 5 2 2 2" xfId="9617" xr:uid="{00000000-0005-0000-0000-00008B250000}"/>
    <cellStyle name="40% - Accent5 6 5 2 3" xfId="9618" xr:uid="{00000000-0005-0000-0000-00008C250000}"/>
    <cellStyle name="40% - Accent5 6 5 2 3 2" xfId="9619" xr:uid="{00000000-0005-0000-0000-00008D250000}"/>
    <cellStyle name="40% - Accent5 6 5 2 4" xfId="9620" xr:uid="{00000000-0005-0000-0000-00008E250000}"/>
    <cellStyle name="40% - Accent5 6 5 3" xfId="9621" xr:uid="{00000000-0005-0000-0000-00008F250000}"/>
    <cellStyle name="40% - Accent5 6 5 3 2" xfId="9622" xr:uid="{00000000-0005-0000-0000-000090250000}"/>
    <cellStyle name="40% - Accent5 6 5 4" xfId="9623" xr:uid="{00000000-0005-0000-0000-000091250000}"/>
    <cellStyle name="40% - Accent5 6 5 4 2" xfId="9624" xr:uid="{00000000-0005-0000-0000-000092250000}"/>
    <cellStyle name="40% - Accent5 6 5 5" xfId="9625" xr:uid="{00000000-0005-0000-0000-000093250000}"/>
    <cellStyle name="40% - Accent5 6 5 5 2" xfId="9626" xr:uid="{00000000-0005-0000-0000-000094250000}"/>
    <cellStyle name="40% - Accent5 6 5 6" xfId="9627" xr:uid="{00000000-0005-0000-0000-000095250000}"/>
    <cellStyle name="40% - Accent5 6 5 6 2" xfId="9628" xr:uid="{00000000-0005-0000-0000-000096250000}"/>
    <cellStyle name="40% - Accent5 6 5 7" xfId="9629" xr:uid="{00000000-0005-0000-0000-000097250000}"/>
    <cellStyle name="40% - Accent5 6 6" xfId="9630" xr:uid="{00000000-0005-0000-0000-000098250000}"/>
    <cellStyle name="40% - Accent5 6 6 2" xfId="9631" xr:uid="{00000000-0005-0000-0000-000099250000}"/>
    <cellStyle name="40% - Accent5 6 6 2 2" xfId="9632" xr:uid="{00000000-0005-0000-0000-00009A250000}"/>
    <cellStyle name="40% - Accent5 6 6 3" xfId="9633" xr:uid="{00000000-0005-0000-0000-00009B250000}"/>
    <cellStyle name="40% - Accent5 6 6 3 2" xfId="9634" xr:uid="{00000000-0005-0000-0000-00009C250000}"/>
    <cellStyle name="40% - Accent5 6 6 4" xfId="9635" xr:uid="{00000000-0005-0000-0000-00009D250000}"/>
    <cellStyle name="40% - Accent5 6 6 4 2" xfId="9636" xr:uid="{00000000-0005-0000-0000-00009E250000}"/>
    <cellStyle name="40% - Accent5 6 6 5" xfId="9637" xr:uid="{00000000-0005-0000-0000-00009F250000}"/>
    <cellStyle name="40% - Accent5 6 6 5 2" xfId="9638" xr:uid="{00000000-0005-0000-0000-0000A0250000}"/>
    <cellStyle name="40% - Accent5 6 6 6" xfId="9639" xr:uid="{00000000-0005-0000-0000-0000A1250000}"/>
    <cellStyle name="40% - Accent5 6 7" xfId="9640" xr:uid="{00000000-0005-0000-0000-0000A2250000}"/>
    <cellStyle name="40% - Accent5 6 7 2" xfId="9641" xr:uid="{00000000-0005-0000-0000-0000A3250000}"/>
    <cellStyle name="40% - Accent5 6 7 2 2" xfId="9642" xr:uid="{00000000-0005-0000-0000-0000A4250000}"/>
    <cellStyle name="40% - Accent5 6 7 3" xfId="9643" xr:uid="{00000000-0005-0000-0000-0000A5250000}"/>
    <cellStyle name="40% - Accent5 6 8" xfId="9644" xr:uid="{00000000-0005-0000-0000-0000A6250000}"/>
    <cellStyle name="40% - Accent5 6 8 2" xfId="9645" xr:uid="{00000000-0005-0000-0000-0000A7250000}"/>
    <cellStyle name="40% - Accent5 6 9" xfId="9646" xr:uid="{00000000-0005-0000-0000-0000A8250000}"/>
    <cellStyle name="40% - Accent5 6 9 2" xfId="9647" xr:uid="{00000000-0005-0000-0000-0000A9250000}"/>
    <cellStyle name="40% - Accent5 7" xfId="9648" xr:uid="{00000000-0005-0000-0000-0000AA250000}"/>
    <cellStyle name="40% - Accent5 7 2" xfId="9649" xr:uid="{00000000-0005-0000-0000-0000AB250000}"/>
    <cellStyle name="40% - Accent5 8" xfId="9650" xr:uid="{00000000-0005-0000-0000-0000AC250000}"/>
    <cellStyle name="40% - Accent5 8 2" xfId="9651" xr:uid="{00000000-0005-0000-0000-0000AD250000}"/>
    <cellStyle name="40% - Accent5 8 2 2" xfId="9652" xr:uid="{00000000-0005-0000-0000-0000AE250000}"/>
    <cellStyle name="40% - Accent5 8 2 2 2" xfId="9653" xr:uid="{00000000-0005-0000-0000-0000AF250000}"/>
    <cellStyle name="40% - Accent5 8 2 2 2 2" xfId="9654" xr:uid="{00000000-0005-0000-0000-0000B0250000}"/>
    <cellStyle name="40% - Accent5 8 2 2 2 2 2" xfId="9655" xr:uid="{00000000-0005-0000-0000-0000B1250000}"/>
    <cellStyle name="40% - Accent5 8 2 2 2 3" xfId="9656" xr:uid="{00000000-0005-0000-0000-0000B2250000}"/>
    <cellStyle name="40% - Accent5 8 2 2 2 3 2" xfId="9657" xr:uid="{00000000-0005-0000-0000-0000B3250000}"/>
    <cellStyle name="40% - Accent5 8 2 2 2 4" xfId="9658" xr:uid="{00000000-0005-0000-0000-0000B4250000}"/>
    <cellStyle name="40% - Accent5 8 2 2 3" xfId="9659" xr:uid="{00000000-0005-0000-0000-0000B5250000}"/>
    <cellStyle name="40% - Accent5 8 2 2 3 2" xfId="9660" xr:uid="{00000000-0005-0000-0000-0000B6250000}"/>
    <cellStyle name="40% - Accent5 8 2 2 4" xfId="9661" xr:uid="{00000000-0005-0000-0000-0000B7250000}"/>
    <cellStyle name="40% - Accent5 8 2 2 4 2" xfId="9662" xr:uid="{00000000-0005-0000-0000-0000B8250000}"/>
    <cellStyle name="40% - Accent5 8 2 2 5" xfId="9663" xr:uid="{00000000-0005-0000-0000-0000B9250000}"/>
    <cellStyle name="40% - Accent5 8 2 2 5 2" xfId="9664" xr:uid="{00000000-0005-0000-0000-0000BA250000}"/>
    <cellStyle name="40% - Accent5 8 2 2 6" xfId="9665" xr:uid="{00000000-0005-0000-0000-0000BB250000}"/>
    <cellStyle name="40% - Accent5 8 2 2 6 2" xfId="9666" xr:uid="{00000000-0005-0000-0000-0000BC250000}"/>
    <cellStyle name="40% - Accent5 8 2 2 7" xfId="9667" xr:uid="{00000000-0005-0000-0000-0000BD250000}"/>
    <cellStyle name="40% - Accent5 8 2 3" xfId="9668" xr:uid="{00000000-0005-0000-0000-0000BE250000}"/>
    <cellStyle name="40% - Accent5 8 2 3 2" xfId="9669" xr:uid="{00000000-0005-0000-0000-0000BF250000}"/>
    <cellStyle name="40% - Accent5 8 2 3 2 2" xfId="9670" xr:uid="{00000000-0005-0000-0000-0000C0250000}"/>
    <cellStyle name="40% - Accent5 8 2 3 3" xfId="9671" xr:uid="{00000000-0005-0000-0000-0000C1250000}"/>
    <cellStyle name="40% - Accent5 8 2 3 3 2" xfId="9672" xr:uid="{00000000-0005-0000-0000-0000C2250000}"/>
    <cellStyle name="40% - Accent5 8 2 3 4" xfId="9673" xr:uid="{00000000-0005-0000-0000-0000C3250000}"/>
    <cellStyle name="40% - Accent5 8 2 3 4 2" xfId="9674" xr:uid="{00000000-0005-0000-0000-0000C4250000}"/>
    <cellStyle name="40% - Accent5 8 2 3 5" xfId="9675" xr:uid="{00000000-0005-0000-0000-0000C5250000}"/>
    <cellStyle name="40% - Accent5 8 2 3 5 2" xfId="9676" xr:uid="{00000000-0005-0000-0000-0000C6250000}"/>
    <cellStyle name="40% - Accent5 8 2 3 6" xfId="9677" xr:uid="{00000000-0005-0000-0000-0000C7250000}"/>
    <cellStyle name="40% - Accent5 8 2 4" xfId="9678" xr:uid="{00000000-0005-0000-0000-0000C8250000}"/>
    <cellStyle name="40% - Accent5 8 2 4 2" xfId="9679" xr:uid="{00000000-0005-0000-0000-0000C9250000}"/>
    <cellStyle name="40% - Accent5 8 2 4 2 2" xfId="9680" xr:uid="{00000000-0005-0000-0000-0000CA250000}"/>
    <cellStyle name="40% - Accent5 8 2 4 3" xfId="9681" xr:uid="{00000000-0005-0000-0000-0000CB250000}"/>
    <cellStyle name="40% - Accent5 8 2 5" xfId="9682" xr:uid="{00000000-0005-0000-0000-0000CC250000}"/>
    <cellStyle name="40% - Accent5 8 2 5 2" xfId="9683" xr:uid="{00000000-0005-0000-0000-0000CD250000}"/>
    <cellStyle name="40% - Accent5 8 2 6" xfId="9684" xr:uid="{00000000-0005-0000-0000-0000CE250000}"/>
    <cellStyle name="40% - Accent5 8 2 6 2" xfId="9685" xr:uid="{00000000-0005-0000-0000-0000CF250000}"/>
    <cellStyle name="40% - Accent5 8 2 7" xfId="9686" xr:uid="{00000000-0005-0000-0000-0000D0250000}"/>
    <cellStyle name="40% - Accent5 8 2 7 2" xfId="9687" xr:uid="{00000000-0005-0000-0000-0000D1250000}"/>
    <cellStyle name="40% - Accent5 8 2 8" xfId="9688" xr:uid="{00000000-0005-0000-0000-0000D2250000}"/>
    <cellStyle name="40% - Accent5 8 3" xfId="9689" xr:uid="{00000000-0005-0000-0000-0000D3250000}"/>
    <cellStyle name="40% - Accent5 8 3 2" xfId="9690" xr:uid="{00000000-0005-0000-0000-0000D4250000}"/>
    <cellStyle name="40% - Accent5 8 3 2 2" xfId="9691" xr:uid="{00000000-0005-0000-0000-0000D5250000}"/>
    <cellStyle name="40% - Accent5 8 3 2 2 2" xfId="9692" xr:uid="{00000000-0005-0000-0000-0000D6250000}"/>
    <cellStyle name="40% - Accent5 8 3 2 3" xfId="9693" xr:uid="{00000000-0005-0000-0000-0000D7250000}"/>
    <cellStyle name="40% - Accent5 8 3 2 3 2" xfId="9694" xr:uid="{00000000-0005-0000-0000-0000D8250000}"/>
    <cellStyle name="40% - Accent5 8 3 2 4" xfId="9695" xr:uid="{00000000-0005-0000-0000-0000D9250000}"/>
    <cellStyle name="40% - Accent5 8 3 3" xfId="9696" xr:uid="{00000000-0005-0000-0000-0000DA250000}"/>
    <cellStyle name="40% - Accent5 8 3 3 2" xfId="9697" xr:uid="{00000000-0005-0000-0000-0000DB250000}"/>
    <cellStyle name="40% - Accent5 8 3 4" xfId="9698" xr:uid="{00000000-0005-0000-0000-0000DC250000}"/>
    <cellStyle name="40% - Accent5 8 3 4 2" xfId="9699" xr:uid="{00000000-0005-0000-0000-0000DD250000}"/>
    <cellStyle name="40% - Accent5 8 3 5" xfId="9700" xr:uid="{00000000-0005-0000-0000-0000DE250000}"/>
    <cellStyle name="40% - Accent5 8 3 5 2" xfId="9701" xr:uid="{00000000-0005-0000-0000-0000DF250000}"/>
    <cellStyle name="40% - Accent5 8 3 6" xfId="9702" xr:uid="{00000000-0005-0000-0000-0000E0250000}"/>
    <cellStyle name="40% - Accent5 8 3 6 2" xfId="9703" xr:uid="{00000000-0005-0000-0000-0000E1250000}"/>
    <cellStyle name="40% - Accent5 8 3 7" xfId="9704" xr:uid="{00000000-0005-0000-0000-0000E2250000}"/>
    <cellStyle name="40% - Accent5 8 4" xfId="9705" xr:uid="{00000000-0005-0000-0000-0000E3250000}"/>
    <cellStyle name="40% - Accent5 8 4 2" xfId="9706" xr:uid="{00000000-0005-0000-0000-0000E4250000}"/>
    <cellStyle name="40% - Accent5 8 4 2 2" xfId="9707" xr:uid="{00000000-0005-0000-0000-0000E5250000}"/>
    <cellStyle name="40% - Accent5 8 4 3" xfId="9708" xr:uid="{00000000-0005-0000-0000-0000E6250000}"/>
    <cellStyle name="40% - Accent5 8 4 3 2" xfId="9709" xr:uid="{00000000-0005-0000-0000-0000E7250000}"/>
    <cellStyle name="40% - Accent5 8 4 4" xfId="9710" xr:uid="{00000000-0005-0000-0000-0000E8250000}"/>
    <cellStyle name="40% - Accent5 8 4 4 2" xfId="9711" xr:uid="{00000000-0005-0000-0000-0000E9250000}"/>
    <cellStyle name="40% - Accent5 8 4 5" xfId="9712" xr:uid="{00000000-0005-0000-0000-0000EA250000}"/>
    <cellStyle name="40% - Accent5 8 4 5 2" xfId="9713" xr:uid="{00000000-0005-0000-0000-0000EB250000}"/>
    <cellStyle name="40% - Accent5 8 4 6" xfId="9714" xr:uid="{00000000-0005-0000-0000-0000EC250000}"/>
    <cellStyle name="40% - Accent5 8 5" xfId="9715" xr:uid="{00000000-0005-0000-0000-0000ED250000}"/>
    <cellStyle name="40% - Accent5 8 5 2" xfId="9716" xr:uid="{00000000-0005-0000-0000-0000EE250000}"/>
    <cellStyle name="40% - Accent5 8 5 2 2" xfId="9717" xr:uid="{00000000-0005-0000-0000-0000EF250000}"/>
    <cellStyle name="40% - Accent5 8 5 3" xfId="9718" xr:uid="{00000000-0005-0000-0000-0000F0250000}"/>
    <cellStyle name="40% - Accent5 8 6" xfId="9719" xr:uid="{00000000-0005-0000-0000-0000F1250000}"/>
    <cellStyle name="40% - Accent5 8 6 2" xfId="9720" xr:uid="{00000000-0005-0000-0000-0000F2250000}"/>
    <cellStyle name="40% - Accent5 8 7" xfId="9721" xr:uid="{00000000-0005-0000-0000-0000F3250000}"/>
    <cellStyle name="40% - Accent5 8 7 2" xfId="9722" xr:uid="{00000000-0005-0000-0000-0000F4250000}"/>
    <cellStyle name="40% - Accent5 8 8" xfId="9723" xr:uid="{00000000-0005-0000-0000-0000F5250000}"/>
    <cellStyle name="40% - Accent5 8 8 2" xfId="9724" xr:uid="{00000000-0005-0000-0000-0000F6250000}"/>
    <cellStyle name="40% - Accent5 8 9" xfId="9725" xr:uid="{00000000-0005-0000-0000-0000F7250000}"/>
    <cellStyle name="40% - Accent5 9" xfId="9726" xr:uid="{00000000-0005-0000-0000-0000F8250000}"/>
    <cellStyle name="40% - Accent5 9 2" xfId="9727" xr:uid="{00000000-0005-0000-0000-0000F9250000}"/>
    <cellStyle name="40% - Accent5 9 2 2" xfId="9728" xr:uid="{00000000-0005-0000-0000-0000FA250000}"/>
    <cellStyle name="40% - Accent5 9 2 2 2" xfId="9729" xr:uid="{00000000-0005-0000-0000-0000FB250000}"/>
    <cellStyle name="40% - Accent5 9 2 2 2 2" xfId="9730" xr:uid="{00000000-0005-0000-0000-0000FC250000}"/>
    <cellStyle name="40% - Accent5 9 2 2 3" xfId="9731" xr:uid="{00000000-0005-0000-0000-0000FD250000}"/>
    <cellStyle name="40% - Accent5 9 2 3" xfId="9732" xr:uid="{00000000-0005-0000-0000-0000FE250000}"/>
    <cellStyle name="40% - Accent5 9 2 3 2" xfId="9733" xr:uid="{00000000-0005-0000-0000-0000FF250000}"/>
    <cellStyle name="40% - Accent5 9 2 4" xfId="9734" xr:uid="{00000000-0005-0000-0000-000000260000}"/>
    <cellStyle name="40% - Accent5 9 3" xfId="9735" xr:uid="{00000000-0005-0000-0000-000001260000}"/>
    <cellStyle name="40% - Accent5 9 3 2" xfId="9736" xr:uid="{00000000-0005-0000-0000-000002260000}"/>
    <cellStyle name="40% - Accent5 9 3 2 2" xfId="9737" xr:uid="{00000000-0005-0000-0000-000003260000}"/>
    <cellStyle name="40% - Accent5 9 3 3" xfId="9738" xr:uid="{00000000-0005-0000-0000-000004260000}"/>
    <cellStyle name="40% - Accent5 9 4" xfId="9739" xr:uid="{00000000-0005-0000-0000-000005260000}"/>
    <cellStyle name="40% - Accent5 9 4 2" xfId="9740" xr:uid="{00000000-0005-0000-0000-000006260000}"/>
    <cellStyle name="40% - Accent5 9 5" xfId="9741" xr:uid="{00000000-0005-0000-0000-000007260000}"/>
    <cellStyle name="40% - Accent5 9 5 2" xfId="9742" xr:uid="{00000000-0005-0000-0000-000008260000}"/>
    <cellStyle name="40% - Accent5 9 6" xfId="9743" xr:uid="{00000000-0005-0000-0000-000009260000}"/>
    <cellStyle name="40% - Accent5 9 6 2" xfId="9744" xr:uid="{00000000-0005-0000-0000-00000A260000}"/>
    <cellStyle name="40% - Accent5 9 7" xfId="9745" xr:uid="{00000000-0005-0000-0000-00000B260000}"/>
    <cellStyle name="40% - Accent6 10" xfId="9746" xr:uid="{00000000-0005-0000-0000-00000C260000}"/>
    <cellStyle name="40% - Accent6 10 2" xfId="9747" xr:uid="{00000000-0005-0000-0000-00000D260000}"/>
    <cellStyle name="40% - Accent6 10 2 2" xfId="9748" xr:uid="{00000000-0005-0000-0000-00000E260000}"/>
    <cellStyle name="40% - Accent6 10 2 2 2" xfId="9749" xr:uid="{00000000-0005-0000-0000-00000F260000}"/>
    <cellStyle name="40% - Accent6 10 2 2 2 2" xfId="9750" xr:uid="{00000000-0005-0000-0000-000010260000}"/>
    <cellStyle name="40% - Accent6 10 2 2 3" xfId="9751" xr:uid="{00000000-0005-0000-0000-000011260000}"/>
    <cellStyle name="40% - Accent6 10 2 3" xfId="9752" xr:uid="{00000000-0005-0000-0000-000012260000}"/>
    <cellStyle name="40% - Accent6 10 2 3 2" xfId="9753" xr:uid="{00000000-0005-0000-0000-000013260000}"/>
    <cellStyle name="40% - Accent6 10 2 4" xfId="9754" xr:uid="{00000000-0005-0000-0000-000014260000}"/>
    <cellStyle name="40% - Accent6 10 3" xfId="9755" xr:uid="{00000000-0005-0000-0000-000015260000}"/>
    <cellStyle name="40% - Accent6 10 3 2" xfId="9756" xr:uid="{00000000-0005-0000-0000-000016260000}"/>
    <cellStyle name="40% - Accent6 10 3 2 2" xfId="9757" xr:uid="{00000000-0005-0000-0000-000017260000}"/>
    <cellStyle name="40% - Accent6 10 3 3" xfId="9758" xr:uid="{00000000-0005-0000-0000-000018260000}"/>
    <cellStyle name="40% - Accent6 10 4" xfId="9759" xr:uid="{00000000-0005-0000-0000-000019260000}"/>
    <cellStyle name="40% - Accent6 10 4 2" xfId="9760" xr:uid="{00000000-0005-0000-0000-00001A260000}"/>
    <cellStyle name="40% - Accent6 10 5" xfId="9761" xr:uid="{00000000-0005-0000-0000-00001B260000}"/>
    <cellStyle name="40% - Accent6 11" xfId="9762" xr:uid="{00000000-0005-0000-0000-00001C260000}"/>
    <cellStyle name="40% - Accent6 11 2" xfId="9763" xr:uid="{00000000-0005-0000-0000-00001D260000}"/>
    <cellStyle name="40% - Accent6 11 2 2" xfId="9764" xr:uid="{00000000-0005-0000-0000-00001E260000}"/>
    <cellStyle name="40% - Accent6 11 2 2 2" xfId="9765" xr:uid="{00000000-0005-0000-0000-00001F260000}"/>
    <cellStyle name="40% - Accent6 11 2 2 2 2" xfId="9766" xr:uid="{00000000-0005-0000-0000-000020260000}"/>
    <cellStyle name="40% - Accent6 11 2 2 3" xfId="9767" xr:uid="{00000000-0005-0000-0000-000021260000}"/>
    <cellStyle name="40% - Accent6 11 2 3" xfId="9768" xr:uid="{00000000-0005-0000-0000-000022260000}"/>
    <cellStyle name="40% - Accent6 11 2 3 2" xfId="9769" xr:uid="{00000000-0005-0000-0000-000023260000}"/>
    <cellStyle name="40% - Accent6 11 2 4" xfId="9770" xr:uid="{00000000-0005-0000-0000-000024260000}"/>
    <cellStyle name="40% - Accent6 11 3" xfId="9771" xr:uid="{00000000-0005-0000-0000-000025260000}"/>
    <cellStyle name="40% - Accent6 11 3 2" xfId="9772" xr:uid="{00000000-0005-0000-0000-000026260000}"/>
    <cellStyle name="40% - Accent6 11 3 2 2" xfId="9773" xr:uid="{00000000-0005-0000-0000-000027260000}"/>
    <cellStyle name="40% - Accent6 11 3 3" xfId="9774" xr:uid="{00000000-0005-0000-0000-000028260000}"/>
    <cellStyle name="40% - Accent6 11 4" xfId="9775" xr:uid="{00000000-0005-0000-0000-000029260000}"/>
    <cellStyle name="40% - Accent6 11 4 2" xfId="9776" xr:uid="{00000000-0005-0000-0000-00002A260000}"/>
    <cellStyle name="40% - Accent6 11 5" xfId="9777" xr:uid="{00000000-0005-0000-0000-00002B260000}"/>
    <cellStyle name="40% - Accent6 12" xfId="9778" xr:uid="{00000000-0005-0000-0000-00002C260000}"/>
    <cellStyle name="40% - Accent6 12 2" xfId="9779" xr:uid="{00000000-0005-0000-0000-00002D260000}"/>
    <cellStyle name="40% - Accent6 13" xfId="9780" xr:uid="{00000000-0005-0000-0000-00002E260000}"/>
    <cellStyle name="40% - Accent6 13 2" xfId="9781" xr:uid="{00000000-0005-0000-0000-00002F260000}"/>
    <cellStyle name="40% - Accent6 13 2 2" xfId="9782" xr:uid="{00000000-0005-0000-0000-000030260000}"/>
    <cellStyle name="40% - Accent6 13 2 2 2" xfId="9783" xr:uid="{00000000-0005-0000-0000-000031260000}"/>
    <cellStyle name="40% - Accent6 13 2 3" xfId="9784" xr:uid="{00000000-0005-0000-0000-000032260000}"/>
    <cellStyle name="40% - Accent6 13 3" xfId="9785" xr:uid="{00000000-0005-0000-0000-000033260000}"/>
    <cellStyle name="40% - Accent6 13 3 2" xfId="9786" xr:uid="{00000000-0005-0000-0000-000034260000}"/>
    <cellStyle name="40% - Accent6 13 4" xfId="9787" xr:uid="{00000000-0005-0000-0000-000035260000}"/>
    <cellStyle name="40% - Accent6 14" xfId="9788" xr:uid="{00000000-0005-0000-0000-000036260000}"/>
    <cellStyle name="40% - Accent6 14 2" xfId="9789" xr:uid="{00000000-0005-0000-0000-000037260000}"/>
    <cellStyle name="40% - Accent6 2" xfId="9790" xr:uid="{00000000-0005-0000-0000-000038260000}"/>
    <cellStyle name="40% - Accent6 2 2" xfId="9791" xr:uid="{00000000-0005-0000-0000-000039260000}"/>
    <cellStyle name="40% - Accent6 2 2 2" xfId="9792" xr:uid="{00000000-0005-0000-0000-00003A260000}"/>
    <cellStyle name="40% - Accent6 2 2 3" xfId="9793" xr:uid="{00000000-0005-0000-0000-00003B260000}"/>
    <cellStyle name="40% - Accent6 2 2 3 2" xfId="9794" xr:uid="{00000000-0005-0000-0000-00003C260000}"/>
    <cellStyle name="40% - Accent6 2 3" xfId="9795" xr:uid="{00000000-0005-0000-0000-00003D260000}"/>
    <cellStyle name="40% - Accent6 2 3 2" xfId="9796" xr:uid="{00000000-0005-0000-0000-00003E260000}"/>
    <cellStyle name="40% - Accent6 2 4" xfId="9797" xr:uid="{00000000-0005-0000-0000-00003F260000}"/>
    <cellStyle name="40% - Accent6 2 4 2" xfId="9798" xr:uid="{00000000-0005-0000-0000-000040260000}"/>
    <cellStyle name="40% - Accent6 2 4 3" xfId="9799" xr:uid="{00000000-0005-0000-0000-000041260000}"/>
    <cellStyle name="40% - Accent6 2 5" xfId="9800" xr:uid="{00000000-0005-0000-0000-000042260000}"/>
    <cellStyle name="40% - Accent6 3" xfId="9801" xr:uid="{00000000-0005-0000-0000-000043260000}"/>
    <cellStyle name="40% - Accent6 3 2" xfId="9802" xr:uid="{00000000-0005-0000-0000-000044260000}"/>
    <cellStyle name="40% - Accent6 3 2 2" xfId="9803" xr:uid="{00000000-0005-0000-0000-000045260000}"/>
    <cellStyle name="40% - Accent6 3 2 2 2" xfId="9804" xr:uid="{00000000-0005-0000-0000-000046260000}"/>
    <cellStyle name="40% - Accent6 3 2 2 2 2" xfId="9805" xr:uid="{00000000-0005-0000-0000-000047260000}"/>
    <cellStyle name="40% - Accent6 3 2 2 3" xfId="9806" xr:uid="{00000000-0005-0000-0000-000048260000}"/>
    <cellStyle name="40% - Accent6 3 2 2 3 2" xfId="9807" xr:uid="{00000000-0005-0000-0000-000049260000}"/>
    <cellStyle name="40% - Accent6 3 2 2 4" xfId="9808" xr:uid="{00000000-0005-0000-0000-00004A260000}"/>
    <cellStyle name="40% - Accent6 3 2 3" xfId="9809" xr:uid="{00000000-0005-0000-0000-00004B260000}"/>
    <cellStyle name="40% - Accent6 3 2 3 2" xfId="9810" xr:uid="{00000000-0005-0000-0000-00004C260000}"/>
    <cellStyle name="40% - Accent6 3 2 4" xfId="9811" xr:uid="{00000000-0005-0000-0000-00004D260000}"/>
    <cellStyle name="40% - Accent6 3 2 4 2" xfId="9812" xr:uid="{00000000-0005-0000-0000-00004E260000}"/>
    <cellStyle name="40% - Accent6 3 2 5" xfId="9813" xr:uid="{00000000-0005-0000-0000-00004F260000}"/>
    <cellStyle name="40% - Accent6 3 3" xfId="9814" xr:uid="{00000000-0005-0000-0000-000050260000}"/>
    <cellStyle name="40% - Accent6 3 3 2" xfId="9815" xr:uid="{00000000-0005-0000-0000-000051260000}"/>
    <cellStyle name="40% - Accent6 3 3 3" xfId="9816" xr:uid="{00000000-0005-0000-0000-000052260000}"/>
    <cellStyle name="40% - Accent6 3 3 3 2" xfId="9817" xr:uid="{00000000-0005-0000-0000-000053260000}"/>
    <cellStyle name="40% - Accent6 3 3 4" xfId="9818" xr:uid="{00000000-0005-0000-0000-000054260000}"/>
    <cellStyle name="40% - Accent6 3 4" xfId="9819" xr:uid="{00000000-0005-0000-0000-000055260000}"/>
    <cellStyle name="40% - Accent6 3 4 2" xfId="9820" xr:uid="{00000000-0005-0000-0000-000056260000}"/>
    <cellStyle name="40% - Accent6 3 5" xfId="9821" xr:uid="{00000000-0005-0000-0000-000057260000}"/>
    <cellStyle name="40% - Accent6 3 5 2" xfId="9822" xr:uid="{00000000-0005-0000-0000-000058260000}"/>
    <cellStyle name="40% - Accent6 3 6" xfId="9823" xr:uid="{00000000-0005-0000-0000-000059260000}"/>
    <cellStyle name="40% - Accent6 3 6 2" xfId="9824" xr:uid="{00000000-0005-0000-0000-00005A260000}"/>
    <cellStyle name="40% - Accent6 3 7" xfId="9825" xr:uid="{00000000-0005-0000-0000-00005B260000}"/>
    <cellStyle name="40% - Accent6 3 7 2" xfId="9826" xr:uid="{00000000-0005-0000-0000-00005C260000}"/>
    <cellStyle name="40% - Accent6 3 8" xfId="9827" xr:uid="{00000000-0005-0000-0000-00005D260000}"/>
    <cellStyle name="40% - Accent6 3 8 2" xfId="9828" xr:uid="{00000000-0005-0000-0000-00005E260000}"/>
    <cellStyle name="40% - Accent6 4" xfId="9829" xr:uid="{00000000-0005-0000-0000-00005F260000}"/>
    <cellStyle name="40% - Accent6 4 10" xfId="9830" xr:uid="{00000000-0005-0000-0000-000060260000}"/>
    <cellStyle name="40% - Accent6 4 10 2" xfId="9831" xr:uid="{00000000-0005-0000-0000-000061260000}"/>
    <cellStyle name="40% - Accent6 4 11" xfId="9832" xr:uid="{00000000-0005-0000-0000-000062260000}"/>
    <cellStyle name="40% - Accent6 4 11 2" xfId="9833" xr:uid="{00000000-0005-0000-0000-000063260000}"/>
    <cellStyle name="40% - Accent6 4 12" xfId="9834" xr:uid="{00000000-0005-0000-0000-000064260000}"/>
    <cellStyle name="40% - Accent6 4 12 2" xfId="9835" xr:uid="{00000000-0005-0000-0000-000065260000}"/>
    <cellStyle name="40% - Accent6 4 13" xfId="9836" xr:uid="{00000000-0005-0000-0000-000066260000}"/>
    <cellStyle name="40% - Accent6 4 2" xfId="9837" xr:uid="{00000000-0005-0000-0000-000067260000}"/>
    <cellStyle name="40% - Accent6 4 2 10" xfId="9838" xr:uid="{00000000-0005-0000-0000-000068260000}"/>
    <cellStyle name="40% - Accent6 4 2 10 2" xfId="9839" xr:uid="{00000000-0005-0000-0000-000069260000}"/>
    <cellStyle name="40% - Accent6 4 2 11" xfId="9840" xr:uid="{00000000-0005-0000-0000-00006A260000}"/>
    <cellStyle name="40% - Accent6 4 2 2" xfId="9841" xr:uid="{00000000-0005-0000-0000-00006B260000}"/>
    <cellStyle name="40% - Accent6 4 2 2 10" xfId="9842" xr:uid="{00000000-0005-0000-0000-00006C260000}"/>
    <cellStyle name="40% - Accent6 4 2 2 2" xfId="9843" xr:uid="{00000000-0005-0000-0000-00006D260000}"/>
    <cellStyle name="40% - Accent6 4 2 2 2 2" xfId="9844" xr:uid="{00000000-0005-0000-0000-00006E260000}"/>
    <cellStyle name="40% - Accent6 4 2 2 2 2 2" xfId="9845" xr:uid="{00000000-0005-0000-0000-00006F260000}"/>
    <cellStyle name="40% - Accent6 4 2 2 2 2 2 2" xfId="9846" xr:uid="{00000000-0005-0000-0000-000070260000}"/>
    <cellStyle name="40% - Accent6 4 2 2 2 2 2 2 2" xfId="9847" xr:uid="{00000000-0005-0000-0000-000071260000}"/>
    <cellStyle name="40% - Accent6 4 2 2 2 2 2 3" xfId="9848" xr:uid="{00000000-0005-0000-0000-000072260000}"/>
    <cellStyle name="40% - Accent6 4 2 2 2 2 2 3 2" xfId="9849" xr:uid="{00000000-0005-0000-0000-000073260000}"/>
    <cellStyle name="40% - Accent6 4 2 2 2 2 2 4" xfId="9850" xr:uid="{00000000-0005-0000-0000-000074260000}"/>
    <cellStyle name="40% - Accent6 4 2 2 2 2 3" xfId="9851" xr:uid="{00000000-0005-0000-0000-000075260000}"/>
    <cellStyle name="40% - Accent6 4 2 2 2 2 3 2" xfId="9852" xr:uid="{00000000-0005-0000-0000-000076260000}"/>
    <cellStyle name="40% - Accent6 4 2 2 2 2 4" xfId="9853" xr:uid="{00000000-0005-0000-0000-000077260000}"/>
    <cellStyle name="40% - Accent6 4 2 2 2 2 4 2" xfId="9854" xr:uid="{00000000-0005-0000-0000-000078260000}"/>
    <cellStyle name="40% - Accent6 4 2 2 2 2 5" xfId="9855" xr:uid="{00000000-0005-0000-0000-000079260000}"/>
    <cellStyle name="40% - Accent6 4 2 2 2 2 5 2" xfId="9856" xr:uid="{00000000-0005-0000-0000-00007A260000}"/>
    <cellStyle name="40% - Accent6 4 2 2 2 2 6" xfId="9857" xr:uid="{00000000-0005-0000-0000-00007B260000}"/>
    <cellStyle name="40% - Accent6 4 2 2 2 2 6 2" xfId="9858" xr:uid="{00000000-0005-0000-0000-00007C260000}"/>
    <cellStyle name="40% - Accent6 4 2 2 2 2 7" xfId="9859" xr:uid="{00000000-0005-0000-0000-00007D260000}"/>
    <cellStyle name="40% - Accent6 4 2 2 2 3" xfId="9860" xr:uid="{00000000-0005-0000-0000-00007E260000}"/>
    <cellStyle name="40% - Accent6 4 2 2 2 3 2" xfId="9861" xr:uid="{00000000-0005-0000-0000-00007F260000}"/>
    <cellStyle name="40% - Accent6 4 2 2 2 3 2 2" xfId="9862" xr:uid="{00000000-0005-0000-0000-000080260000}"/>
    <cellStyle name="40% - Accent6 4 2 2 2 3 3" xfId="9863" xr:uid="{00000000-0005-0000-0000-000081260000}"/>
    <cellStyle name="40% - Accent6 4 2 2 2 3 3 2" xfId="9864" xr:uid="{00000000-0005-0000-0000-000082260000}"/>
    <cellStyle name="40% - Accent6 4 2 2 2 3 4" xfId="9865" xr:uid="{00000000-0005-0000-0000-000083260000}"/>
    <cellStyle name="40% - Accent6 4 2 2 2 3 4 2" xfId="9866" xr:uid="{00000000-0005-0000-0000-000084260000}"/>
    <cellStyle name="40% - Accent6 4 2 2 2 3 5" xfId="9867" xr:uid="{00000000-0005-0000-0000-000085260000}"/>
    <cellStyle name="40% - Accent6 4 2 2 2 3 5 2" xfId="9868" xr:uid="{00000000-0005-0000-0000-000086260000}"/>
    <cellStyle name="40% - Accent6 4 2 2 2 3 6" xfId="9869" xr:uid="{00000000-0005-0000-0000-000087260000}"/>
    <cellStyle name="40% - Accent6 4 2 2 2 4" xfId="9870" xr:uid="{00000000-0005-0000-0000-000088260000}"/>
    <cellStyle name="40% - Accent6 4 2 2 2 4 2" xfId="9871" xr:uid="{00000000-0005-0000-0000-000089260000}"/>
    <cellStyle name="40% - Accent6 4 2 2 2 4 2 2" xfId="9872" xr:uid="{00000000-0005-0000-0000-00008A260000}"/>
    <cellStyle name="40% - Accent6 4 2 2 2 4 3" xfId="9873" xr:uid="{00000000-0005-0000-0000-00008B260000}"/>
    <cellStyle name="40% - Accent6 4 2 2 2 5" xfId="9874" xr:uid="{00000000-0005-0000-0000-00008C260000}"/>
    <cellStyle name="40% - Accent6 4 2 2 2 5 2" xfId="9875" xr:uid="{00000000-0005-0000-0000-00008D260000}"/>
    <cellStyle name="40% - Accent6 4 2 2 2 6" xfId="9876" xr:uid="{00000000-0005-0000-0000-00008E260000}"/>
    <cellStyle name="40% - Accent6 4 2 2 2 6 2" xfId="9877" xr:uid="{00000000-0005-0000-0000-00008F260000}"/>
    <cellStyle name="40% - Accent6 4 2 2 2 7" xfId="9878" xr:uid="{00000000-0005-0000-0000-000090260000}"/>
    <cellStyle name="40% - Accent6 4 2 2 2 7 2" xfId="9879" xr:uid="{00000000-0005-0000-0000-000091260000}"/>
    <cellStyle name="40% - Accent6 4 2 2 2 8" xfId="9880" xr:uid="{00000000-0005-0000-0000-000092260000}"/>
    <cellStyle name="40% - Accent6 4 2 2 3" xfId="9881" xr:uid="{00000000-0005-0000-0000-000093260000}"/>
    <cellStyle name="40% - Accent6 4 2 2 3 2" xfId="9882" xr:uid="{00000000-0005-0000-0000-000094260000}"/>
    <cellStyle name="40% - Accent6 4 2 2 3 2 2" xfId="9883" xr:uid="{00000000-0005-0000-0000-000095260000}"/>
    <cellStyle name="40% - Accent6 4 2 2 3 2 2 2" xfId="9884" xr:uid="{00000000-0005-0000-0000-000096260000}"/>
    <cellStyle name="40% - Accent6 4 2 2 3 2 2 2 2" xfId="9885" xr:uid="{00000000-0005-0000-0000-000097260000}"/>
    <cellStyle name="40% - Accent6 4 2 2 3 2 2 3" xfId="9886" xr:uid="{00000000-0005-0000-0000-000098260000}"/>
    <cellStyle name="40% - Accent6 4 2 2 3 2 2 3 2" xfId="9887" xr:uid="{00000000-0005-0000-0000-000099260000}"/>
    <cellStyle name="40% - Accent6 4 2 2 3 2 2 4" xfId="9888" xr:uid="{00000000-0005-0000-0000-00009A260000}"/>
    <cellStyle name="40% - Accent6 4 2 2 3 2 3" xfId="9889" xr:uid="{00000000-0005-0000-0000-00009B260000}"/>
    <cellStyle name="40% - Accent6 4 2 2 3 2 3 2" xfId="9890" xr:uid="{00000000-0005-0000-0000-00009C260000}"/>
    <cellStyle name="40% - Accent6 4 2 2 3 2 4" xfId="9891" xr:uid="{00000000-0005-0000-0000-00009D260000}"/>
    <cellStyle name="40% - Accent6 4 2 2 3 2 4 2" xfId="9892" xr:uid="{00000000-0005-0000-0000-00009E260000}"/>
    <cellStyle name="40% - Accent6 4 2 2 3 2 5" xfId="9893" xr:uid="{00000000-0005-0000-0000-00009F260000}"/>
    <cellStyle name="40% - Accent6 4 2 2 3 2 5 2" xfId="9894" xr:uid="{00000000-0005-0000-0000-0000A0260000}"/>
    <cellStyle name="40% - Accent6 4 2 2 3 2 6" xfId="9895" xr:uid="{00000000-0005-0000-0000-0000A1260000}"/>
    <cellStyle name="40% - Accent6 4 2 2 3 2 6 2" xfId="9896" xr:uid="{00000000-0005-0000-0000-0000A2260000}"/>
    <cellStyle name="40% - Accent6 4 2 2 3 2 7" xfId="9897" xr:uid="{00000000-0005-0000-0000-0000A3260000}"/>
    <cellStyle name="40% - Accent6 4 2 2 3 3" xfId="9898" xr:uid="{00000000-0005-0000-0000-0000A4260000}"/>
    <cellStyle name="40% - Accent6 4 2 2 3 3 2" xfId="9899" xr:uid="{00000000-0005-0000-0000-0000A5260000}"/>
    <cellStyle name="40% - Accent6 4 2 2 3 3 2 2" xfId="9900" xr:uid="{00000000-0005-0000-0000-0000A6260000}"/>
    <cellStyle name="40% - Accent6 4 2 2 3 3 3" xfId="9901" xr:uid="{00000000-0005-0000-0000-0000A7260000}"/>
    <cellStyle name="40% - Accent6 4 2 2 3 3 3 2" xfId="9902" xr:uid="{00000000-0005-0000-0000-0000A8260000}"/>
    <cellStyle name="40% - Accent6 4 2 2 3 3 4" xfId="9903" xr:uid="{00000000-0005-0000-0000-0000A9260000}"/>
    <cellStyle name="40% - Accent6 4 2 2 3 3 4 2" xfId="9904" xr:uid="{00000000-0005-0000-0000-0000AA260000}"/>
    <cellStyle name="40% - Accent6 4 2 2 3 3 5" xfId="9905" xr:uid="{00000000-0005-0000-0000-0000AB260000}"/>
    <cellStyle name="40% - Accent6 4 2 2 3 3 5 2" xfId="9906" xr:uid="{00000000-0005-0000-0000-0000AC260000}"/>
    <cellStyle name="40% - Accent6 4 2 2 3 3 6" xfId="9907" xr:uid="{00000000-0005-0000-0000-0000AD260000}"/>
    <cellStyle name="40% - Accent6 4 2 2 3 4" xfId="9908" xr:uid="{00000000-0005-0000-0000-0000AE260000}"/>
    <cellStyle name="40% - Accent6 4 2 2 3 4 2" xfId="9909" xr:uid="{00000000-0005-0000-0000-0000AF260000}"/>
    <cellStyle name="40% - Accent6 4 2 2 3 4 2 2" xfId="9910" xr:uid="{00000000-0005-0000-0000-0000B0260000}"/>
    <cellStyle name="40% - Accent6 4 2 2 3 4 3" xfId="9911" xr:uid="{00000000-0005-0000-0000-0000B1260000}"/>
    <cellStyle name="40% - Accent6 4 2 2 3 5" xfId="9912" xr:uid="{00000000-0005-0000-0000-0000B2260000}"/>
    <cellStyle name="40% - Accent6 4 2 2 3 5 2" xfId="9913" xr:uid="{00000000-0005-0000-0000-0000B3260000}"/>
    <cellStyle name="40% - Accent6 4 2 2 3 6" xfId="9914" xr:uid="{00000000-0005-0000-0000-0000B4260000}"/>
    <cellStyle name="40% - Accent6 4 2 2 3 6 2" xfId="9915" xr:uid="{00000000-0005-0000-0000-0000B5260000}"/>
    <cellStyle name="40% - Accent6 4 2 2 3 7" xfId="9916" xr:uid="{00000000-0005-0000-0000-0000B6260000}"/>
    <cellStyle name="40% - Accent6 4 2 2 3 7 2" xfId="9917" xr:uid="{00000000-0005-0000-0000-0000B7260000}"/>
    <cellStyle name="40% - Accent6 4 2 2 3 8" xfId="9918" xr:uid="{00000000-0005-0000-0000-0000B8260000}"/>
    <cellStyle name="40% - Accent6 4 2 2 4" xfId="9919" xr:uid="{00000000-0005-0000-0000-0000B9260000}"/>
    <cellStyle name="40% - Accent6 4 2 2 4 2" xfId="9920" xr:uid="{00000000-0005-0000-0000-0000BA260000}"/>
    <cellStyle name="40% - Accent6 4 2 2 4 2 2" xfId="9921" xr:uid="{00000000-0005-0000-0000-0000BB260000}"/>
    <cellStyle name="40% - Accent6 4 2 2 4 2 2 2" xfId="9922" xr:uid="{00000000-0005-0000-0000-0000BC260000}"/>
    <cellStyle name="40% - Accent6 4 2 2 4 2 3" xfId="9923" xr:uid="{00000000-0005-0000-0000-0000BD260000}"/>
    <cellStyle name="40% - Accent6 4 2 2 4 2 3 2" xfId="9924" xr:uid="{00000000-0005-0000-0000-0000BE260000}"/>
    <cellStyle name="40% - Accent6 4 2 2 4 2 4" xfId="9925" xr:uid="{00000000-0005-0000-0000-0000BF260000}"/>
    <cellStyle name="40% - Accent6 4 2 2 4 3" xfId="9926" xr:uid="{00000000-0005-0000-0000-0000C0260000}"/>
    <cellStyle name="40% - Accent6 4 2 2 4 3 2" xfId="9927" xr:uid="{00000000-0005-0000-0000-0000C1260000}"/>
    <cellStyle name="40% - Accent6 4 2 2 4 4" xfId="9928" xr:uid="{00000000-0005-0000-0000-0000C2260000}"/>
    <cellStyle name="40% - Accent6 4 2 2 4 4 2" xfId="9929" xr:uid="{00000000-0005-0000-0000-0000C3260000}"/>
    <cellStyle name="40% - Accent6 4 2 2 4 5" xfId="9930" xr:uid="{00000000-0005-0000-0000-0000C4260000}"/>
    <cellStyle name="40% - Accent6 4 2 2 4 5 2" xfId="9931" xr:uid="{00000000-0005-0000-0000-0000C5260000}"/>
    <cellStyle name="40% - Accent6 4 2 2 4 6" xfId="9932" xr:uid="{00000000-0005-0000-0000-0000C6260000}"/>
    <cellStyle name="40% - Accent6 4 2 2 4 6 2" xfId="9933" xr:uid="{00000000-0005-0000-0000-0000C7260000}"/>
    <cellStyle name="40% - Accent6 4 2 2 4 7" xfId="9934" xr:uid="{00000000-0005-0000-0000-0000C8260000}"/>
    <cellStyle name="40% - Accent6 4 2 2 5" xfId="9935" xr:uid="{00000000-0005-0000-0000-0000C9260000}"/>
    <cellStyle name="40% - Accent6 4 2 2 5 2" xfId="9936" xr:uid="{00000000-0005-0000-0000-0000CA260000}"/>
    <cellStyle name="40% - Accent6 4 2 2 5 2 2" xfId="9937" xr:uid="{00000000-0005-0000-0000-0000CB260000}"/>
    <cellStyle name="40% - Accent6 4 2 2 5 3" xfId="9938" xr:uid="{00000000-0005-0000-0000-0000CC260000}"/>
    <cellStyle name="40% - Accent6 4 2 2 5 3 2" xfId="9939" xr:uid="{00000000-0005-0000-0000-0000CD260000}"/>
    <cellStyle name="40% - Accent6 4 2 2 5 4" xfId="9940" xr:uid="{00000000-0005-0000-0000-0000CE260000}"/>
    <cellStyle name="40% - Accent6 4 2 2 5 4 2" xfId="9941" xr:uid="{00000000-0005-0000-0000-0000CF260000}"/>
    <cellStyle name="40% - Accent6 4 2 2 5 5" xfId="9942" xr:uid="{00000000-0005-0000-0000-0000D0260000}"/>
    <cellStyle name="40% - Accent6 4 2 2 5 5 2" xfId="9943" xr:uid="{00000000-0005-0000-0000-0000D1260000}"/>
    <cellStyle name="40% - Accent6 4 2 2 5 6" xfId="9944" xr:uid="{00000000-0005-0000-0000-0000D2260000}"/>
    <cellStyle name="40% - Accent6 4 2 2 6" xfId="9945" xr:uid="{00000000-0005-0000-0000-0000D3260000}"/>
    <cellStyle name="40% - Accent6 4 2 2 6 2" xfId="9946" xr:uid="{00000000-0005-0000-0000-0000D4260000}"/>
    <cellStyle name="40% - Accent6 4 2 2 6 2 2" xfId="9947" xr:uid="{00000000-0005-0000-0000-0000D5260000}"/>
    <cellStyle name="40% - Accent6 4 2 2 6 3" xfId="9948" xr:uid="{00000000-0005-0000-0000-0000D6260000}"/>
    <cellStyle name="40% - Accent6 4 2 2 7" xfId="9949" xr:uid="{00000000-0005-0000-0000-0000D7260000}"/>
    <cellStyle name="40% - Accent6 4 2 2 7 2" xfId="9950" xr:uid="{00000000-0005-0000-0000-0000D8260000}"/>
    <cellStyle name="40% - Accent6 4 2 2 8" xfId="9951" xr:uid="{00000000-0005-0000-0000-0000D9260000}"/>
    <cellStyle name="40% - Accent6 4 2 2 8 2" xfId="9952" xr:uid="{00000000-0005-0000-0000-0000DA260000}"/>
    <cellStyle name="40% - Accent6 4 2 2 9" xfId="9953" xr:uid="{00000000-0005-0000-0000-0000DB260000}"/>
    <cellStyle name="40% - Accent6 4 2 2 9 2" xfId="9954" xr:uid="{00000000-0005-0000-0000-0000DC260000}"/>
    <cellStyle name="40% - Accent6 4 2 3" xfId="9955" xr:uid="{00000000-0005-0000-0000-0000DD260000}"/>
    <cellStyle name="40% - Accent6 4 2 3 2" xfId="9956" xr:uid="{00000000-0005-0000-0000-0000DE260000}"/>
    <cellStyle name="40% - Accent6 4 2 3 2 2" xfId="9957" xr:uid="{00000000-0005-0000-0000-0000DF260000}"/>
    <cellStyle name="40% - Accent6 4 2 3 2 2 2" xfId="9958" xr:uid="{00000000-0005-0000-0000-0000E0260000}"/>
    <cellStyle name="40% - Accent6 4 2 3 2 2 2 2" xfId="9959" xr:uid="{00000000-0005-0000-0000-0000E1260000}"/>
    <cellStyle name="40% - Accent6 4 2 3 2 2 3" xfId="9960" xr:uid="{00000000-0005-0000-0000-0000E2260000}"/>
    <cellStyle name="40% - Accent6 4 2 3 2 2 3 2" xfId="9961" xr:uid="{00000000-0005-0000-0000-0000E3260000}"/>
    <cellStyle name="40% - Accent6 4 2 3 2 2 4" xfId="9962" xr:uid="{00000000-0005-0000-0000-0000E4260000}"/>
    <cellStyle name="40% - Accent6 4 2 3 2 3" xfId="9963" xr:uid="{00000000-0005-0000-0000-0000E5260000}"/>
    <cellStyle name="40% - Accent6 4 2 3 2 3 2" xfId="9964" xr:uid="{00000000-0005-0000-0000-0000E6260000}"/>
    <cellStyle name="40% - Accent6 4 2 3 2 4" xfId="9965" xr:uid="{00000000-0005-0000-0000-0000E7260000}"/>
    <cellStyle name="40% - Accent6 4 2 3 2 4 2" xfId="9966" xr:uid="{00000000-0005-0000-0000-0000E8260000}"/>
    <cellStyle name="40% - Accent6 4 2 3 2 5" xfId="9967" xr:uid="{00000000-0005-0000-0000-0000E9260000}"/>
    <cellStyle name="40% - Accent6 4 2 3 2 5 2" xfId="9968" xr:uid="{00000000-0005-0000-0000-0000EA260000}"/>
    <cellStyle name="40% - Accent6 4 2 3 2 6" xfId="9969" xr:uid="{00000000-0005-0000-0000-0000EB260000}"/>
    <cellStyle name="40% - Accent6 4 2 3 2 6 2" xfId="9970" xr:uid="{00000000-0005-0000-0000-0000EC260000}"/>
    <cellStyle name="40% - Accent6 4 2 3 2 7" xfId="9971" xr:uid="{00000000-0005-0000-0000-0000ED260000}"/>
    <cellStyle name="40% - Accent6 4 2 3 3" xfId="9972" xr:uid="{00000000-0005-0000-0000-0000EE260000}"/>
    <cellStyle name="40% - Accent6 4 2 3 3 2" xfId="9973" xr:uid="{00000000-0005-0000-0000-0000EF260000}"/>
    <cellStyle name="40% - Accent6 4 2 3 3 2 2" xfId="9974" xr:uid="{00000000-0005-0000-0000-0000F0260000}"/>
    <cellStyle name="40% - Accent6 4 2 3 3 3" xfId="9975" xr:uid="{00000000-0005-0000-0000-0000F1260000}"/>
    <cellStyle name="40% - Accent6 4 2 3 3 3 2" xfId="9976" xr:uid="{00000000-0005-0000-0000-0000F2260000}"/>
    <cellStyle name="40% - Accent6 4 2 3 3 4" xfId="9977" xr:uid="{00000000-0005-0000-0000-0000F3260000}"/>
    <cellStyle name="40% - Accent6 4 2 3 3 4 2" xfId="9978" xr:uid="{00000000-0005-0000-0000-0000F4260000}"/>
    <cellStyle name="40% - Accent6 4 2 3 3 5" xfId="9979" xr:uid="{00000000-0005-0000-0000-0000F5260000}"/>
    <cellStyle name="40% - Accent6 4 2 3 3 5 2" xfId="9980" xr:uid="{00000000-0005-0000-0000-0000F6260000}"/>
    <cellStyle name="40% - Accent6 4 2 3 3 6" xfId="9981" xr:uid="{00000000-0005-0000-0000-0000F7260000}"/>
    <cellStyle name="40% - Accent6 4 2 3 4" xfId="9982" xr:uid="{00000000-0005-0000-0000-0000F8260000}"/>
    <cellStyle name="40% - Accent6 4 2 3 4 2" xfId="9983" xr:uid="{00000000-0005-0000-0000-0000F9260000}"/>
    <cellStyle name="40% - Accent6 4 2 3 4 2 2" xfId="9984" xr:uid="{00000000-0005-0000-0000-0000FA260000}"/>
    <cellStyle name="40% - Accent6 4 2 3 4 3" xfId="9985" xr:uid="{00000000-0005-0000-0000-0000FB260000}"/>
    <cellStyle name="40% - Accent6 4 2 3 5" xfId="9986" xr:uid="{00000000-0005-0000-0000-0000FC260000}"/>
    <cellStyle name="40% - Accent6 4 2 3 5 2" xfId="9987" xr:uid="{00000000-0005-0000-0000-0000FD260000}"/>
    <cellStyle name="40% - Accent6 4 2 3 6" xfId="9988" xr:uid="{00000000-0005-0000-0000-0000FE260000}"/>
    <cellStyle name="40% - Accent6 4 2 3 6 2" xfId="9989" xr:uid="{00000000-0005-0000-0000-0000FF260000}"/>
    <cellStyle name="40% - Accent6 4 2 3 7" xfId="9990" xr:uid="{00000000-0005-0000-0000-000000270000}"/>
    <cellStyle name="40% - Accent6 4 2 3 7 2" xfId="9991" xr:uid="{00000000-0005-0000-0000-000001270000}"/>
    <cellStyle name="40% - Accent6 4 2 3 8" xfId="9992" xr:uid="{00000000-0005-0000-0000-000002270000}"/>
    <cellStyle name="40% - Accent6 4 2 4" xfId="9993" xr:uid="{00000000-0005-0000-0000-000003270000}"/>
    <cellStyle name="40% - Accent6 4 2 4 2" xfId="9994" xr:uid="{00000000-0005-0000-0000-000004270000}"/>
    <cellStyle name="40% - Accent6 4 2 4 2 2" xfId="9995" xr:uid="{00000000-0005-0000-0000-000005270000}"/>
    <cellStyle name="40% - Accent6 4 2 4 2 2 2" xfId="9996" xr:uid="{00000000-0005-0000-0000-000006270000}"/>
    <cellStyle name="40% - Accent6 4 2 4 2 2 2 2" xfId="9997" xr:uid="{00000000-0005-0000-0000-000007270000}"/>
    <cellStyle name="40% - Accent6 4 2 4 2 2 3" xfId="9998" xr:uid="{00000000-0005-0000-0000-000008270000}"/>
    <cellStyle name="40% - Accent6 4 2 4 2 2 3 2" xfId="9999" xr:uid="{00000000-0005-0000-0000-000009270000}"/>
    <cellStyle name="40% - Accent6 4 2 4 2 2 4" xfId="10000" xr:uid="{00000000-0005-0000-0000-00000A270000}"/>
    <cellStyle name="40% - Accent6 4 2 4 2 3" xfId="10001" xr:uid="{00000000-0005-0000-0000-00000B270000}"/>
    <cellStyle name="40% - Accent6 4 2 4 2 3 2" xfId="10002" xr:uid="{00000000-0005-0000-0000-00000C270000}"/>
    <cellStyle name="40% - Accent6 4 2 4 2 4" xfId="10003" xr:uid="{00000000-0005-0000-0000-00000D270000}"/>
    <cellStyle name="40% - Accent6 4 2 4 2 4 2" xfId="10004" xr:uid="{00000000-0005-0000-0000-00000E270000}"/>
    <cellStyle name="40% - Accent6 4 2 4 2 5" xfId="10005" xr:uid="{00000000-0005-0000-0000-00000F270000}"/>
    <cellStyle name="40% - Accent6 4 2 4 2 5 2" xfId="10006" xr:uid="{00000000-0005-0000-0000-000010270000}"/>
    <cellStyle name="40% - Accent6 4 2 4 2 6" xfId="10007" xr:uid="{00000000-0005-0000-0000-000011270000}"/>
    <cellStyle name="40% - Accent6 4 2 4 2 6 2" xfId="10008" xr:uid="{00000000-0005-0000-0000-000012270000}"/>
    <cellStyle name="40% - Accent6 4 2 4 2 7" xfId="10009" xr:uid="{00000000-0005-0000-0000-000013270000}"/>
    <cellStyle name="40% - Accent6 4 2 4 3" xfId="10010" xr:uid="{00000000-0005-0000-0000-000014270000}"/>
    <cellStyle name="40% - Accent6 4 2 4 3 2" xfId="10011" xr:uid="{00000000-0005-0000-0000-000015270000}"/>
    <cellStyle name="40% - Accent6 4 2 4 3 2 2" xfId="10012" xr:uid="{00000000-0005-0000-0000-000016270000}"/>
    <cellStyle name="40% - Accent6 4 2 4 3 3" xfId="10013" xr:uid="{00000000-0005-0000-0000-000017270000}"/>
    <cellStyle name="40% - Accent6 4 2 4 3 3 2" xfId="10014" xr:uid="{00000000-0005-0000-0000-000018270000}"/>
    <cellStyle name="40% - Accent6 4 2 4 3 4" xfId="10015" xr:uid="{00000000-0005-0000-0000-000019270000}"/>
    <cellStyle name="40% - Accent6 4 2 4 3 4 2" xfId="10016" xr:uid="{00000000-0005-0000-0000-00001A270000}"/>
    <cellStyle name="40% - Accent6 4 2 4 3 5" xfId="10017" xr:uid="{00000000-0005-0000-0000-00001B270000}"/>
    <cellStyle name="40% - Accent6 4 2 4 3 5 2" xfId="10018" xr:uid="{00000000-0005-0000-0000-00001C270000}"/>
    <cellStyle name="40% - Accent6 4 2 4 3 6" xfId="10019" xr:uid="{00000000-0005-0000-0000-00001D270000}"/>
    <cellStyle name="40% - Accent6 4 2 4 4" xfId="10020" xr:uid="{00000000-0005-0000-0000-00001E270000}"/>
    <cellStyle name="40% - Accent6 4 2 4 4 2" xfId="10021" xr:uid="{00000000-0005-0000-0000-00001F270000}"/>
    <cellStyle name="40% - Accent6 4 2 4 4 2 2" xfId="10022" xr:uid="{00000000-0005-0000-0000-000020270000}"/>
    <cellStyle name="40% - Accent6 4 2 4 4 3" xfId="10023" xr:uid="{00000000-0005-0000-0000-000021270000}"/>
    <cellStyle name="40% - Accent6 4 2 4 5" xfId="10024" xr:uid="{00000000-0005-0000-0000-000022270000}"/>
    <cellStyle name="40% - Accent6 4 2 4 5 2" xfId="10025" xr:uid="{00000000-0005-0000-0000-000023270000}"/>
    <cellStyle name="40% - Accent6 4 2 4 6" xfId="10026" xr:uid="{00000000-0005-0000-0000-000024270000}"/>
    <cellStyle name="40% - Accent6 4 2 4 6 2" xfId="10027" xr:uid="{00000000-0005-0000-0000-000025270000}"/>
    <cellStyle name="40% - Accent6 4 2 4 7" xfId="10028" xr:uid="{00000000-0005-0000-0000-000026270000}"/>
    <cellStyle name="40% - Accent6 4 2 4 7 2" xfId="10029" xr:uid="{00000000-0005-0000-0000-000027270000}"/>
    <cellStyle name="40% - Accent6 4 2 4 8" xfId="10030" xr:uid="{00000000-0005-0000-0000-000028270000}"/>
    <cellStyle name="40% - Accent6 4 2 5" xfId="10031" xr:uid="{00000000-0005-0000-0000-000029270000}"/>
    <cellStyle name="40% - Accent6 4 2 5 2" xfId="10032" xr:uid="{00000000-0005-0000-0000-00002A270000}"/>
    <cellStyle name="40% - Accent6 4 2 5 2 2" xfId="10033" xr:uid="{00000000-0005-0000-0000-00002B270000}"/>
    <cellStyle name="40% - Accent6 4 2 5 2 2 2" xfId="10034" xr:uid="{00000000-0005-0000-0000-00002C270000}"/>
    <cellStyle name="40% - Accent6 4 2 5 2 3" xfId="10035" xr:uid="{00000000-0005-0000-0000-00002D270000}"/>
    <cellStyle name="40% - Accent6 4 2 5 2 3 2" xfId="10036" xr:uid="{00000000-0005-0000-0000-00002E270000}"/>
    <cellStyle name="40% - Accent6 4 2 5 2 4" xfId="10037" xr:uid="{00000000-0005-0000-0000-00002F270000}"/>
    <cellStyle name="40% - Accent6 4 2 5 3" xfId="10038" xr:uid="{00000000-0005-0000-0000-000030270000}"/>
    <cellStyle name="40% - Accent6 4 2 5 3 2" xfId="10039" xr:uid="{00000000-0005-0000-0000-000031270000}"/>
    <cellStyle name="40% - Accent6 4 2 5 4" xfId="10040" xr:uid="{00000000-0005-0000-0000-000032270000}"/>
    <cellStyle name="40% - Accent6 4 2 5 4 2" xfId="10041" xr:uid="{00000000-0005-0000-0000-000033270000}"/>
    <cellStyle name="40% - Accent6 4 2 5 5" xfId="10042" xr:uid="{00000000-0005-0000-0000-000034270000}"/>
    <cellStyle name="40% - Accent6 4 2 5 5 2" xfId="10043" xr:uid="{00000000-0005-0000-0000-000035270000}"/>
    <cellStyle name="40% - Accent6 4 2 5 6" xfId="10044" xr:uid="{00000000-0005-0000-0000-000036270000}"/>
    <cellStyle name="40% - Accent6 4 2 5 6 2" xfId="10045" xr:uid="{00000000-0005-0000-0000-000037270000}"/>
    <cellStyle name="40% - Accent6 4 2 5 7" xfId="10046" xr:uid="{00000000-0005-0000-0000-000038270000}"/>
    <cellStyle name="40% - Accent6 4 2 6" xfId="10047" xr:uid="{00000000-0005-0000-0000-000039270000}"/>
    <cellStyle name="40% - Accent6 4 2 6 2" xfId="10048" xr:uid="{00000000-0005-0000-0000-00003A270000}"/>
    <cellStyle name="40% - Accent6 4 2 6 2 2" xfId="10049" xr:uid="{00000000-0005-0000-0000-00003B270000}"/>
    <cellStyle name="40% - Accent6 4 2 6 3" xfId="10050" xr:uid="{00000000-0005-0000-0000-00003C270000}"/>
    <cellStyle name="40% - Accent6 4 2 6 3 2" xfId="10051" xr:uid="{00000000-0005-0000-0000-00003D270000}"/>
    <cellStyle name="40% - Accent6 4 2 6 4" xfId="10052" xr:uid="{00000000-0005-0000-0000-00003E270000}"/>
    <cellStyle name="40% - Accent6 4 2 6 4 2" xfId="10053" xr:uid="{00000000-0005-0000-0000-00003F270000}"/>
    <cellStyle name="40% - Accent6 4 2 6 5" xfId="10054" xr:uid="{00000000-0005-0000-0000-000040270000}"/>
    <cellStyle name="40% - Accent6 4 2 6 5 2" xfId="10055" xr:uid="{00000000-0005-0000-0000-000041270000}"/>
    <cellStyle name="40% - Accent6 4 2 6 6" xfId="10056" xr:uid="{00000000-0005-0000-0000-000042270000}"/>
    <cellStyle name="40% - Accent6 4 2 7" xfId="10057" xr:uid="{00000000-0005-0000-0000-000043270000}"/>
    <cellStyle name="40% - Accent6 4 2 7 2" xfId="10058" xr:uid="{00000000-0005-0000-0000-000044270000}"/>
    <cellStyle name="40% - Accent6 4 2 7 2 2" xfId="10059" xr:uid="{00000000-0005-0000-0000-000045270000}"/>
    <cellStyle name="40% - Accent6 4 2 7 3" xfId="10060" xr:uid="{00000000-0005-0000-0000-000046270000}"/>
    <cellStyle name="40% - Accent6 4 2 8" xfId="10061" xr:uid="{00000000-0005-0000-0000-000047270000}"/>
    <cellStyle name="40% - Accent6 4 2 8 2" xfId="10062" xr:uid="{00000000-0005-0000-0000-000048270000}"/>
    <cellStyle name="40% - Accent6 4 2 9" xfId="10063" xr:uid="{00000000-0005-0000-0000-000049270000}"/>
    <cellStyle name="40% - Accent6 4 2 9 2" xfId="10064" xr:uid="{00000000-0005-0000-0000-00004A270000}"/>
    <cellStyle name="40% - Accent6 4 3" xfId="10065" xr:uid="{00000000-0005-0000-0000-00004B270000}"/>
    <cellStyle name="40% - Accent6 4 3 10" xfId="10066" xr:uid="{00000000-0005-0000-0000-00004C270000}"/>
    <cellStyle name="40% - Accent6 4 3 2" xfId="10067" xr:uid="{00000000-0005-0000-0000-00004D270000}"/>
    <cellStyle name="40% - Accent6 4 3 2 2" xfId="10068" xr:uid="{00000000-0005-0000-0000-00004E270000}"/>
    <cellStyle name="40% - Accent6 4 3 2 2 2" xfId="10069" xr:uid="{00000000-0005-0000-0000-00004F270000}"/>
    <cellStyle name="40% - Accent6 4 3 2 2 2 2" xfId="10070" xr:uid="{00000000-0005-0000-0000-000050270000}"/>
    <cellStyle name="40% - Accent6 4 3 2 2 2 2 2" xfId="10071" xr:uid="{00000000-0005-0000-0000-000051270000}"/>
    <cellStyle name="40% - Accent6 4 3 2 2 2 3" xfId="10072" xr:uid="{00000000-0005-0000-0000-000052270000}"/>
    <cellStyle name="40% - Accent6 4 3 2 2 2 3 2" xfId="10073" xr:uid="{00000000-0005-0000-0000-000053270000}"/>
    <cellStyle name="40% - Accent6 4 3 2 2 2 4" xfId="10074" xr:uid="{00000000-0005-0000-0000-000054270000}"/>
    <cellStyle name="40% - Accent6 4 3 2 2 3" xfId="10075" xr:uid="{00000000-0005-0000-0000-000055270000}"/>
    <cellStyle name="40% - Accent6 4 3 2 2 3 2" xfId="10076" xr:uid="{00000000-0005-0000-0000-000056270000}"/>
    <cellStyle name="40% - Accent6 4 3 2 2 4" xfId="10077" xr:uid="{00000000-0005-0000-0000-000057270000}"/>
    <cellStyle name="40% - Accent6 4 3 2 2 4 2" xfId="10078" xr:uid="{00000000-0005-0000-0000-000058270000}"/>
    <cellStyle name="40% - Accent6 4 3 2 2 5" xfId="10079" xr:uid="{00000000-0005-0000-0000-000059270000}"/>
    <cellStyle name="40% - Accent6 4 3 2 2 5 2" xfId="10080" xr:uid="{00000000-0005-0000-0000-00005A270000}"/>
    <cellStyle name="40% - Accent6 4 3 2 2 6" xfId="10081" xr:uid="{00000000-0005-0000-0000-00005B270000}"/>
    <cellStyle name="40% - Accent6 4 3 2 2 6 2" xfId="10082" xr:uid="{00000000-0005-0000-0000-00005C270000}"/>
    <cellStyle name="40% - Accent6 4 3 2 2 7" xfId="10083" xr:uid="{00000000-0005-0000-0000-00005D270000}"/>
    <cellStyle name="40% - Accent6 4 3 2 3" xfId="10084" xr:uid="{00000000-0005-0000-0000-00005E270000}"/>
    <cellStyle name="40% - Accent6 4 3 2 3 2" xfId="10085" xr:uid="{00000000-0005-0000-0000-00005F270000}"/>
    <cellStyle name="40% - Accent6 4 3 2 3 2 2" xfId="10086" xr:uid="{00000000-0005-0000-0000-000060270000}"/>
    <cellStyle name="40% - Accent6 4 3 2 3 3" xfId="10087" xr:uid="{00000000-0005-0000-0000-000061270000}"/>
    <cellStyle name="40% - Accent6 4 3 2 3 3 2" xfId="10088" xr:uid="{00000000-0005-0000-0000-000062270000}"/>
    <cellStyle name="40% - Accent6 4 3 2 3 4" xfId="10089" xr:uid="{00000000-0005-0000-0000-000063270000}"/>
    <cellStyle name="40% - Accent6 4 3 2 3 4 2" xfId="10090" xr:uid="{00000000-0005-0000-0000-000064270000}"/>
    <cellStyle name="40% - Accent6 4 3 2 3 5" xfId="10091" xr:uid="{00000000-0005-0000-0000-000065270000}"/>
    <cellStyle name="40% - Accent6 4 3 2 3 5 2" xfId="10092" xr:uid="{00000000-0005-0000-0000-000066270000}"/>
    <cellStyle name="40% - Accent6 4 3 2 3 6" xfId="10093" xr:uid="{00000000-0005-0000-0000-000067270000}"/>
    <cellStyle name="40% - Accent6 4 3 2 4" xfId="10094" xr:uid="{00000000-0005-0000-0000-000068270000}"/>
    <cellStyle name="40% - Accent6 4 3 2 4 2" xfId="10095" xr:uid="{00000000-0005-0000-0000-000069270000}"/>
    <cellStyle name="40% - Accent6 4 3 2 4 2 2" xfId="10096" xr:uid="{00000000-0005-0000-0000-00006A270000}"/>
    <cellStyle name="40% - Accent6 4 3 2 4 3" xfId="10097" xr:uid="{00000000-0005-0000-0000-00006B270000}"/>
    <cellStyle name="40% - Accent6 4 3 2 5" xfId="10098" xr:uid="{00000000-0005-0000-0000-00006C270000}"/>
    <cellStyle name="40% - Accent6 4 3 2 5 2" xfId="10099" xr:uid="{00000000-0005-0000-0000-00006D270000}"/>
    <cellStyle name="40% - Accent6 4 3 2 6" xfId="10100" xr:uid="{00000000-0005-0000-0000-00006E270000}"/>
    <cellStyle name="40% - Accent6 4 3 2 6 2" xfId="10101" xr:uid="{00000000-0005-0000-0000-00006F270000}"/>
    <cellStyle name="40% - Accent6 4 3 2 7" xfId="10102" xr:uid="{00000000-0005-0000-0000-000070270000}"/>
    <cellStyle name="40% - Accent6 4 3 2 7 2" xfId="10103" xr:uid="{00000000-0005-0000-0000-000071270000}"/>
    <cellStyle name="40% - Accent6 4 3 2 8" xfId="10104" xr:uid="{00000000-0005-0000-0000-000072270000}"/>
    <cellStyle name="40% - Accent6 4 3 3" xfId="10105" xr:uid="{00000000-0005-0000-0000-000073270000}"/>
    <cellStyle name="40% - Accent6 4 3 3 2" xfId="10106" xr:uid="{00000000-0005-0000-0000-000074270000}"/>
    <cellStyle name="40% - Accent6 4 3 3 2 2" xfId="10107" xr:uid="{00000000-0005-0000-0000-000075270000}"/>
    <cellStyle name="40% - Accent6 4 3 3 2 2 2" xfId="10108" xr:uid="{00000000-0005-0000-0000-000076270000}"/>
    <cellStyle name="40% - Accent6 4 3 3 2 2 2 2" xfId="10109" xr:uid="{00000000-0005-0000-0000-000077270000}"/>
    <cellStyle name="40% - Accent6 4 3 3 2 2 3" xfId="10110" xr:uid="{00000000-0005-0000-0000-000078270000}"/>
    <cellStyle name="40% - Accent6 4 3 3 2 2 3 2" xfId="10111" xr:uid="{00000000-0005-0000-0000-000079270000}"/>
    <cellStyle name="40% - Accent6 4 3 3 2 2 4" xfId="10112" xr:uid="{00000000-0005-0000-0000-00007A270000}"/>
    <cellStyle name="40% - Accent6 4 3 3 2 3" xfId="10113" xr:uid="{00000000-0005-0000-0000-00007B270000}"/>
    <cellStyle name="40% - Accent6 4 3 3 2 3 2" xfId="10114" xr:uid="{00000000-0005-0000-0000-00007C270000}"/>
    <cellStyle name="40% - Accent6 4 3 3 2 4" xfId="10115" xr:uid="{00000000-0005-0000-0000-00007D270000}"/>
    <cellStyle name="40% - Accent6 4 3 3 2 4 2" xfId="10116" xr:uid="{00000000-0005-0000-0000-00007E270000}"/>
    <cellStyle name="40% - Accent6 4 3 3 2 5" xfId="10117" xr:uid="{00000000-0005-0000-0000-00007F270000}"/>
    <cellStyle name="40% - Accent6 4 3 3 2 5 2" xfId="10118" xr:uid="{00000000-0005-0000-0000-000080270000}"/>
    <cellStyle name="40% - Accent6 4 3 3 2 6" xfId="10119" xr:uid="{00000000-0005-0000-0000-000081270000}"/>
    <cellStyle name="40% - Accent6 4 3 3 2 6 2" xfId="10120" xr:uid="{00000000-0005-0000-0000-000082270000}"/>
    <cellStyle name="40% - Accent6 4 3 3 2 7" xfId="10121" xr:uid="{00000000-0005-0000-0000-000083270000}"/>
    <cellStyle name="40% - Accent6 4 3 3 3" xfId="10122" xr:uid="{00000000-0005-0000-0000-000084270000}"/>
    <cellStyle name="40% - Accent6 4 3 3 3 2" xfId="10123" xr:uid="{00000000-0005-0000-0000-000085270000}"/>
    <cellStyle name="40% - Accent6 4 3 3 3 2 2" xfId="10124" xr:uid="{00000000-0005-0000-0000-000086270000}"/>
    <cellStyle name="40% - Accent6 4 3 3 3 3" xfId="10125" xr:uid="{00000000-0005-0000-0000-000087270000}"/>
    <cellStyle name="40% - Accent6 4 3 3 3 3 2" xfId="10126" xr:uid="{00000000-0005-0000-0000-000088270000}"/>
    <cellStyle name="40% - Accent6 4 3 3 3 4" xfId="10127" xr:uid="{00000000-0005-0000-0000-000089270000}"/>
    <cellStyle name="40% - Accent6 4 3 3 3 4 2" xfId="10128" xr:uid="{00000000-0005-0000-0000-00008A270000}"/>
    <cellStyle name="40% - Accent6 4 3 3 3 5" xfId="10129" xr:uid="{00000000-0005-0000-0000-00008B270000}"/>
    <cellStyle name="40% - Accent6 4 3 3 3 5 2" xfId="10130" xr:uid="{00000000-0005-0000-0000-00008C270000}"/>
    <cellStyle name="40% - Accent6 4 3 3 3 6" xfId="10131" xr:uid="{00000000-0005-0000-0000-00008D270000}"/>
    <cellStyle name="40% - Accent6 4 3 3 4" xfId="10132" xr:uid="{00000000-0005-0000-0000-00008E270000}"/>
    <cellStyle name="40% - Accent6 4 3 3 4 2" xfId="10133" xr:uid="{00000000-0005-0000-0000-00008F270000}"/>
    <cellStyle name="40% - Accent6 4 3 3 4 2 2" xfId="10134" xr:uid="{00000000-0005-0000-0000-000090270000}"/>
    <cellStyle name="40% - Accent6 4 3 3 4 3" xfId="10135" xr:uid="{00000000-0005-0000-0000-000091270000}"/>
    <cellStyle name="40% - Accent6 4 3 3 5" xfId="10136" xr:uid="{00000000-0005-0000-0000-000092270000}"/>
    <cellStyle name="40% - Accent6 4 3 3 5 2" xfId="10137" xr:uid="{00000000-0005-0000-0000-000093270000}"/>
    <cellStyle name="40% - Accent6 4 3 3 6" xfId="10138" xr:uid="{00000000-0005-0000-0000-000094270000}"/>
    <cellStyle name="40% - Accent6 4 3 3 6 2" xfId="10139" xr:uid="{00000000-0005-0000-0000-000095270000}"/>
    <cellStyle name="40% - Accent6 4 3 3 7" xfId="10140" xr:uid="{00000000-0005-0000-0000-000096270000}"/>
    <cellStyle name="40% - Accent6 4 3 3 7 2" xfId="10141" xr:uid="{00000000-0005-0000-0000-000097270000}"/>
    <cellStyle name="40% - Accent6 4 3 3 8" xfId="10142" xr:uid="{00000000-0005-0000-0000-000098270000}"/>
    <cellStyle name="40% - Accent6 4 3 4" xfId="10143" xr:uid="{00000000-0005-0000-0000-000099270000}"/>
    <cellStyle name="40% - Accent6 4 3 4 2" xfId="10144" xr:uid="{00000000-0005-0000-0000-00009A270000}"/>
    <cellStyle name="40% - Accent6 4 3 4 2 2" xfId="10145" xr:uid="{00000000-0005-0000-0000-00009B270000}"/>
    <cellStyle name="40% - Accent6 4 3 4 2 2 2" xfId="10146" xr:uid="{00000000-0005-0000-0000-00009C270000}"/>
    <cellStyle name="40% - Accent6 4 3 4 2 3" xfId="10147" xr:uid="{00000000-0005-0000-0000-00009D270000}"/>
    <cellStyle name="40% - Accent6 4 3 4 2 3 2" xfId="10148" xr:uid="{00000000-0005-0000-0000-00009E270000}"/>
    <cellStyle name="40% - Accent6 4 3 4 2 4" xfId="10149" xr:uid="{00000000-0005-0000-0000-00009F270000}"/>
    <cellStyle name="40% - Accent6 4 3 4 3" xfId="10150" xr:uid="{00000000-0005-0000-0000-0000A0270000}"/>
    <cellStyle name="40% - Accent6 4 3 4 3 2" xfId="10151" xr:uid="{00000000-0005-0000-0000-0000A1270000}"/>
    <cellStyle name="40% - Accent6 4 3 4 4" xfId="10152" xr:uid="{00000000-0005-0000-0000-0000A2270000}"/>
    <cellStyle name="40% - Accent6 4 3 4 4 2" xfId="10153" xr:uid="{00000000-0005-0000-0000-0000A3270000}"/>
    <cellStyle name="40% - Accent6 4 3 4 5" xfId="10154" xr:uid="{00000000-0005-0000-0000-0000A4270000}"/>
    <cellStyle name="40% - Accent6 4 3 4 5 2" xfId="10155" xr:uid="{00000000-0005-0000-0000-0000A5270000}"/>
    <cellStyle name="40% - Accent6 4 3 4 6" xfId="10156" xr:uid="{00000000-0005-0000-0000-0000A6270000}"/>
    <cellStyle name="40% - Accent6 4 3 4 6 2" xfId="10157" xr:uid="{00000000-0005-0000-0000-0000A7270000}"/>
    <cellStyle name="40% - Accent6 4 3 4 7" xfId="10158" xr:uid="{00000000-0005-0000-0000-0000A8270000}"/>
    <cellStyle name="40% - Accent6 4 3 5" xfId="10159" xr:uid="{00000000-0005-0000-0000-0000A9270000}"/>
    <cellStyle name="40% - Accent6 4 3 5 2" xfId="10160" xr:uid="{00000000-0005-0000-0000-0000AA270000}"/>
    <cellStyle name="40% - Accent6 4 3 5 2 2" xfId="10161" xr:uid="{00000000-0005-0000-0000-0000AB270000}"/>
    <cellStyle name="40% - Accent6 4 3 5 3" xfId="10162" xr:uid="{00000000-0005-0000-0000-0000AC270000}"/>
    <cellStyle name="40% - Accent6 4 3 5 3 2" xfId="10163" xr:uid="{00000000-0005-0000-0000-0000AD270000}"/>
    <cellStyle name="40% - Accent6 4 3 5 4" xfId="10164" xr:uid="{00000000-0005-0000-0000-0000AE270000}"/>
    <cellStyle name="40% - Accent6 4 3 5 4 2" xfId="10165" xr:uid="{00000000-0005-0000-0000-0000AF270000}"/>
    <cellStyle name="40% - Accent6 4 3 5 5" xfId="10166" xr:uid="{00000000-0005-0000-0000-0000B0270000}"/>
    <cellStyle name="40% - Accent6 4 3 5 5 2" xfId="10167" xr:uid="{00000000-0005-0000-0000-0000B1270000}"/>
    <cellStyle name="40% - Accent6 4 3 5 6" xfId="10168" xr:uid="{00000000-0005-0000-0000-0000B2270000}"/>
    <cellStyle name="40% - Accent6 4 3 6" xfId="10169" xr:uid="{00000000-0005-0000-0000-0000B3270000}"/>
    <cellStyle name="40% - Accent6 4 3 6 2" xfId="10170" xr:uid="{00000000-0005-0000-0000-0000B4270000}"/>
    <cellStyle name="40% - Accent6 4 3 6 2 2" xfId="10171" xr:uid="{00000000-0005-0000-0000-0000B5270000}"/>
    <cellStyle name="40% - Accent6 4 3 6 3" xfId="10172" xr:uid="{00000000-0005-0000-0000-0000B6270000}"/>
    <cellStyle name="40% - Accent6 4 3 7" xfId="10173" xr:uid="{00000000-0005-0000-0000-0000B7270000}"/>
    <cellStyle name="40% - Accent6 4 3 7 2" xfId="10174" xr:uid="{00000000-0005-0000-0000-0000B8270000}"/>
    <cellStyle name="40% - Accent6 4 3 8" xfId="10175" xr:uid="{00000000-0005-0000-0000-0000B9270000}"/>
    <cellStyle name="40% - Accent6 4 3 8 2" xfId="10176" xr:uid="{00000000-0005-0000-0000-0000BA270000}"/>
    <cellStyle name="40% - Accent6 4 3 9" xfId="10177" xr:uid="{00000000-0005-0000-0000-0000BB270000}"/>
    <cellStyle name="40% - Accent6 4 3 9 2" xfId="10178" xr:uid="{00000000-0005-0000-0000-0000BC270000}"/>
    <cellStyle name="40% - Accent6 4 4" xfId="10179" xr:uid="{00000000-0005-0000-0000-0000BD270000}"/>
    <cellStyle name="40% - Accent6 4 4 2" xfId="10180" xr:uid="{00000000-0005-0000-0000-0000BE270000}"/>
    <cellStyle name="40% - Accent6 4 4 2 2" xfId="10181" xr:uid="{00000000-0005-0000-0000-0000BF270000}"/>
    <cellStyle name="40% - Accent6 4 4 2 2 2" xfId="10182" xr:uid="{00000000-0005-0000-0000-0000C0270000}"/>
    <cellStyle name="40% - Accent6 4 4 2 2 2 2" xfId="10183" xr:uid="{00000000-0005-0000-0000-0000C1270000}"/>
    <cellStyle name="40% - Accent6 4 4 2 2 3" xfId="10184" xr:uid="{00000000-0005-0000-0000-0000C2270000}"/>
    <cellStyle name="40% - Accent6 4 4 2 2 3 2" xfId="10185" xr:uid="{00000000-0005-0000-0000-0000C3270000}"/>
    <cellStyle name="40% - Accent6 4 4 2 2 4" xfId="10186" xr:uid="{00000000-0005-0000-0000-0000C4270000}"/>
    <cellStyle name="40% - Accent6 4 4 2 3" xfId="10187" xr:uid="{00000000-0005-0000-0000-0000C5270000}"/>
    <cellStyle name="40% - Accent6 4 4 2 3 2" xfId="10188" xr:uid="{00000000-0005-0000-0000-0000C6270000}"/>
    <cellStyle name="40% - Accent6 4 4 2 4" xfId="10189" xr:uid="{00000000-0005-0000-0000-0000C7270000}"/>
    <cellStyle name="40% - Accent6 4 4 2 4 2" xfId="10190" xr:uid="{00000000-0005-0000-0000-0000C8270000}"/>
    <cellStyle name="40% - Accent6 4 4 2 5" xfId="10191" xr:uid="{00000000-0005-0000-0000-0000C9270000}"/>
    <cellStyle name="40% - Accent6 4 4 2 5 2" xfId="10192" xr:uid="{00000000-0005-0000-0000-0000CA270000}"/>
    <cellStyle name="40% - Accent6 4 4 2 6" xfId="10193" xr:uid="{00000000-0005-0000-0000-0000CB270000}"/>
    <cellStyle name="40% - Accent6 4 4 2 6 2" xfId="10194" xr:uid="{00000000-0005-0000-0000-0000CC270000}"/>
    <cellStyle name="40% - Accent6 4 4 2 7" xfId="10195" xr:uid="{00000000-0005-0000-0000-0000CD270000}"/>
    <cellStyle name="40% - Accent6 4 4 3" xfId="10196" xr:uid="{00000000-0005-0000-0000-0000CE270000}"/>
    <cellStyle name="40% - Accent6 4 4 3 2" xfId="10197" xr:uid="{00000000-0005-0000-0000-0000CF270000}"/>
    <cellStyle name="40% - Accent6 4 4 3 2 2" xfId="10198" xr:uid="{00000000-0005-0000-0000-0000D0270000}"/>
    <cellStyle name="40% - Accent6 4 4 3 3" xfId="10199" xr:uid="{00000000-0005-0000-0000-0000D1270000}"/>
    <cellStyle name="40% - Accent6 4 4 3 3 2" xfId="10200" xr:uid="{00000000-0005-0000-0000-0000D2270000}"/>
    <cellStyle name="40% - Accent6 4 4 3 4" xfId="10201" xr:uid="{00000000-0005-0000-0000-0000D3270000}"/>
    <cellStyle name="40% - Accent6 4 4 3 4 2" xfId="10202" xr:uid="{00000000-0005-0000-0000-0000D4270000}"/>
    <cellStyle name="40% - Accent6 4 4 3 5" xfId="10203" xr:uid="{00000000-0005-0000-0000-0000D5270000}"/>
    <cellStyle name="40% - Accent6 4 4 3 5 2" xfId="10204" xr:uid="{00000000-0005-0000-0000-0000D6270000}"/>
    <cellStyle name="40% - Accent6 4 4 3 6" xfId="10205" xr:uid="{00000000-0005-0000-0000-0000D7270000}"/>
    <cellStyle name="40% - Accent6 4 4 4" xfId="10206" xr:uid="{00000000-0005-0000-0000-0000D8270000}"/>
    <cellStyle name="40% - Accent6 4 4 4 2" xfId="10207" xr:uid="{00000000-0005-0000-0000-0000D9270000}"/>
    <cellStyle name="40% - Accent6 4 4 4 2 2" xfId="10208" xr:uid="{00000000-0005-0000-0000-0000DA270000}"/>
    <cellStyle name="40% - Accent6 4 4 4 3" xfId="10209" xr:uid="{00000000-0005-0000-0000-0000DB270000}"/>
    <cellStyle name="40% - Accent6 4 4 5" xfId="10210" xr:uid="{00000000-0005-0000-0000-0000DC270000}"/>
    <cellStyle name="40% - Accent6 4 4 5 2" xfId="10211" xr:uid="{00000000-0005-0000-0000-0000DD270000}"/>
    <cellStyle name="40% - Accent6 4 4 6" xfId="10212" xr:uid="{00000000-0005-0000-0000-0000DE270000}"/>
    <cellStyle name="40% - Accent6 4 4 6 2" xfId="10213" xr:uid="{00000000-0005-0000-0000-0000DF270000}"/>
    <cellStyle name="40% - Accent6 4 4 7" xfId="10214" xr:uid="{00000000-0005-0000-0000-0000E0270000}"/>
    <cellStyle name="40% - Accent6 4 4 7 2" xfId="10215" xr:uid="{00000000-0005-0000-0000-0000E1270000}"/>
    <cellStyle name="40% - Accent6 4 4 8" xfId="10216" xr:uid="{00000000-0005-0000-0000-0000E2270000}"/>
    <cellStyle name="40% - Accent6 4 5" xfId="10217" xr:uid="{00000000-0005-0000-0000-0000E3270000}"/>
    <cellStyle name="40% - Accent6 4 5 2" xfId="10218" xr:uid="{00000000-0005-0000-0000-0000E4270000}"/>
    <cellStyle name="40% - Accent6 4 5 2 2" xfId="10219" xr:uid="{00000000-0005-0000-0000-0000E5270000}"/>
    <cellStyle name="40% - Accent6 4 5 2 2 2" xfId="10220" xr:uid="{00000000-0005-0000-0000-0000E6270000}"/>
    <cellStyle name="40% - Accent6 4 5 2 2 2 2" xfId="10221" xr:uid="{00000000-0005-0000-0000-0000E7270000}"/>
    <cellStyle name="40% - Accent6 4 5 2 2 3" xfId="10222" xr:uid="{00000000-0005-0000-0000-0000E8270000}"/>
    <cellStyle name="40% - Accent6 4 5 2 2 3 2" xfId="10223" xr:uid="{00000000-0005-0000-0000-0000E9270000}"/>
    <cellStyle name="40% - Accent6 4 5 2 2 4" xfId="10224" xr:uid="{00000000-0005-0000-0000-0000EA270000}"/>
    <cellStyle name="40% - Accent6 4 5 2 3" xfId="10225" xr:uid="{00000000-0005-0000-0000-0000EB270000}"/>
    <cellStyle name="40% - Accent6 4 5 2 3 2" xfId="10226" xr:uid="{00000000-0005-0000-0000-0000EC270000}"/>
    <cellStyle name="40% - Accent6 4 5 2 4" xfId="10227" xr:uid="{00000000-0005-0000-0000-0000ED270000}"/>
    <cellStyle name="40% - Accent6 4 5 2 4 2" xfId="10228" xr:uid="{00000000-0005-0000-0000-0000EE270000}"/>
    <cellStyle name="40% - Accent6 4 5 2 5" xfId="10229" xr:uid="{00000000-0005-0000-0000-0000EF270000}"/>
    <cellStyle name="40% - Accent6 4 5 2 5 2" xfId="10230" xr:uid="{00000000-0005-0000-0000-0000F0270000}"/>
    <cellStyle name="40% - Accent6 4 5 2 6" xfId="10231" xr:uid="{00000000-0005-0000-0000-0000F1270000}"/>
    <cellStyle name="40% - Accent6 4 5 2 6 2" xfId="10232" xr:uid="{00000000-0005-0000-0000-0000F2270000}"/>
    <cellStyle name="40% - Accent6 4 5 2 7" xfId="10233" xr:uid="{00000000-0005-0000-0000-0000F3270000}"/>
    <cellStyle name="40% - Accent6 4 5 3" xfId="10234" xr:uid="{00000000-0005-0000-0000-0000F4270000}"/>
    <cellStyle name="40% - Accent6 4 5 3 2" xfId="10235" xr:uid="{00000000-0005-0000-0000-0000F5270000}"/>
    <cellStyle name="40% - Accent6 4 5 3 2 2" xfId="10236" xr:uid="{00000000-0005-0000-0000-0000F6270000}"/>
    <cellStyle name="40% - Accent6 4 5 3 3" xfId="10237" xr:uid="{00000000-0005-0000-0000-0000F7270000}"/>
    <cellStyle name="40% - Accent6 4 5 3 3 2" xfId="10238" xr:uid="{00000000-0005-0000-0000-0000F8270000}"/>
    <cellStyle name="40% - Accent6 4 5 3 4" xfId="10239" xr:uid="{00000000-0005-0000-0000-0000F9270000}"/>
    <cellStyle name="40% - Accent6 4 5 3 4 2" xfId="10240" xr:uid="{00000000-0005-0000-0000-0000FA270000}"/>
    <cellStyle name="40% - Accent6 4 5 3 5" xfId="10241" xr:uid="{00000000-0005-0000-0000-0000FB270000}"/>
    <cellStyle name="40% - Accent6 4 5 3 5 2" xfId="10242" xr:uid="{00000000-0005-0000-0000-0000FC270000}"/>
    <cellStyle name="40% - Accent6 4 5 3 6" xfId="10243" xr:uid="{00000000-0005-0000-0000-0000FD270000}"/>
    <cellStyle name="40% - Accent6 4 5 4" xfId="10244" xr:uid="{00000000-0005-0000-0000-0000FE270000}"/>
    <cellStyle name="40% - Accent6 4 5 4 2" xfId="10245" xr:uid="{00000000-0005-0000-0000-0000FF270000}"/>
    <cellStyle name="40% - Accent6 4 5 4 2 2" xfId="10246" xr:uid="{00000000-0005-0000-0000-000000280000}"/>
    <cellStyle name="40% - Accent6 4 5 4 3" xfId="10247" xr:uid="{00000000-0005-0000-0000-000001280000}"/>
    <cellStyle name="40% - Accent6 4 5 5" xfId="10248" xr:uid="{00000000-0005-0000-0000-000002280000}"/>
    <cellStyle name="40% - Accent6 4 5 5 2" xfId="10249" xr:uid="{00000000-0005-0000-0000-000003280000}"/>
    <cellStyle name="40% - Accent6 4 5 6" xfId="10250" xr:uid="{00000000-0005-0000-0000-000004280000}"/>
    <cellStyle name="40% - Accent6 4 5 6 2" xfId="10251" xr:uid="{00000000-0005-0000-0000-000005280000}"/>
    <cellStyle name="40% - Accent6 4 5 7" xfId="10252" xr:uid="{00000000-0005-0000-0000-000006280000}"/>
    <cellStyle name="40% - Accent6 4 5 7 2" xfId="10253" xr:uid="{00000000-0005-0000-0000-000007280000}"/>
    <cellStyle name="40% - Accent6 4 5 8" xfId="10254" xr:uid="{00000000-0005-0000-0000-000008280000}"/>
    <cellStyle name="40% - Accent6 4 6" xfId="10255" xr:uid="{00000000-0005-0000-0000-000009280000}"/>
    <cellStyle name="40% - Accent6 4 6 2" xfId="10256" xr:uid="{00000000-0005-0000-0000-00000A280000}"/>
    <cellStyle name="40% - Accent6 4 6 2 2" xfId="10257" xr:uid="{00000000-0005-0000-0000-00000B280000}"/>
    <cellStyle name="40% - Accent6 4 6 2 2 2" xfId="10258" xr:uid="{00000000-0005-0000-0000-00000C280000}"/>
    <cellStyle name="40% - Accent6 4 6 2 3" xfId="10259" xr:uid="{00000000-0005-0000-0000-00000D280000}"/>
    <cellStyle name="40% - Accent6 4 6 2 3 2" xfId="10260" xr:uid="{00000000-0005-0000-0000-00000E280000}"/>
    <cellStyle name="40% - Accent6 4 6 2 4" xfId="10261" xr:uid="{00000000-0005-0000-0000-00000F280000}"/>
    <cellStyle name="40% - Accent6 4 6 3" xfId="10262" xr:uid="{00000000-0005-0000-0000-000010280000}"/>
    <cellStyle name="40% - Accent6 4 6 3 2" xfId="10263" xr:uid="{00000000-0005-0000-0000-000011280000}"/>
    <cellStyle name="40% - Accent6 4 6 4" xfId="10264" xr:uid="{00000000-0005-0000-0000-000012280000}"/>
    <cellStyle name="40% - Accent6 4 6 4 2" xfId="10265" xr:uid="{00000000-0005-0000-0000-000013280000}"/>
    <cellStyle name="40% - Accent6 4 6 5" xfId="10266" xr:uid="{00000000-0005-0000-0000-000014280000}"/>
    <cellStyle name="40% - Accent6 4 6 5 2" xfId="10267" xr:uid="{00000000-0005-0000-0000-000015280000}"/>
    <cellStyle name="40% - Accent6 4 6 6" xfId="10268" xr:uid="{00000000-0005-0000-0000-000016280000}"/>
    <cellStyle name="40% - Accent6 4 6 6 2" xfId="10269" xr:uid="{00000000-0005-0000-0000-000017280000}"/>
    <cellStyle name="40% - Accent6 4 6 7" xfId="10270" xr:uid="{00000000-0005-0000-0000-000018280000}"/>
    <cellStyle name="40% - Accent6 4 7" xfId="10271" xr:uid="{00000000-0005-0000-0000-000019280000}"/>
    <cellStyle name="40% - Accent6 4 7 2" xfId="10272" xr:uid="{00000000-0005-0000-0000-00001A280000}"/>
    <cellStyle name="40% - Accent6 4 7 2 2" xfId="10273" xr:uid="{00000000-0005-0000-0000-00001B280000}"/>
    <cellStyle name="40% - Accent6 4 7 3" xfId="10274" xr:uid="{00000000-0005-0000-0000-00001C280000}"/>
    <cellStyle name="40% - Accent6 4 7 3 2" xfId="10275" xr:uid="{00000000-0005-0000-0000-00001D280000}"/>
    <cellStyle name="40% - Accent6 4 7 4" xfId="10276" xr:uid="{00000000-0005-0000-0000-00001E280000}"/>
    <cellStyle name="40% - Accent6 4 7 4 2" xfId="10277" xr:uid="{00000000-0005-0000-0000-00001F280000}"/>
    <cellStyle name="40% - Accent6 4 7 5" xfId="10278" xr:uid="{00000000-0005-0000-0000-000020280000}"/>
    <cellStyle name="40% - Accent6 4 7 5 2" xfId="10279" xr:uid="{00000000-0005-0000-0000-000021280000}"/>
    <cellStyle name="40% - Accent6 4 7 6" xfId="10280" xr:uid="{00000000-0005-0000-0000-000022280000}"/>
    <cellStyle name="40% - Accent6 4 8" xfId="10281" xr:uid="{00000000-0005-0000-0000-000023280000}"/>
    <cellStyle name="40% - Accent6 4 8 2" xfId="10282" xr:uid="{00000000-0005-0000-0000-000024280000}"/>
    <cellStyle name="40% - Accent6 4 8 2 2" xfId="10283" xr:uid="{00000000-0005-0000-0000-000025280000}"/>
    <cellStyle name="40% - Accent6 4 8 3" xfId="10284" xr:uid="{00000000-0005-0000-0000-000026280000}"/>
    <cellStyle name="40% - Accent6 4 8 3 2" xfId="10285" xr:uid="{00000000-0005-0000-0000-000027280000}"/>
    <cellStyle name="40% - Accent6 4 8 4" xfId="10286" xr:uid="{00000000-0005-0000-0000-000028280000}"/>
    <cellStyle name="40% - Accent6 4 9" xfId="10287" xr:uid="{00000000-0005-0000-0000-000029280000}"/>
    <cellStyle name="40% - Accent6 4 9 2" xfId="10288" xr:uid="{00000000-0005-0000-0000-00002A280000}"/>
    <cellStyle name="40% - Accent6 4 9 2 2" xfId="10289" xr:uid="{00000000-0005-0000-0000-00002B280000}"/>
    <cellStyle name="40% - Accent6 4 9 3" xfId="10290" xr:uid="{00000000-0005-0000-0000-00002C280000}"/>
    <cellStyle name="40% - Accent6 5" xfId="10291" xr:uid="{00000000-0005-0000-0000-00002D280000}"/>
    <cellStyle name="40% - Accent6 5 2" xfId="10292" xr:uid="{00000000-0005-0000-0000-00002E280000}"/>
    <cellStyle name="40% - Accent6 5 2 2" xfId="10293" xr:uid="{00000000-0005-0000-0000-00002F280000}"/>
    <cellStyle name="40% - Accent6 5 2 2 2" xfId="10294" xr:uid="{00000000-0005-0000-0000-000030280000}"/>
    <cellStyle name="40% - Accent6 5 2 3" xfId="10295" xr:uid="{00000000-0005-0000-0000-000031280000}"/>
    <cellStyle name="40% - Accent6 5 3" xfId="10296" xr:uid="{00000000-0005-0000-0000-000032280000}"/>
    <cellStyle name="40% - Accent6 5 3 2" xfId="10297" xr:uid="{00000000-0005-0000-0000-000033280000}"/>
    <cellStyle name="40% - Accent6 5 3 2 2" xfId="10298" xr:uid="{00000000-0005-0000-0000-000034280000}"/>
    <cellStyle name="40% - Accent6 5 3 3" xfId="10299" xr:uid="{00000000-0005-0000-0000-000035280000}"/>
    <cellStyle name="40% - Accent6 5 4" xfId="10300" xr:uid="{00000000-0005-0000-0000-000036280000}"/>
    <cellStyle name="40% - Accent6 6" xfId="10301" xr:uid="{00000000-0005-0000-0000-000037280000}"/>
    <cellStyle name="40% - Accent6 6 10" xfId="10302" xr:uid="{00000000-0005-0000-0000-000038280000}"/>
    <cellStyle name="40% - Accent6 6 10 2" xfId="10303" xr:uid="{00000000-0005-0000-0000-000039280000}"/>
    <cellStyle name="40% - Accent6 6 11" xfId="10304" xr:uid="{00000000-0005-0000-0000-00003A280000}"/>
    <cellStyle name="40% - Accent6 6 2" xfId="10305" xr:uid="{00000000-0005-0000-0000-00003B280000}"/>
    <cellStyle name="40% - Accent6 6 2 10" xfId="10306" xr:uid="{00000000-0005-0000-0000-00003C280000}"/>
    <cellStyle name="40% - Accent6 6 2 2" xfId="10307" xr:uid="{00000000-0005-0000-0000-00003D280000}"/>
    <cellStyle name="40% - Accent6 6 2 2 2" xfId="10308" xr:uid="{00000000-0005-0000-0000-00003E280000}"/>
    <cellStyle name="40% - Accent6 6 2 2 2 2" xfId="10309" xr:uid="{00000000-0005-0000-0000-00003F280000}"/>
    <cellStyle name="40% - Accent6 6 2 2 2 2 2" xfId="10310" xr:uid="{00000000-0005-0000-0000-000040280000}"/>
    <cellStyle name="40% - Accent6 6 2 2 2 2 2 2" xfId="10311" xr:uid="{00000000-0005-0000-0000-000041280000}"/>
    <cellStyle name="40% - Accent6 6 2 2 2 2 3" xfId="10312" xr:uid="{00000000-0005-0000-0000-000042280000}"/>
    <cellStyle name="40% - Accent6 6 2 2 2 2 3 2" xfId="10313" xr:uid="{00000000-0005-0000-0000-000043280000}"/>
    <cellStyle name="40% - Accent6 6 2 2 2 2 4" xfId="10314" xr:uid="{00000000-0005-0000-0000-000044280000}"/>
    <cellStyle name="40% - Accent6 6 2 2 2 3" xfId="10315" xr:uid="{00000000-0005-0000-0000-000045280000}"/>
    <cellStyle name="40% - Accent6 6 2 2 2 3 2" xfId="10316" xr:uid="{00000000-0005-0000-0000-000046280000}"/>
    <cellStyle name="40% - Accent6 6 2 2 2 4" xfId="10317" xr:uid="{00000000-0005-0000-0000-000047280000}"/>
    <cellStyle name="40% - Accent6 6 2 2 2 4 2" xfId="10318" xr:uid="{00000000-0005-0000-0000-000048280000}"/>
    <cellStyle name="40% - Accent6 6 2 2 2 5" xfId="10319" xr:uid="{00000000-0005-0000-0000-000049280000}"/>
    <cellStyle name="40% - Accent6 6 2 2 2 5 2" xfId="10320" xr:uid="{00000000-0005-0000-0000-00004A280000}"/>
    <cellStyle name="40% - Accent6 6 2 2 2 6" xfId="10321" xr:uid="{00000000-0005-0000-0000-00004B280000}"/>
    <cellStyle name="40% - Accent6 6 2 2 2 6 2" xfId="10322" xr:uid="{00000000-0005-0000-0000-00004C280000}"/>
    <cellStyle name="40% - Accent6 6 2 2 2 7" xfId="10323" xr:uid="{00000000-0005-0000-0000-00004D280000}"/>
    <cellStyle name="40% - Accent6 6 2 2 3" xfId="10324" xr:uid="{00000000-0005-0000-0000-00004E280000}"/>
    <cellStyle name="40% - Accent6 6 2 2 3 2" xfId="10325" xr:uid="{00000000-0005-0000-0000-00004F280000}"/>
    <cellStyle name="40% - Accent6 6 2 2 3 2 2" xfId="10326" xr:uid="{00000000-0005-0000-0000-000050280000}"/>
    <cellStyle name="40% - Accent6 6 2 2 3 3" xfId="10327" xr:uid="{00000000-0005-0000-0000-000051280000}"/>
    <cellStyle name="40% - Accent6 6 2 2 3 3 2" xfId="10328" xr:uid="{00000000-0005-0000-0000-000052280000}"/>
    <cellStyle name="40% - Accent6 6 2 2 3 4" xfId="10329" xr:uid="{00000000-0005-0000-0000-000053280000}"/>
    <cellStyle name="40% - Accent6 6 2 2 3 4 2" xfId="10330" xr:uid="{00000000-0005-0000-0000-000054280000}"/>
    <cellStyle name="40% - Accent6 6 2 2 3 5" xfId="10331" xr:uid="{00000000-0005-0000-0000-000055280000}"/>
    <cellStyle name="40% - Accent6 6 2 2 3 5 2" xfId="10332" xr:uid="{00000000-0005-0000-0000-000056280000}"/>
    <cellStyle name="40% - Accent6 6 2 2 3 6" xfId="10333" xr:uid="{00000000-0005-0000-0000-000057280000}"/>
    <cellStyle name="40% - Accent6 6 2 2 4" xfId="10334" xr:uid="{00000000-0005-0000-0000-000058280000}"/>
    <cellStyle name="40% - Accent6 6 2 2 4 2" xfId="10335" xr:uid="{00000000-0005-0000-0000-000059280000}"/>
    <cellStyle name="40% - Accent6 6 2 2 4 2 2" xfId="10336" xr:uid="{00000000-0005-0000-0000-00005A280000}"/>
    <cellStyle name="40% - Accent6 6 2 2 4 3" xfId="10337" xr:uid="{00000000-0005-0000-0000-00005B280000}"/>
    <cellStyle name="40% - Accent6 6 2 2 5" xfId="10338" xr:uid="{00000000-0005-0000-0000-00005C280000}"/>
    <cellStyle name="40% - Accent6 6 2 2 5 2" xfId="10339" xr:uid="{00000000-0005-0000-0000-00005D280000}"/>
    <cellStyle name="40% - Accent6 6 2 2 6" xfId="10340" xr:uid="{00000000-0005-0000-0000-00005E280000}"/>
    <cellStyle name="40% - Accent6 6 2 2 6 2" xfId="10341" xr:uid="{00000000-0005-0000-0000-00005F280000}"/>
    <cellStyle name="40% - Accent6 6 2 2 7" xfId="10342" xr:uid="{00000000-0005-0000-0000-000060280000}"/>
    <cellStyle name="40% - Accent6 6 2 2 7 2" xfId="10343" xr:uid="{00000000-0005-0000-0000-000061280000}"/>
    <cellStyle name="40% - Accent6 6 2 2 8" xfId="10344" xr:uid="{00000000-0005-0000-0000-000062280000}"/>
    <cellStyle name="40% - Accent6 6 2 3" xfId="10345" xr:uid="{00000000-0005-0000-0000-000063280000}"/>
    <cellStyle name="40% - Accent6 6 2 3 2" xfId="10346" xr:uid="{00000000-0005-0000-0000-000064280000}"/>
    <cellStyle name="40% - Accent6 6 2 3 2 2" xfId="10347" xr:uid="{00000000-0005-0000-0000-000065280000}"/>
    <cellStyle name="40% - Accent6 6 2 3 2 2 2" xfId="10348" xr:uid="{00000000-0005-0000-0000-000066280000}"/>
    <cellStyle name="40% - Accent6 6 2 3 2 2 2 2" xfId="10349" xr:uid="{00000000-0005-0000-0000-000067280000}"/>
    <cellStyle name="40% - Accent6 6 2 3 2 2 3" xfId="10350" xr:uid="{00000000-0005-0000-0000-000068280000}"/>
    <cellStyle name="40% - Accent6 6 2 3 2 2 3 2" xfId="10351" xr:uid="{00000000-0005-0000-0000-000069280000}"/>
    <cellStyle name="40% - Accent6 6 2 3 2 2 4" xfId="10352" xr:uid="{00000000-0005-0000-0000-00006A280000}"/>
    <cellStyle name="40% - Accent6 6 2 3 2 3" xfId="10353" xr:uid="{00000000-0005-0000-0000-00006B280000}"/>
    <cellStyle name="40% - Accent6 6 2 3 2 3 2" xfId="10354" xr:uid="{00000000-0005-0000-0000-00006C280000}"/>
    <cellStyle name="40% - Accent6 6 2 3 2 4" xfId="10355" xr:uid="{00000000-0005-0000-0000-00006D280000}"/>
    <cellStyle name="40% - Accent6 6 2 3 2 4 2" xfId="10356" xr:uid="{00000000-0005-0000-0000-00006E280000}"/>
    <cellStyle name="40% - Accent6 6 2 3 2 5" xfId="10357" xr:uid="{00000000-0005-0000-0000-00006F280000}"/>
    <cellStyle name="40% - Accent6 6 2 3 2 5 2" xfId="10358" xr:uid="{00000000-0005-0000-0000-000070280000}"/>
    <cellStyle name="40% - Accent6 6 2 3 2 6" xfId="10359" xr:uid="{00000000-0005-0000-0000-000071280000}"/>
    <cellStyle name="40% - Accent6 6 2 3 2 6 2" xfId="10360" xr:uid="{00000000-0005-0000-0000-000072280000}"/>
    <cellStyle name="40% - Accent6 6 2 3 2 7" xfId="10361" xr:uid="{00000000-0005-0000-0000-000073280000}"/>
    <cellStyle name="40% - Accent6 6 2 3 3" xfId="10362" xr:uid="{00000000-0005-0000-0000-000074280000}"/>
    <cellStyle name="40% - Accent6 6 2 3 3 2" xfId="10363" xr:uid="{00000000-0005-0000-0000-000075280000}"/>
    <cellStyle name="40% - Accent6 6 2 3 3 2 2" xfId="10364" xr:uid="{00000000-0005-0000-0000-000076280000}"/>
    <cellStyle name="40% - Accent6 6 2 3 3 3" xfId="10365" xr:uid="{00000000-0005-0000-0000-000077280000}"/>
    <cellStyle name="40% - Accent6 6 2 3 3 3 2" xfId="10366" xr:uid="{00000000-0005-0000-0000-000078280000}"/>
    <cellStyle name="40% - Accent6 6 2 3 3 4" xfId="10367" xr:uid="{00000000-0005-0000-0000-000079280000}"/>
    <cellStyle name="40% - Accent6 6 2 3 3 4 2" xfId="10368" xr:uid="{00000000-0005-0000-0000-00007A280000}"/>
    <cellStyle name="40% - Accent6 6 2 3 3 5" xfId="10369" xr:uid="{00000000-0005-0000-0000-00007B280000}"/>
    <cellStyle name="40% - Accent6 6 2 3 3 5 2" xfId="10370" xr:uid="{00000000-0005-0000-0000-00007C280000}"/>
    <cellStyle name="40% - Accent6 6 2 3 3 6" xfId="10371" xr:uid="{00000000-0005-0000-0000-00007D280000}"/>
    <cellStyle name="40% - Accent6 6 2 3 4" xfId="10372" xr:uid="{00000000-0005-0000-0000-00007E280000}"/>
    <cellStyle name="40% - Accent6 6 2 3 4 2" xfId="10373" xr:uid="{00000000-0005-0000-0000-00007F280000}"/>
    <cellStyle name="40% - Accent6 6 2 3 4 2 2" xfId="10374" xr:uid="{00000000-0005-0000-0000-000080280000}"/>
    <cellStyle name="40% - Accent6 6 2 3 4 3" xfId="10375" xr:uid="{00000000-0005-0000-0000-000081280000}"/>
    <cellStyle name="40% - Accent6 6 2 3 5" xfId="10376" xr:uid="{00000000-0005-0000-0000-000082280000}"/>
    <cellStyle name="40% - Accent6 6 2 3 5 2" xfId="10377" xr:uid="{00000000-0005-0000-0000-000083280000}"/>
    <cellStyle name="40% - Accent6 6 2 3 6" xfId="10378" xr:uid="{00000000-0005-0000-0000-000084280000}"/>
    <cellStyle name="40% - Accent6 6 2 3 6 2" xfId="10379" xr:uid="{00000000-0005-0000-0000-000085280000}"/>
    <cellStyle name="40% - Accent6 6 2 3 7" xfId="10380" xr:uid="{00000000-0005-0000-0000-000086280000}"/>
    <cellStyle name="40% - Accent6 6 2 3 7 2" xfId="10381" xr:uid="{00000000-0005-0000-0000-000087280000}"/>
    <cellStyle name="40% - Accent6 6 2 3 8" xfId="10382" xr:uid="{00000000-0005-0000-0000-000088280000}"/>
    <cellStyle name="40% - Accent6 6 2 4" xfId="10383" xr:uid="{00000000-0005-0000-0000-000089280000}"/>
    <cellStyle name="40% - Accent6 6 2 4 2" xfId="10384" xr:uid="{00000000-0005-0000-0000-00008A280000}"/>
    <cellStyle name="40% - Accent6 6 2 4 2 2" xfId="10385" xr:uid="{00000000-0005-0000-0000-00008B280000}"/>
    <cellStyle name="40% - Accent6 6 2 4 2 2 2" xfId="10386" xr:uid="{00000000-0005-0000-0000-00008C280000}"/>
    <cellStyle name="40% - Accent6 6 2 4 2 3" xfId="10387" xr:uid="{00000000-0005-0000-0000-00008D280000}"/>
    <cellStyle name="40% - Accent6 6 2 4 2 3 2" xfId="10388" xr:uid="{00000000-0005-0000-0000-00008E280000}"/>
    <cellStyle name="40% - Accent6 6 2 4 2 4" xfId="10389" xr:uid="{00000000-0005-0000-0000-00008F280000}"/>
    <cellStyle name="40% - Accent6 6 2 4 3" xfId="10390" xr:uid="{00000000-0005-0000-0000-000090280000}"/>
    <cellStyle name="40% - Accent6 6 2 4 3 2" xfId="10391" xr:uid="{00000000-0005-0000-0000-000091280000}"/>
    <cellStyle name="40% - Accent6 6 2 4 4" xfId="10392" xr:uid="{00000000-0005-0000-0000-000092280000}"/>
    <cellStyle name="40% - Accent6 6 2 4 4 2" xfId="10393" xr:uid="{00000000-0005-0000-0000-000093280000}"/>
    <cellStyle name="40% - Accent6 6 2 4 5" xfId="10394" xr:uid="{00000000-0005-0000-0000-000094280000}"/>
    <cellStyle name="40% - Accent6 6 2 4 5 2" xfId="10395" xr:uid="{00000000-0005-0000-0000-000095280000}"/>
    <cellStyle name="40% - Accent6 6 2 4 6" xfId="10396" xr:uid="{00000000-0005-0000-0000-000096280000}"/>
    <cellStyle name="40% - Accent6 6 2 4 6 2" xfId="10397" xr:uid="{00000000-0005-0000-0000-000097280000}"/>
    <cellStyle name="40% - Accent6 6 2 4 7" xfId="10398" xr:uid="{00000000-0005-0000-0000-000098280000}"/>
    <cellStyle name="40% - Accent6 6 2 5" xfId="10399" xr:uid="{00000000-0005-0000-0000-000099280000}"/>
    <cellStyle name="40% - Accent6 6 2 5 2" xfId="10400" xr:uid="{00000000-0005-0000-0000-00009A280000}"/>
    <cellStyle name="40% - Accent6 6 2 5 2 2" xfId="10401" xr:uid="{00000000-0005-0000-0000-00009B280000}"/>
    <cellStyle name="40% - Accent6 6 2 5 3" xfId="10402" xr:uid="{00000000-0005-0000-0000-00009C280000}"/>
    <cellStyle name="40% - Accent6 6 2 5 3 2" xfId="10403" xr:uid="{00000000-0005-0000-0000-00009D280000}"/>
    <cellStyle name="40% - Accent6 6 2 5 4" xfId="10404" xr:uid="{00000000-0005-0000-0000-00009E280000}"/>
    <cellStyle name="40% - Accent6 6 2 5 4 2" xfId="10405" xr:uid="{00000000-0005-0000-0000-00009F280000}"/>
    <cellStyle name="40% - Accent6 6 2 5 5" xfId="10406" xr:uid="{00000000-0005-0000-0000-0000A0280000}"/>
    <cellStyle name="40% - Accent6 6 2 5 5 2" xfId="10407" xr:uid="{00000000-0005-0000-0000-0000A1280000}"/>
    <cellStyle name="40% - Accent6 6 2 5 6" xfId="10408" xr:uid="{00000000-0005-0000-0000-0000A2280000}"/>
    <cellStyle name="40% - Accent6 6 2 6" xfId="10409" xr:uid="{00000000-0005-0000-0000-0000A3280000}"/>
    <cellStyle name="40% - Accent6 6 2 6 2" xfId="10410" xr:uid="{00000000-0005-0000-0000-0000A4280000}"/>
    <cellStyle name="40% - Accent6 6 2 6 2 2" xfId="10411" xr:uid="{00000000-0005-0000-0000-0000A5280000}"/>
    <cellStyle name="40% - Accent6 6 2 6 3" xfId="10412" xr:uid="{00000000-0005-0000-0000-0000A6280000}"/>
    <cellStyle name="40% - Accent6 6 2 7" xfId="10413" xr:uid="{00000000-0005-0000-0000-0000A7280000}"/>
    <cellStyle name="40% - Accent6 6 2 7 2" xfId="10414" xr:uid="{00000000-0005-0000-0000-0000A8280000}"/>
    <cellStyle name="40% - Accent6 6 2 8" xfId="10415" xr:uid="{00000000-0005-0000-0000-0000A9280000}"/>
    <cellStyle name="40% - Accent6 6 2 8 2" xfId="10416" xr:uid="{00000000-0005-0000-0000-0000AA280000}"/>
    <cellStyle name="40% - Accent6 6 2 9" xfId="10417" xr:uid="{00000000-0005-0000-0000-0000AB280000}"/>
    <cellStyle name="40% - Accent6 6 2 9 2" xfId="10418" xr:uid="{00000000-0005-0000-0000-0000AC280000}"/>
    <cellStyle name="40% - Accent6 6 3" xfId="10419" xr:uid="{00000000-0005-0000-0000-0000AD280000}"/>
    <cellStyle name="40% - Accent6 6 3 2" xfId="10420" xr:uid="{00000000-0005-0000-0000-0000AE280000}"/>
    <cellStyle name="40% - Accent6 6 3 2 2" xfId="10421" xr:uid="{00000000-0005-0000-0000-0000AF280000}"/>
    <cellStyle name="40% - Accent6 6 3 2 2 2" xfId="10422" xr:uid="{00000000-0005-0000-0000-0000B0280000}"/>
    <cellStyle name="40% - Accent6 6 3 2 2 2 2" xfId="10423" xr:uid="{00000000-0005-0000-0000-0000B1280000}"/>
    <cellStyle name="40% - Accent6 6 3 2 2 3" xfId="10424" xr:uid="{00000000-0005-0000-0000-0000B2280000}"/>
    <cellStyle name="40% - Accent6 6 3 2 2 3 2" xfId="10425" xr:uid="{00000000-0005-0000-0000-0000B3280000}"/>
    <cellStyle name="40% - Accent6 6 3 2 2 4" xfId="10426" xr:uid="{00000000-0005-0000-0000-0000B4280000}"/>
    <cellStyle name="40% - Accent6 6 3 2 3" xfId="10427" xr:uid="{00000000-0005-0000-0000-0000B5280000}"/>
    <cellStyle name="40% - Accent6 6 3 2 3 2" xfId="10428" xr:uid="{00000000-0005-0000-0000-0000B6280000}"/>
    <cellStyle name="40% - Accent6 6 3 2 4" xfId="10429" xr:uid="{00000000-0005-0000-0000-0000B7280000}"/>
    <cellStyle name="40% - Accent6 6 3 2 4 2" xfId="10430" xr:uid="{00000000-0005-0000-0000-0000B8280000}"/>
    <cellStyle name="40% - Accent6 6 3 2 5" xfId="10431" xr:uid="{00000000-0005-0000-0000-0000B9280000}"/>
    <cellStyle name="40% - Accent6 6 3 2 5 2" xfId="10432" xr:uid="{00000000-0005-0000-0000-0000BA280000}"/>
    <cellStyle name="40% - Accent6 6 3 2 6" xfId="10433" xr:uid="{00000000-0005-0000-0000-0000BB280000}"/>
    <cellStyle name="40% - Accent6 6 3 2 6 2" xfId="10434" xr:uid="{00000000-0005-0000-0000-0000BC280000}"/>
    <cellStyle name="40% - Accent6 6 3 2 7" xfId="10435" xr:uid="{00000000-0005-0000-0000-0000BD280000}"/>
    <cellStyle name="40% - Accent6 6 3 3" xfId="10436" xr:uid="{00000000-0005-0000-0000-0000BE280000}"/>
    <cellStyle name="40% - Accent6 6 3 3 2" xfId="10437" xr:uid="{00000000-0005-0000-0000-0000BF280000}"/>
    <cellStyle name="40% - Accent6 6 3 3 2 2" xfId="10438" xr:uid="{00000000-0005-0000-0000-0000C0280000}"/>
    <cellStyle name="40% - Accent6 6 3 3 3" xfId="10439" xr:uid="{00000000-0005-0000-0000-0000C1280000}"/>
    <cellStyle name="40% - Accent6 6 3 3 3 2" xfId="10440" xr:uid="{00000000-0005-0000-0000-0000C2280000}"/>
    <cellStyle name="40% - Accent6 6 3 3 4" xfId="10441" xr:uid="{00000000-0005-0000-0000-0000C3280000}"/>
    <cellStyle name="40% - Accent6 6 3 3 4 2" xfId="10442" xr:uid="{00000000-0005-0000-0000-0000C4280000}"/>
    <cellStyle name="40% - Accent6 6 3 3 5" xfId="10443" xr:uid="{00000000-0005-0000-0000-0000C5280000}"/>
    <cellStyle name="40% - Accent6 6 3 3 5 2" xfId="10444" xr:uid="{00000000-0005-0000-0000-0000C6280000}"/>
    <cellStyle name="40% - Accent6 6 3 3 6" xfId="10445" xr:uid="{00000000-0005-0000-0000-0000C7280000}"/>
    <cellStyle name="40% - Accent6 6 3 4" xfId="10446" xr:uid="{00000000-0005-0000-0000-0000C8280000}"/>
    <cellStyle name="40% - Accent6 6 3 4 2" xfId="10447" xr:uid="{00000000-0005-0000-0000-0000C9280000}"/>
    <cellStyle name="40% - Accent6 6 3 4 2 2" xfId="10448" xr:uid="{00000000-0005-0000-0000-0000CA280000}"/>
    <cellStyle name="40% - Accent6 6 3 4 3" xfId="10449" xr:uid="{00000000-0005-0000-0000-0000CB280000}"/>
    <cellStyle name="40% - Accent6 6 3 5" xfId="10450" xr:uid="{00000000-0005-0000-0000-0000CC280000}"/>
    <cellStyle name="40% - Accent6 6 3 5 2" xfId="10451" xr:uid="{00000000-0005-0000-0000-0000CD280000}"/>
    <cellStyle name="40% - Accent6 6 3 6" xfId="10452" xr:uid="{00000000-0005-0000-0000-0000CE280000}"/>
    <cellStyle name="40% - Accent6 6 3 6 2" xfId="10453" xr:uid="{00000000-0005-0000-0000-0000CF280000}"/>
    <cellStyle name="40% - Accent6 6 3 7" xfId="10454" xr:uid="{00000000-0005-0000-0000-0000D0280000}"/>
    <cellStyle name="40% - Accent6 6 3 7 2" xfId="10455" xr:uid="{00000000-0005-0000-0000-0000D1280000}"/>
    <cellStyle name="40% - Accent6 6 3 8" xfId="10456" xr:uid="{00000000-0005-0000-0000-0000D2280000}"/>
    <cellStyle name="40% - Accent6 6 4" xfId="10457" xr:uid="{00000000-0005-0000-0000-0000D3280000}"/>
    <cellStyle name="40% - Accent6 6 4 2" xfId="10458" xr:uid="{00000000-0005-0000-0000-0000D4280000}"/>
    <cellStyle name="40% - Accent6 6 4 2 2" xfId="10459" xr:uid="{00000000-0005-0000-0000-0000D5280000}"/>
    <cellStyle name="40% - Accent6 6 4 2 2 2" xfId="10460" xr:uid="{00000000-0005-0000-0000-0000D6280000}"/>
    <cellStyle name="40% - Accent6 6 4 2 2 2 2" xfId="10461" xr:uid="{00000000-0005-0000-0000-0000D7280000}"/>
    <cellStyle name="40% - Accent6 6 4 2 2 3" xfId="10462" xr:uid="{00000000-0005-0000-0000-0000D8280000}"/>
    <cellStyle name="40% - Accent6 6 4 2 2 3 2" xfId="10463" xr:uid="{00000000-0005-0000-0000-0000D9280000}"/>
    <cellStyle name="40% - Accent6 6 4 2 2 4" xfId="10464" xr:uid="{00000000-0005-0000-0000-0000DA280000}"/>
    <cellStyle name="40% - Accent6 6 4 2 3" xfId="10465" xr:uid="{00000000-0005-0000-0000-0000DB280000}"/>
    <cellStyle name="40% - Accent6 6 4 2 3 2" xfId="10466" xr:uid="{00000000-0005-0000-0000-0000DC280000}"/>
    <cellStyle name="40% - Accent6 6 4 2 4" xfId="10467" xr:uid="{00000000-0005-0000-0000-0000DD280000}"/>
    <cellStyle name="40% - Accent6 6 4 2 4 2" xfId="10468" xr:uid="{00000000-0005-0000-0000-0000DE280000}"/>
    <cellStyle name="40% - Accent6 6 4 2 5" xfId="10469" xr:uid="{00000000-0005-0000-0000-0000DF280000}"/>
    <cellStyle name="40% - Accent6 6 4 2 5 2" xfId="10470" xr:uid="{00000000-0005-0000-0000-0000E0280000}"/>
    <cellStyle name="40% - Accent6 6 4 2 6" xfId="10471" xr:uid="{00000000-0005-0000-0000-0000E1280000}"/>
    <cellStyle name="40% - Accent6 6 4 2 6 2" xfId="10472" xr:uid="{00000000-0005-0000-0000-0000E2280000}"/>
    <cellStyle name="40% - Accent6 6 4 2 7" xfId="10473" xr:uid="{00000000-0005-0000-0000-0000E3280000}"/>
    <cellStyle name="40% - Accent6 6 4 3" xfId="10474" xr:uid="{00000000-0005-0000-0000-0000E4280000}"/>
    <cellStyle name="40% - Accent6 6 4 3 2" xfId="10475" xr:uid="{00000000-0005-0000-0000-0000E5280000}"/>
    <cellStyle name="40% - Accent6 6 4 3 2 2" xfId="10476" xr:uid="{00000000-0005-0000-0000-0000E6280000}"/>
    <cellStyle name="40% - Accent6 6 4 3 3" xfId="10477" xr:uid="{00000000-0005-0000-0000-0000E7280000}"/>
    <cellStyle name="40% - Accent6 6 4 3 3 2" xfId="10478" xr:uid="{00000000-0005-0000-0000-0000E8280000}"/>
    <cellStyle name="40% - Accent6 6 4 3 4" xfId="10479" xr:uid="{00000000-0005-0000-0000-0000E9280000}"/>
    <cellStyle name="40% - Accent6 6 4 3 4 2" xfId="10480" xr:uid="{00000000-0005-0000-0000-0000EA280000}"/>
    <cellStyle name="40% - Accent6 6 4 3 5" xfId="10481" xr:uid="{00000000-0005-0000-0000-0000EB280000}"/>
    <cellStyle name="40% - Accent6 6 4 3 5 2" xfId="10482" xr:uid="{00000000-0005-0000-0000-0000EC280000}"/>
    <cellStyle name="40% - Accent6 6 4 3 6" xfId="10483" xr:uid="{00000000-0005-0000-0000-0000ED280000}"/>
    <cellStyle name="40% - Accent6 6 4 4" xfId="10484" xr:uid="{00000000-0005-0000-0000-0000EE280000}"/>
    <cellStyle name="40% - Accent6 6 4 4 2" xfId="10485" xr:uid="{00000000-0005-0000-0000-0000EF280000}"/>
    <cellStyle name="40% - Accent6 6 4 4 2 2" xfId="10486" xr:uid="{00000000-0005-0000-0000-0000F0280000}"/>
    <cellStyle name="40% - Accent6 6 4 4 3" xfId="10487" xr:uid="{00000000-0005-0000-0000-0000F1280000}"/>
    <cellStyle name="40% - Accent6 6 4 5" xfId="10488" xr:uid="{00000000-0005-0000-0000-0000F2280000}"/>
    <cellStyle name="40% - Accent6 6 4 5 2" xfId="10489" xr:uid="{00000000-0005-0000-0000-0000F3280000}"/>
    <cellStyle name="40% - Accent6 6 4 6" xfId="10490" xr:uid="{00000000-0005-0000-0000-0000F4280000}"/>
    <cellStyle name="40% - Accent6 6 4 6 2" xfId="10491" xr:uid="{00000000-0005-0000-0000-0000F5280000}"/>
    <cellStyle name="40% - Accent6 6 4 7" xfId="10492" xr:uid="{00000000-0005-0000-0000-0000F6280000}"/>
    <cellStyle name="40% - Accent6 6 4 7 2" xfId="10493" xr:uid="{00000000-0005-0000-0000-0000F7280000}"/>
    <cellStyle name="40% - Accent6 6 4 8" xfId="10494" xr:uid="{00000000-0005-0000-0000-0000F8280000}"/>
    <cellStyle name="40% - Accent6 6 5" xfId="10495" xr:uid="{00000000-0005-0000-0000-0000F9280000}"/>
    <cellStyle name="40% - Accent6 6 5 2" xfId="10496" xr:uid="{00000000-0005-0000-0000-0000FA280000}"/>
    <cellStyle name="40% - Accent6 6 5 2 2" xfId="10497" xr:uid="{00000000-0005-0000-0000-0000FB280000}"/>
    <cellStyle name="40% - Accent6 6 5 2 2 2" xfId="10498" xr:uid="{00000000-0005-0000-0000-0000FC280000}"/>
    <cellStyle name="40% - Accent6 6 5 2 3" xfId="10499" xr:uid="{00000000-0005-0000-0000-0000FD280000}"/>
    <cellStyle name="40% - Accent6 6 5 2 3 2" xfId="10500" xr:uid="{00000000-0005-0000-0000-0000FE280000}"/>
    <cellStyle name="40% - Accent6 6 5 2 4" xfId="10501" xr:uid="{00000000-0005-0000-0000-0000FF280000}"/>
    <cellStyle name="40% - Accent6 6 5 3" xfId="10502" xr:uid="{00000000-0005-0000-0000-000000290000}"/>
    <cellStyle name="40% - Accent6 6 5 3 2" xfId="10503" xr:uid="{00000000-0005-0000-0000-000001290000}"/>
    <cellStyle name="40% - Accent6 6 5 4" xfId="10504" xr:uid="{00000000-0005-0000-0000-000002290000}"/>
    <cellStyle name="40% - Accent6 6 5 4 2" xfId="10505" xr:uid="{00000000-0005-0000-0000-000003290000}"/>
    <cellStyle name="40% - Accent6 6 5 5" xfId="10506" xr:uid="{00000000-0005-0000-0000-000004290000}"/>
    <cellStyle name="40% - Accent6 6 5 5 2" xfId="10507" xr:uid="{00000000-0005-0000-0000-000005290000}"/>
    <cellStyle name="40% - Accent6 6 5 6" xfId="10508" xr:uid="{00000000-0005-0000-0000-000006290000}"/>
    <cellStyle name="40% - Accent6 6 5 6 2" xfId="10509" xr:uid="{00000000-0005-0000-0000-000007290000}"/>
    <cellStyle name="40% - Accent6 6 5 7" xfId="10510" xr:uid="{00000000-0005-0000-0000-000008290000}"/>
    <cellStyle name="40% - Accent6 6 6" xfId="10511" xr:uid="{00000000-0005-0000-0000-000009290000}"/>
    <cellStyle name="40% - Accent6 6 6 2" xfId="10512" xr:uid="{00000000-0005-0000-0000-00000A290000}"/>
    <cellStyle name="40% - Accent6 6 6 2 2" xfId="10513" xr:uid="{00000000-0005-0000-0000-00000B290000}"/>
    <cellStyle name="40% - Accent6 6 6 3" xfId="10514" xr:uid="{00000000-0005-0000-0000-00000C290000}"/>
    <cellStyle name="40% - Accent6 6 6 3 2" xfId="10515" xr:uid="{00000000-0005-0000-0000-00000D290000}"/>
    <cellStyle name="40% - Accent6 6 6 4" xfId="10516" xr:uid="{00000000-0005-0000-0000-00000E290000}"/>
    <cellStyle name="40% - Accent6 6 6 4 2" xfId="10517" xr:uid="{00000000-0005-0000-0000-00000F290000}"/>
    <cellStyle name="40% - Accent6 6 6 5" xfId="10518" xr:uid="{00000000-0005-0000-0000-000010290000}"/>
    <cellStyle name="40% - Accent6 6 6 5 2" xfId="10519" xr:uid="{00000000-0005-0000-0000-000011290000}"/>
    <cellStyle name="40% - Accent6 6 6 6" xfId="10520" xr:uid="{00000000-0005-0000-0000-000012290000}"/>
    <cellStyle name="40% - Accent6 6 7" xfId="10521" xr:uid="{00000000-0005-0000-0000-000013290000}"/>
    <cellStyle name="40% - Accent6 6 7 2" xfId="10522" xr:uid="{00000000-0005-0000-0000-000014290000}"/>
    <cellStyle name="40% - Accent6 6 7 2 2" xfId="10523" xr:uid="{00000000-0005-0000-0000-000015290000}"/>
    <cellStyle name="40% - Accent6 6 7 3" xfId="10524" xr:uid="{00000000-0005-0000-0000-000016290000}"/>
    <cellStyle name="40% - Accent6 6 8" xfId="10525" xr:uid="{00000000-0005-0000-0000-000017290000}"/>
    <cellStyle name="40% - Accent6 6 8 2" xfId="10526" xr:uid="{00000000-0005-0000-0000-000018290000}"/>
    <cellStyle name="40% - Accent6 6 9" xfId="10527" xr:uid="{00000000-0005-0000-0000-000019290000}"/>
    <cellStyle name="40% - Accent6 6 9 2" xfId="10528" xr:uid="{00000000-0005-0000-0000-00001A290000}"/>
    <cellStyle name="40% - Accent6 7" xfId="10529" xr:uid="{00000000-0005-0000-0000-00001B290000}"/>
    <cellStyle name="40% - Accent6 7 2" xfId="10530" xr:uid="{00000000-0005-0000-0000-00001C290000}"/>
    <cellStyle name="40% - Accent6 8" xfId="10531" xr:uid="{00000000-0005-0000-0000-00001D290000}"/>
    <cellStyle name="40% - Accent6 8 2" xfId="10532" xr:uid="{00000000-0005-0000-0000-00001E290000}"/>
    <cellStyle name="40% - Accent6 8 2 2" xfId="10533" xr:uid="{00000000-0005-0000-0000-00001F290000}"/>
    <cellStyle name="40% - Accent6 8 2 2 2" xfId="10534" xr:uid="{00000000-0005-0000-0000-000020290000}"/>
    <cellStyle name="40% - Accent6 8 2 2 2 2" xfId="10535" xr:uid="{00000000-0005-0000-0000-000021290000}"/>
    <cellStyle name="40% - Accent6 8 2 2 2 2 2" xfId="10536" xr:uid="{00000000-0005-0000-0000-000022290000}"/>
    <cellStyle name="40% - Accent6 8 2 2 2 3" xfId="10537" xr:uid="{00000000-0005-0000-0000-000023290000}"/>
    <cellStyle name="40% - Accent6 8 2 2 2 3 2" xfId="10538" xr:uid="{00000000-0005-0000-0000-000024290000}"/>
    <cellStyle name="40% - Accent6 8 2 2 2 4" xfId="10539" xr:uid="{00000000-0005-0000-0000-000025290000}"/>
    <cellStyle name="40% - Accent6 8 2 2 3" xfId="10540" xr:uid="{00000000-0005-0000-0000-000026290000}"/>
    <cellStyle name="40% - Accent6 8 2 2 3 2" xfId="10541" xr:uid="{00000000-0005-0000-0000-000027290000}"/>
    <cellStyle name="40% - Accent6 8 2 2 4" xfId="10542" xr:uid="{00000000-0005-0000-0000-000028290000}"/>
    <cellStyle name="40% - Accent6 8 2 2 4 2" xfId="10543" xr:uid="{00000000-0005-0000-0000-000029290000}"/>
    <cellStyle name="40% - Accent6 8 2 2 5" xfId="10544" xr:uid="{00000000-0005-0000-0000-00002A290000}"/>
    <cellStyle name="40% - Accent6 8 2 2 5 2" xfId="10545" xr:uid="{00000000-0005-0000-0000-00002B290000}"/>
    <cellStyle name="40% - Accent6 8 2 2 6" xfId="10546" xr:uid="{00000000-0005-0000-0000-00002C290000}"/>
    <cellStyle name="40% - Accent6 8 2 2 6 2" xfId="10547" xr:uid="{00000000-0005-0000-0000-00002D290000}"/>
    <cellStyle name="40% - Accent6 8 2 2 7" xfId="10548" xr:uid="{00000000-0005-0000-0000-00002E290000}"/>
    <cellStyle name="40% - Accent6 8 2 3" xfId="10549" xr:uid="{00000000-0005-0000-0000-00002F290000}"/>
    <cellStyle name="40% - Accent6 8 2 3 2" xfId="10550" xr:uid="{00000000-0005-0000-0000-000030290000}"/>
    <cellStyle name="40% - Accent6 8 2 3 2 2" xfId="10551" xr:uid="{00000000-0005-0000-0000-000031290000}"/>
    <cellStyle name="40% - Accent6 8 2 3 3" xfId="10552" xr:uid="{00000000-0005-0000-0000-000032290000}"/>
    <cellStyle name="40% - Accent6 8 2 3 3 2" xfId="10553" xr:uid="{00000000-0005-0000-0000-000033290000}"/>
    <cellStyle name="40% - Accent6 8 2 3 4" xfId="10554" xr:uid="{00000000-0005-0000-0000-000034290000}"/>
    <cellStyle name="40% - Accent6 8 2 3 4 2" xfId="10555" xr:uid="{00000000-0005-0000-0000-000035290000}"/>
    <cellStyle name="40% - Accent6 8 2 3 5" xfId="10556" xr:uid="{00000000-0005-0000-0000-000036290000}"/>
    <cellStyle name="40% - Accent6 8 2 3 5 2" xfId="10557" xr:uid="{00000000-0005-0000-0000-000037290000}"/>
    <cellStyle name="40% - Accent6 8 2 3 6" xfId="10558" xr:uid="{00000000-0005-0000-0000-000038290000}"/>
    <cellStyle name="40% - Accent6 8 2 4" xfId="10559" xr:uid="{00000000-0005-0000-0000-000039290000}"/>
    <cellStyle name="40% - Accent6 8 2 4 2" xfId="10560" xr:uid="{00000000-0005-0000-0000-00003A290000}"/>
    <cellStyle name="40% - Accent6 8 2 4 2 2" xfId="10561" xr:uid="{00000000-0005-0000-0000-00003B290000}"/>
    <cellStyle name="40% - Accent6 8 2 4 3" xfId="10562" xr:uid="{00000000-0005-0000-0000-00003C290000}"/>
    <cellStyle name="40% - Accent6 8 2 5" xfId="10563" xr:uid="{00000000-0005-0000-0000-00003D290000}"/>
    <cellStyle name="40% - Accent6 8 2 5 2" xfId="10564" xr:uid="{00000000-0005-0000-0000-00003E290000}"/>
    <cellStyle name="40% - Accent6 8 2 6" xfId="10565" xr:uid="{00000000-0005-0000-0000-00003F290000}"/>
    <cellStyle name="40% - Accent6 8 2 6 2" xfId="10566" xr:uid="{00000000-0005-0000-0000-000040290000}"/>
    <cellStyle name="40% - Accent6 8 2 7" xfId="10567" xr:uid="{00000000-0005-0000-0000-000041290000}"/>
    <cellStyle name="40% - Accent6 8 2 7 2" xfId="10568" xr:uid="{00000000-0005-0000-0000-000042290000}"/>
    <cellStyle name="40% - Accent6 8 2 8" xfId="10569" xr:uid="{00000000-0005-0000-0000-000043290000}"/>
    <cellStyle name="40% - Accent6 8 3" xfId="10570" xr:uid="{00000000-0005-0000-0000-000044290000}"/>
    <cellStyle name="40% - Accent6 8 3 2" xfId="10571" xr:uid="{00000000-0005-0000-0000-000045290000}"/>
    <cellStyle name="40% - Accent6 8 3 2 2" xfId="10572" xr:uid="{00000000-0005-0000-0000-000046290000}"/>
    <cellStyle name="40% - Accent6 8 3 2 2 2" xfId="10573" xr:uid="{00000000-0005-0000-0000-000047290000}"/>
    <cellStyle name="40% - Accent6 8 3 2 3" xfId="10574" xr:uid="{00000000-0005-0000-0000-000048290000}"/>
    <cellStyle name="40% - Accent6 8 3 2 3 2" xfId="10575" xr:uid="{00000000-0005-0000-0000-000049290000}"/>
    <cellStyle name="40% - Accent6 8 3 2 4" xfId="10576" xr:uid="{00000000-0005-0000-0000-00004A290000}"/>
    <cellStyle name="40% - Accent6 8 3 3" xfId="10577" xr:uid="{00000000-0005-0000-0000-00004B290000}"/>
    <cellStyle name="40% - Accent6 8 3 3 2" xfId="10578" xr:uid="{00000000-0005-0000-0000-00004C290000}"/>
    <cellStyle name="40% - Accent6 8 3 4" xfId="10579" xr:uid="{00000000-0005-0000-0000-00004D290000}"/>
    <cellStyle name="40% - Accent6 8 3 4 2" xfId="10580" xr:uid="{00000000-0005-0000-0000-00004E290000}"/>
    <cellStyle name="40% - Accent6 8 3 5" xfId="10581" xr:uid="{00000000-0005-0000-0000-00004F290000}"/>
    <cellStyle name="40% - Accent6 8 3 5 2" xfId="10582" xr:uid="{00000000-0005-0000-0000-000050290000}"/>
    <cellStyle name="40% - Accent6 8 3 6" xfId="10583" xr:uid="{00000000-0005-0000-0000-000051290000}"/>
    <cellStyle name="40% - Accent6 8 3 6 2" xfId="10584" xr:uid="{00000000-0005-0000-0000-000052290000}"/>
    <cellStyle name="40% - Accent6 8 3 7" xfId="10585" xr:uid="{00000000-0005-0000-0000-000053290000}"/>
    <cellStyle name="40% - Accent6 8 4" xfId="10586" xr:uid="{00000000-0005-0000-0000-000054290000}"/>
    <cellStyle name="40% - Accent6 8 4 2" xfId="10587" xr:uid="{00000000-0005-0000-0000-000055290000}"/>
    <cellStyle name="40% - Accent6 8 4 2 2" xfId="10588" xr:uid="{00000000-0005-0000-0000-000056290000}"/>
    <cellStyle name="40% - Accent6 8 4 3" xfId="10589" xr:uid="{00000000-0005-0000-0000-000057290000}"/>
    <cellStyle name="40% - Accent6 8 4 3 2" xfId="10590" xr:uid="{00000000-0005-0000-0000-000058290000}"/>
    <cellStyle name="40% - Accent6 8 4 4" xfId="10591" xr:uid="{00000000-0005-0000-0000-000059290000}"/>
    <cellStyle name="40% - Accent6 8 4 4 2" xfId="10592" xr:uid="{00000000-0005-0000-0000-00005A290000}"/>
    <cellStyle name="40% - Accent6 8 4 5" xfId="10593" xr:uid="{00000000-0005-0000-0000-00005B290000}"/>
    <cellStyle name="40% - Accent6 8 4 5 2" xfId="10594" xr:uid="{00000000-0005-0000-0000-00005C290000}"/>
    <cellStyle name="40% - Accent6 8 4 6" xfId="10595" xr:uid="{00000000-0005-0000-0000-00005D290000}"/>
    <cellStyle name="40% - Accent6 8 5" xfId="10596" xr:uid="{00000000-0005-0000-0000-00005E290000}"/>
    <cellStyle name="40% - Accent6 8 5 2" xfId="10597" xr:uid="{00000000-0005-0000-0000-00005F290000}"/>
    <cellStyle name="40% - Accent6 8 5 2 2" xfId="10598" xr:uid="{00000000-0005-0000-0000-000060290000}"/>
    <cellStyle name="40% - Accent6 8 5 3" xfId="10599" xr:uid="{00000000-0005-0000-0000-000061290000}"/>
    <cellStyle name="40% - Accent6 8 6" xfId="10600" xr:uid="{00000000-0005-0000-0000-000062290000}"/>
    <cellStyle name="40% - Accent6 8 6 2" xfId="10601" xr:uid="{00000000-0005-0000-0000-000063290000}"/>
    <cellStyle name="40% - Accent6 8 7" xfId="10602" xr:uid="{00000000-0005-0000-0000-000064290000}"/>
    <cellStyle name="40% - Accent6 8 7 2" xfId="10603" xr:uid="{00000000-0005-0000-0000-000065290000}"/>
    <cellStyle name="40% - Accent6 8 8" xfId="10604" xr:uid="{00000000-0005-0000-0000-000066290000}"/>
    <cellStyle name="40% - Accent6 8 8 2" xfId="10605" xr:uid="{00000000-0005-0000-0000-000067290000}"/>
    <cellStyle name="40% - Accent6 8 9" xfId="10606" xr:uid="{00000000-0005-0000-0000-000068290000}"/>
    <cellStyle name="40% - Accent6 9" xfId="10607" xr:uid="{00000000-0005-0000-0000-000069290000}"/>
    <cellStyle name="40% - Accent6 9 2" xfId="10608" xr:uid="{00000000-0005-0000-0000-00006A290000}"/>
    <cellStyle name="40% - Accent6 9 2 2" xfId="10609" xr:uid="{00000000-0005-0000-0000-00006B290000}"/>
    <cellStyle name="40% - Accent6 9 2 2 2" xfId="10610" xr:uid="{00000000-0005-0000-0000-00006C290000}"/>
    <cellStyle name="40% - Accent6 9 2 2 2 2" xfId="10611" xr:uid="{00000000-0005-0000-0000-00006D290000}"/>
    <cellStyle name="40% - Accent6 9 2 2 3" xfId="10612" xr:uid="{00000000-0005-0000-0000-00006E290000}"/>
    <cellStyle name="40% - Accent6 9 2 3" xfId="10613" xr:uid="{00000000-0005-0000-0000-00006F290000}"/>
    <cellStyle name="40% - Accent6 9 2 3 2" xfId="10614" xr:uid="{00000000-0005-0000-0000-000070290000}"/>
    <cellStyle name="40% - Accent6 9 2 4" xfId="10615" xr:uid="{00000000-0005-0000-0000-000071290000}"/>
    <cellStyle name="40% - Accent6 9 3" xfId="10616" xr:uid="{00000000-0005-0000-0000-000072290000}"/>
    <cellStyle name="40% - Accent6 9 3 2" xfId="10617" xr:uid="{00000000-0005-0000-0000-000073290000}"/>
    <cellStyle name="40% - Accent6 9 3 2 2" xfId="10618" xr:uid="{00000000-0005-0000-0000-000074290000}"/>
    <cellStyle name="40% - Accent6 9 3 3" xfId="10619" xr:uid="{00000000-0005-0000-0000-000075290000}"/>
    <cellStyle name="40% - Accent6 9 4" xfId="10620" xr:uid="{00000000-0005-0000-0000-000076290000}"/>
    <cellStyle name="40% - Accent6 9 4 2" xfId="10621" xr:uid="{00000000-0005-0000-0000-000077290000}"/>
    <cellStyle name="40% - Accent6 9 5" xfId="10622" xr:uid="{00000000-0005-0000-0000-000078290000}"/>
    <cellStyle name="40% - Accent6 9 5 2" xfId="10623" xr:uid="{00000000-0005-0000-0000-000079290000}"/>
    <cellStyle name="40% - Accent6 9 6" xfId="10624" xr:uid="{00000000-0005-0000-0000-00007A290000}"/>
    <cellStyle name="40% - Accent6 9 6 2" xfId="10625" xr:uid="{00000000-0005-0000-0000-00007B290000}"/>
    <cellStyle name="40% - Accent6 9 7" xfId="10626" xr:uid="{00000000-0005-0000-0000-00007C290000}"/>
    <cellStyle name="60% - Accent1 2" xfId="10627" xr:uid="{00000000-0005-0000-0000-00007D290000}"/>
    <cellStyle name="60% - Accent1 2 2" xfId="10628" xr:uid="{00000000-0005-0000-0000-00007E290000}"/>
    <cellStyle name="60% - Accent1 2 2 2" xfId="10629" xr:uid="{00000000-0005-0000-0000-00007F290000}"/>
    <cellStyle name="60% - Accent1 2 2 3" xfId="10630" xr:uid="{00000000-0005-0000-0000-000080290000}"/>
    <cellStyle name="60% - Accent1 2 3" xfId="10631" xr:uid="{00000000-0005-0000-0000-000081290000}"/>
    <cellStyle name="60% - Accent1 2 3 2" xfId="10632" xr:uid="{00000000-0005-0000-0000-000082290000}"/>
    <cellStyle name="60% - Accent1 2 4" xfId="10633" xr:uid="{00000000-0005-0000-0000-000083290000}"/>
    <cellStyle name="60% - Accent1 2 4 2" xfId="10634" xr:uid="{00000000-0005-0000-0000-000084290000}"/>
    <cellStyle name="60% - Accent1 3" xfId="10635" xr:uid="{00000000-0005-0000-0000-000085290000}"/>
    <cellStyle name="60% - Accent1 3 2" xfId="10636" xr:uid="{00000000-0005-0000-0000-000086290000}"/>
    <cellStyle name="60% - Accent1 3 2 2" xfId="10637" xr:uid="{00000000-0005-0000-0000-000087290000}"/>
    <cellStyle name="60% - Accent1 3 3" xfId="10638" xr:uid="{00000000-0005-0000-0000-000088290000}"/>
    <cellStyle name="60% - Accent1 3 3 2" xfId="10639" xr:uid="{00000000-0005-0000-0000-000089290000}"/>
    <cellStyle name="60% - Accent1 4" xfId="10640" xr:uid="{00000000-0005-0000-0000-00008A290000}"/>
    <cellStyle name="60% - Accent1 4 2" xfId="10641" xr:uid="{00000000-0005-0000-0000-00008B290000}"/>
    <cellStyle name="60% - Accent1 5" xfId="10642" xr:uid="{00000000-0005-0000-0000-00008C290000}"/>
    <cellStyle name="60% - Accent1 6" xfId="10643" xr:uid="{00000000-0005-0000-0000-00008D290000}"/>
    <cellStyle name="60% - Accent1 7" xfId="10644" xr:uid="{00000000-0005-0000-0000-00008E290000}"/>
    <cellStyle name="60% - Accent2 2" xfId="10645" xr:uid="{00000000-0005-0000-0000-00008F290000}"/>
    <cellStyle name="60% - Accent2 2 2" xfId="10646" xr:uid="{00000000-0005-0000-0000-000090290000}"/>
    <cellStyle name="60% - Accent2 2 2 2" xfId="10647" xr:uid="{00000000-0005-0000-0000-000091290000}"/>
    <cellStyle name="60% - Accent2 2 2 3" xfId="10648" xr:uid="{00000000-0005-0000-0000-000092290000}"/>
    <cellStyle name="60% - Accent2 2 3" xfId="10649" xr:uid="{00000000-0005-0000-0000-000093290000}"/>
    <cellStyle name="60% - Accent2 2 3 2" xfId="10650" xr:uid="{00000000-0005-0000-0000-000094290000}"/>
    <cellStyle name="60% - Accent2 2 4" xfId="10651" xr:uid="{00000000-0005-0000-0000-000095290000}"/>
    <cellStyle name="60% - Accent2 2 4 2" xfId="10652" xr:uid="{00000000-0005-0000-0000-000096290000}"/>
    <cellStyle name="60% - Accent2 3" xfId="10653" xr:uid="{00000000-0005-0000-0000-000097290000}"/>
    <cellStyle name="60% - Accent2 3 2" xfId="10654" xr:uid="{00000000-0005-0000-0000-000098290000}"/>
    <cellStyle name="60% - Accent2 3 2 2" xfId="10655" xr:uid="{00000000-0005-0000-0000-000099290000}"/>
    <cellStyle name="60% - Accent2 3 3" xfId="10656" xr:uid="{00000000-0005-0000-0000-00009A290000}"/>
    <cellStyle name="60% - Accent2 3 3 2" xfId="10657" xr:uid="{00000000-0005-0000-0000-00009B290000}"/>
    <cellStyle name="60% - Accent2 4" xfId="10658" xr:uid="{00000000-0005-0000-0000-00009C290000}"/>
    <cellStyle name="60% - Accent2 4 2" xfId="10659" xr:uid="{00000000-0005-0000-0000-00009D290000}"/>
    <cellStyle name="60% - Accent2 5" xfId="10660" xr:uid="{00000000-0005-0000-0000-00009E290000}"/>
    <cellStyle name="60% - Accent2 6" xfId="10661" xr:uid="{00000000-0005-0000-0000-00009F290000}"/>
    <cellStyle name="60% - Accent2 7" xfId="10662" xr:uid="{00000000-0005-0000-0000-0000A0290000}"/>
    <cellStyle name="60% - Accent3 2" xfId="10663" xr:uid="{00000000-0005-0000-0000-0000A1290000}"/>
    <cellStyle name="60% - Accent3 2 2" xfId="10664" xr:uid="{00000000-0005-0000-0000-0000A2290000}"/>
    <cellStyle name="60% - Accent3 2 2 2" xfId="10665" xr:uid="{00000000-0005-0000-0000-0000A3290000}"/>
    <cellStyle name="60% - Accent3 2 2 3" xfId="10666" xr:uid="{00000000-0005-0000-0000-0000A4290000}"/>
    <cellStyle name="60% - Accent3 2 3" xfId="10667" xr:uid="{00000000-0005-0000-0000-0000A5290000}"/>
    <cellStyle name="60% - Accent3 2 3 2" xfId="10668" xr:uid="{00000000-0005-0000-0000-0000A6290000}"/>
    <cellStyle name="60% - Accent3 2 4" xfId="10669" xr:uid="{00000000-0005-0000-0000-0000A7290000}"/>
    <cellStyle name="60% - Accent3 2 4 2" xfId="10670" xr:uid="{00000000-0005-0000-0000-0000A8290000}"/>
    <cellStyle name="60% - Accent3 3" xfId="10671" xr:uid="{00000000-0005-0000-0000-0000A9290000}"/>
    <cellStyle name="60% - Accent3 3 2" xfId="10672" xr:uid="{00000000-0005-0000-0000-0000AA290000}"/>
    <cellStyle name="60% - Accent3 3 2 2" xfId="10673" xr:uid="{00000000-0005-0000-0000-0000AB290000}"/>
    <cellStyle name="60% - Accent3 3 3" xfId="10674" xr:uid="{00000000-0005-0000-0000-0000AC290000}"/>
    <cellStyle name="60% - Accent3 3 3 2" xfId="10675" xr:uid="{00000000-0005-0000-0000-0000AD290000}"/>
    <cellStyle name="60% - Accent3 4" xfId="10676" xr:uid="{00000000-0005-0000-0000-0000AE290000}"/>
    <cellStyle name="60% - Accent3 4 2" xfId="10677" xr:uid="{00000000-0005-0000-0000-0000AF290000}"/>
    <cellStyle name="60% - Accent3 5" xfId="10678" xr:uid="{00000000-0005-0000-0000-0000B0290000}"/>
    <cellStyle name="60% - Accent3 6" xfId="10679" xr:uid="{00000000-0005-0000-0000-0000B1290000}"/>
    <cellStyle name="60% - Accent3 7" xfId="10680" xr:uid="{00000000-0005-0000-0000-0000B2290000}"/>
    <cellStyle name="60% - Accent4 2" xfId="10681" xr:uid="{00000000-0005-0000-0000-0000B3290000}"/>
    <cellStyle name="60% - Accent4 2 2" xfId="10682" xr:uid="{00000000-0005-0000-0000-0000B4290000}"/>
    <cellStyle name="60% - Accent4 2 2 2" xfId="10683" xr:uid="{00000000-0005-0000-0000-0000B5290000}"/>
    <cellStyle name="60% - Accent4 2 2 3" xfId="10684" xr:uid="{00000000-0005-0000-0000-0000B6290000}"/>
    <cellStyle name="60% - Accent4 2 3" xfId="10685" xr:uid="{00000000-0005-0000-0000-0000B7290000}"/>
    <cellStyle name="60% - Accent4 2 3 2" xfId="10686" xr:uid="{00000000-0005-0000-0000-0000B8290000}"/>
    <cellStyle name="60% - Accent4 2 4" xfId="10687" xr:uid="{00000000-0005-0000-0000-0000B9290000}"/>
    <cellStyle name="60% - Accent4 2 4 2" xfId="10688" xr:uid="{00000000-0005-0000-0000-0000BA290000}"/>
    <cellStyle name="60% - Accent4 3" xfId="10689" xr:uid="{00000000-0005-0000-0000-0000BB290000}"/>
    <cellStyle name="60% - Accent4 3 2" xfId="10690" xr:uid="{00000000-0005-0000-0000-0000BC290000}"/>
    <cellStyle name="60% - Accent4 3 2 2" xfId="10691" xr:uid="{00000000-0005-0000-0000-0000BD290000}"/>
    <cellStyle name="60% - Accent4 3 3" xfId="10692" xr:uid="{00000000-0005-0000-0000-0000BE290000}"/>
    <cellStyle name="60% - Accent4 3 3 2" xfId="10693" xr:uid="{00000000-0005-0000-0000-0000BF290000}"/>
    <cellStyle name="60% - Accent4 4" xfId="10694" xr:uid="{00000000-0005-0000-0000-0000C0290000}"/>
    <cellStyle name="60% - Accent4 4 2" xfId="10695" xr:uid="{00000000-0005-0000-0000-0000C1290000}"/>
    <cellStyle name="60% - Accent4 5" xfId="10696" xr:uid="{00000000-0005-0000-0000-0000C2290000}"/>
    <cellStyle name="60% - Accent4 6" xfId="10697" xr:uid="{00000000-0005-0000-0000-0000C3290000}"/>
    <cellStyle name="60% - Accent4 7" xfId="10698" xr:uid="{00000000-0005-0000-0000-0000C4290000}"/>
    <cellStyle name="60% - Accent5 2" xfId="10699" xr:uid="{00000000-0005-0000-0000-0000C5290000}"/>
    <cellStyle name="60% - Accent5 2 2" xfId="10700" xr:uid="{00000000-0005-0000-0000-0000C6290000}"/>
    <cellStyle name="60% - Accent5 2 2 2" xfId="10701" xr:uid="{00000000-0005-0000-0000-0000C7290000}"/>
    <cellStyle name="60% - Accent5 2 2 3" xfId="10702" xr:uid="{00000000-0005-0000-0000-0000C8290000}"/>
    <cellStyle name="60% - Accent5 2 3" xfId="10703" xr:uid="{00000000-0005-0000-0000-0000C9290000}"/>
    <cellStyle name="60% - Accent5 2 3 2" xfId="10704" xr:uid="{00000000-0005-0000-0000-0000CA290000}"/>
    <cellStyle name="60% - Accent5 2 4" xfId="10705" xr:uid="{00000000-0005-0000-0000-0000CB290000}"/>
    <cellStyle name="60% - Accent5 2 4 2" xfId="10706" xr:uid="{00000000-0005-0000-0000-0000CC290000}"/>
    <cellStyle name="60% - Accent5 3" xfId="10707" xr:uid="{00000000-0005-0000-0000-0000CD290000}"/>
    <cellStyle name="60% - Accent5 3 2" xfId="10708" xr:uid="{00000000-0005-0000-0000-0000CE290000}"/>
    <cellStyle name="60% - Accent5 3 2 2" xfId="10709" xr:uid="{00000000-0005-0000-0000-0000CF290000}"/>
    <cellStyle name="60% - Accent5 3 3" xfId="10710" xr:uid="{00000000-0005-0000-0000-0000D0290000}"/>
    <cellStyle name="60% - Accent5 3 3 2" xfId="10711" xr:uid="{00000000-0005-0000-0000-0000D1290000}"/>
    <cellStyle name="60% - Accent5 4" xfId="10712" xr:uid="{00000000-0005-0000-0000-0000D2290000}"/>
    <cellStyle name="60% - Accent5 4 2" xfId="10713" xr:uid="{00000000-0005-0000-0000-0000D3290000}"/>
    <cellStyle name="60% - Accent5 5" xfId="10714" xr:uid="{00000000-0005-0000-0000-0000D4290000}"/>
    <cellStyle name="60% - Accent5 6" xfId="10715" xr:uid="{00000000-0005-0000-0000-0000D5290000}"/>
    <cellStyle name="60% - Accent5 7" xfId="10716" xr:uid="{00000000-0005-0000-0000-0000D6290000}"/>
    <cellStyle name="60% - Accent6 2" xfId="10717" xr:uid="{00000000-0005-0000-0000-0000D7290000}"/>
    <cellStyle name="60% - Accent6 2 2" xfId="10718" xr:uid="{00000000-0005-0000-0000-0000D8290000}"/>
    <cellStyle name="60% - Accent6 2 2 2" xfId="10719" xr:uid="{00000000-0005-0000-0000-0000D9290000}"/>
    <cellStyle name="60% - Accent6 2 2 3" xfId="10720" xr:uid="{00000000-0005-0000-0000-0000DA290000}"/>
    <cellStyle name="60% - Accent6 2 3" xfId="10721" xr:uid="{00000000-0005-0000-0000-0000DB290000}"/>
    <cellStyle name="60% - Accent6 2 3 2" xfId="10722" xr:uid="{00000000-0005-0000-0000-0000DC290000}"/>
    <cellStyle name="60% - Accent6 2 4" xfId="10723" xr:uid="{00000000-0005-0000-0000-0000DD290000}"/>
    <cellStyle name="60% - Accent6 2 4 2" xfId="10724" xr:uid="{00000000-0005-0000-0000-0000DE290000}"/>
    <cellStyle name="60% - Accent6 3" xfId="10725" xr:uid="{00000000-0005-0000-0000-0000DF290000}"/>
    <cellStyle name="60% - Accent6 3 2" xfId="10726" xr:uid="{00000000-0005-0000-0000-0000E0290000}"/>
    <cellStyle name="60% - Accent6 3 2 2" xfId="10727" xr:uid="{00000000-0005-0000-0000-0000E1290000}"/>
    <cellStyle name="60% - Accent6 3 3" xfId="10728" xr:uid="{00000000-0005-0000-0000-0000E2290000}"/>
    <cellStyle name="60% - Accent6 3 3 2" xfId="10729" xr:uid="{00000000-0005-0000-0000-0000E3290000}"/>
    <cellStyle name="60% - Accent6 4" xfId="10730" xr:uid="{00000000-0005-0000-0000-0000E4290000}"/>
    <cellStyle name="60% - Accent6 4 2" xfId="10731" xr:uid="{00000000-0005-0000-0000-0000E5290000}"/>
    <cellStyle name="60% - Accent6 5" xfId="10732" xr:uid="{00000000-0005-0000-0000-0000E6290000}"/>
    <cellStyle name="60% - Accent6 6" xfId="10733" xr:uid="{00000000-0005-0000-0000-0000E7290000}"/>
    <cellStyle name="60% - Accent6 7" xfId="10734" xr:uid="{00000000-0005-0000-0000-0000E8290000}"/>
    <cellStyle name="Accent1 2" xfId="10735" xr:uid="{00000000-0005-0000-0000-0000E9290000}"/>
    <cellStyle name="Accent1 2 2" xfId="10736" xr:uid="{00000000-0005-0000-0000-0000EA290000}"/>
    <cellStyle name="Accent1 2 2 2" xfId="10737" xr:uid="{00000000-0005-0000-0000-0000EB290000}"/>
    <cellStyle name="Accent1 2 2 3" xfId="10738" xr:uid="{00000000-0005-0000-0000-0000EC290000}"/>
    <cellStyle name="Accent1 2 3" xfId="10739" xr:uid="{00000000-0005-0000-0000-0000ED290000}"/>
    <cellStyle name="Accent1 2 3 2" xfId="10740" xr:uid="{00000000-0005-0000-0000-0000EE290000}"/>
    <cellStyle name="Accent1 2 4" xfId="10741" xr:uid="{00000000-0005-0000-0000-0000EF290000}"/>
    <cellStyle name="Accent1 2 4 2" xfId="10742" xr:uid="{00000000-0005-0000-0000-0000F0290000}"/>
    <cellStyle name="Accent1 3" xfId="10743" xr:uid="{00000000-0005-0000-0000-0000F1290000}"/>
    <cellStyle name="Accent1 3 2" xfId="10744" xr:uid="{00000000-0005-0000-0000-0000F2290000}"/>
    <cellStyle name="Accent1 3 2 2" xfId="10745" xr:uid="{00000000-0005-0000-0000-0000F3290000}"/>
    <cellStyle name="Accent1 3 3" xfId="10746" xr:uid="{00000000-0005-0000-0000-0000F4290000}"/>
    <cellStyle name="Accent1 3 3 2" xfId="10747" xr:uid="{00000000-0005-0000-0000-0000F5290000}"/>
    <cellStyle name="Accent1 4" xfId="10748" xr:uid="{00000000-0005-0000-0000-0000F6290000}"/>
    <cellStyle name="Accent1 4 2" xfId="10749" xr:uid="{00000000-0005-0000-0000-0000F7290000}"/>
    <cellStyle name="Accent1 5" xfId="10750" xr:uid="{00000000-0005-0000-0000-0000F8290000}"/>
    <cellStyle name="Accent1 6" xfId="10751" xr:uid="{00000000-0005-0000-0000-0000F9290000}"/>
    <cellStyle name="Accent1 7" xfId="10752" xr:uid="{00000000-0005-0000-0000-0000FA290000}"/>
    <cellStyle name="Accent2 2" xfId="10753" xr:uid="{00000000-0005-0000-0000-0000FB290000}"/>
    <cellStyle name="Accent2 2 2" xfId="10754" xr:uid="{00000000-0005-0000-0000-0000FC290000}"/>
    <cellStyle name="Accent2 2 2 2" xfId="10755" xr:uid="{00000000-0005-0000-0000-0000FD290000}"/>
    <cellStyle name="Accent2 2 2 3" xfId="10756" xr:uid="{00000000-0005-0000-0000-0000FE290000}"/>
    <cellStyle name="Accent2 2 3" xfId="10757" xr:uid="{00000000-0005-0000-0000-0000FF290000}"/>
    <cellStyle name="Accent2 2 3 2" xfId="10758" xr:uid="{00000000-0005-0000-0000-0000002A0000}"/>
    <cellStyle name="Accent2 2 4" xfId="10759" xr:uid="{00000000-0005-0000-0000-0000012A0000}"/>
    <cellStyle name="Accent2 2 4 2" xfId="10760" xr:uid="{00000000-0005-0000-0000-0000022A0000}"/>
    <cellStyle name="Accent2 3" xfId="10761" xr:uid="{00000000-0005-0000-0000-0000032A0000}"/>
    <cellStyle name="Accent2 3 2" xfId="10762" xr:uid="{00000000-0005-0000-0000-0000042A0000}"/>
    <cellStyle name="Accent2 3 2 2" xfId="10763" xr:uid="{00000000-0005-0000-0000-0000052A0000}"/>
    <cellStyle name="Accent2 3 3" xfId="10764" xr:uid="{00000000-0005-0000-0000-0000062A0000}"/>
    <cellStyle name="Accent2 3 3 2" xfId="10765" xr:uid="{00000000-0005-0000-0000-0000072A0000}"/>
    <cellStyle name="Accent2 4" xfId="10766" xr:uid="{00000000-0005-0000-0000-0000082A0000}"/>
    <cellStyle name="Accent2 4 2" xfId="10767" xr:uid="{00000000-0005-0000-0000-0000092A0000}"/>
    <cellStyle name="Accent2 5" xfId="10768" xr:uid="{00000000-0005-0000-0000-00000A2A0000}"/>
    <cellStyle name="Accent2 6" xfId="10769" xr:uid="{00000000-0005-0000-0000-00000B2A0000}"/>
    <cellStyle name="Accent2 7" xfId="10770" xr:uid="{00000000-0005-0000-0000-00000C2A0000}"/>
    <cellStyle name="Accent3 2" xfId="10771" xr:uid="{00000000-0005-0000-0000-00000D2A0000}"/>
    <cellStyle name="Accent3 2 2" xfId="10772" xr:uid="{00000000-0005-0000-0000-00000E2A0000}"/>
    <cellStyle name="Accent3 2 2 2" xfId="10773" xr:uid="{00000000-0005-0000-0000-00000F2A0000}"/>
    <cellStyle name="Accent3 2 2 3" xfId="10774" xr:uid="{00000000-0005-0000-0000-0000102A0000}"/>
    <cellStyle name="Accent3 2 3" xfId="10775" xr:uid="{00000000-0005-0000-0000-0000112A0000}"/>
    <cellStyle name="Accent3 2 3 2" xfId="10776" xr:uid="{00000000-0005-0000-0000-0000122A0000}"/>
    <cellStyle name="Accent3 2 4" xfId="10777" xr:uid="{00000000-0005-0000-0000-0000132A0000}"/>
    <cellStyle name="Accent3 2 4 2" xfId="10778" xr:uid="{00000000-0005-0000-0000-0000142A0000}"/>
    <cellStyle name="Accent3 3" xfId="10779" xr:uid="{00000000-0005-0000-0000-0000152A0000}"/>
    <cellStyle name="Accent3 3 2" xfId="10780" xr:uid="{00000000-0005-0000-0000-0000162A0000}"/>
    <cellStyle name="Accent3 3 2 2" xfId="10781" xr:uid="{00000000-0005-0000-0000-0000172A0000}"/>
    <cellStyle name="Accent3 3 3" xfId="10782" xr:uid="{00000000-0005-0000-0000-0000182A0000}"/>
    <cellStyle name="Accent3 3 3 2" xfId="10783" xr:uid="{00000000-0005-0000-0000-0000192A0000}"/>
    <cellStyle name="Accent3 4" xfId="10784" xr:uid="{00000000-0005-0000-0000-00001A2A0000}"/>
    <cellStyle name="Accent3 4 2" xfId="10785" xr:uid="{00000000-0005-0000-0000-00001B2A0000}"/>
    <cellStyle name="Accent3 5" xfId="10786" xr:uid="{00000000-0005-0000-0000-00001C2A0000}"/>
    <cellStyle name="Accent3 6" xfId="10787" xr:uid="{00000000-0005-0000-0000-00001D2A0000}"/>
    <cellStyle name="Accent3 7" xfId="10788" xr:uid="{00000000-0005-0000-0000-00001E2A0000}"/>
    <cellStyle name="Accent4 2" xfId="10789" xr:uid="{00000000-0005-0000-0000-00001F2A0000}"/>
    <cellStyle name="Accent4 2 2" xfId="10790" xr:uid="{00000000-0005-0000-0000-0000202A0000}"/>
    <cellStyle name="Accent4 2 2 2" xfId="10791" xr:uid="{00000000-0005-0000-0000-0000212A0000}"/>
    <cellStyle name="Accent4 2 2 3" xfId="10792" xr:uid="{00000000-0005-0000-0000-0000222A0000}"/>
    <cellStyle name="Accent4 2 3" xfId="10793" xr:uid="{00000000-0005-0000-0000-0000232A0000}"/>
    <cellStyle name="Accent4 2 3 2" xfId="10794" xr:uid="{00000000-0005-0000-0000-0000242A0000}"/>
    <cellStyle name="Accent4 2 4" xfId="10795" xr:uid="{00000000-0005-0000-0000-0000252A0000}"/>
    <cellStyle name="Accent4 2 4 2" xfId="10796" xr:uid="{00000000-0005-0000-0000-0000262A0000}"/>
    <cellStyle name="Accent4 3" xfId="10797" xr:uid="{00000000-0005-0000-0000-0000272A0000}"/>
    <cellStyle name="Accent4 3 2" xfId="10798" xr:uid="{00000000-0005-0000-0000-0000282A0000}"/>
    <cellStyle name="Accent4 3 2 2" xfId="10799" xr:uid="{00000000-0005-0000-0000-0000292A0000}"/>
    <cellStyle name="Accent4 3 3" xfId="10800" xr:uid="{00000000-0005-0000-0000-00002A2A0000}"/>
    <cellStyle name="Accent4 3 3 2" xfId="10801" xr:uid="{00000000-0005-0000-0000-00002B2A0000}"/>
    <cellStyle name="Accent4 4" xfId="10802" xr:uid="{00000000-0005-0000-0000-00002C2A0000}"/>
    <cellStyle name="Accent4 4 2" xfId="10803" xr:uid="{00000000-0005-0000-0000-00002D2A0000}"/>
    <cellStyle name="Accent4 5" xfId="10804" xr:uid="{00000000-0005-0000-0000-00002E2A0000}"/>
    <cellStyle name="Accent4 6" xfId="10805" xr:uid="{00000000-0005-0000-0000-00002F2A0000}"/>
    <cellStyle name="Accent4 7" xfId="10806" xr:uid="{00000000-0005-0000-0000-0000302A0000}"/>
    <cellStyle name="Accent5 2" xfId="10807" xr:uid="{00000000-0005-0000-0000-0000312A0000}"/>
    <cellStyle name="Accent5 2 2" xfId="10808" xr:uid="{00000000-0005-0000-0000-0000322A0000}"/>
    <cellStyle name="Accent5 2 2 2" xfId="10809" xr:uid="{00000000-0005-0000-0000-0000332A0000}"/>
    <cellStyle name="Accent5 2 2 3" xfId="10810" xr:uid="{00000000-0005-0000-0000-0000342A0000}"/>
    <cellStyle name="Accent5 2 3" xfId="10811" xr:uid="{00000000-0005-0000-0000-0000352A0000}"/>
    <cellStyle name="Accent5 2 3 2" xfId="10812" xr:uid="{00000000-0005-0000-0000-0000362A0000}"/>
    <cellStyle name="Accent5 2 4" xfId="10813" xr:uid="{00000000-0005-0000-0000-0000372A0000}"/>
    <cellStyle name="Accent5 2 4 2" xfId="10814" xr:uid="{00000000-0005-0000-0000-0000382A0000}"/>
    <cellStyle name="Accent5 3" xfId="10815" xr:uid="{00000000-0005-0000-0000-0000392A0000}"/>
    <cellStyle name="Accent5 3 2" xfId="10816" xr:uid="{00000000-0005-0000-0000-00003A2A0000}"/>
    <cellStyle name="Accent5 3 2 2" xfId="10817" xr:uid="{00000000-0005-0000-0000-00003B2A0000}"/>
    <cellStyle name="Accent5 3 3" xfId="10818" xr:uid="{00000000-0005-0000-0000-00003C2A0000}"/>
    <cellStyle name="Accent5 4" xfId="10819" xr:uid="{00000000-0005-0000-0000-00003D2A0000}"/>
    <cellStyle name="Accent5 4 2" xfId="10820" xr:uid="{00000000-0005-0000-0000-00003E2A0000}"/>
    <cellStyle name="Accent5 5" xfId="10821" xr:uid="{00000000-0005-0000-0000-00003F2A0000}"/>
    <cellStyle name="Accent5 6" xfId="10822" xr:uid="{00000000-0005-0000-0000-0000402A0000}"/>
    <cellStyle name="Accent5 7" xfId="10823" xr:uid="{00000000-0005-0000-0000-0000412A0000}"/>
    <cellStyle name="Accent6 2" xfId="10824" xr:uid="{00000000-0005-0000-0000-0000422A0000}"/>
    <cellStyle name="Accent6 2 2" xfId="10825" xr:uid="{00000000-0005-0000-0000-0000432A0000}"/>
    <cellStyle name="Accent6 2 2 2" xfId="10826" xr:uid="{00000000-0005-0000-0000-0000442A0000}"/>
    <cellStyle name="Accent6 2 2 3" xfId="10827" xr:uid="{00000000-0005-0000-0000-0000452A0000}"/>
    <cellStyle name="Accent6 2 3" xfId="10828" xr:uid="{00000000-0005-0000-0000-0000462A0000}"/>
    <cellStyle name="Accent6 2 3 2" xfId="10829" xr:uid="{00000000-0005-0000-0000-0000472A0000}"/>
    <cellStyle name="Accent6 2 4" xfId="10830" xr:uid="{00000000-0005-0000-0000-0000482A0000}"/>
    <cellStyle name="Accent6 2 4 2" xfId="10831" xr:uid="{00000000-0005-0000-0000-0000492A0000}"/>
    <cellStyle name="Accent6 3" xfId="10832" xr:uid="{00000000-0005-0000-0000-00004A2A0000}"/>
    <cellStyle name="Accent6 3 2" xfId="10833" xr:uid="{00000000-0005-0000-0000-00004B2A0000}"/>
    <cellStyle name="Accent6 3 2 2" xfId="10834" xr:uid="{00000000-0005-0000-0000-00004C2A0000}"/>
    <cellStyle name="Accent6 3 3" xfId="10835" xr:uid="{00000000-0005-0000-0000-00004D2A0000}"/>
    <cellStyle name="Accent6 3 3 2" xfId="10836" xr:uid="{00000000-0005-0000-0000-00004E2A0000}"/>
    <cellStyle name="Accent6 4" xfId="10837" xr:uid="{00000000-0005-0000-0000-00004F2A0000}"/>
    <cellStyle name="Accent6 4 2" xfId="10838" xr:uid="{00000000-0005-0000-0000-0000502A0000}"/>
    <cellStyle name="Accent6 5" xfId="10839" xr:uid="{00000000-0005-0000-0000-0000512A0000}"/>
    <cellStyle name="Accent6 6" xfId="10840" xr:uid="{00000000-0005-0000-0000-0000522A0000}"/>
    <cellStyle name="Accent6 7" xfId="10841" xr:uid="{00000000-0005-0000-0000-0000532A0000}"/>
    <cellStyle name="Bad 2" xfId="10842" xr:uid="{00000000-0005-0000-0000-0000542A0000}"/>
    <cellStyle name="Bad 2 2" xfId="10843" xr:uid="{00000000-0005-0000-0000-0000552A0000}"/>
    <cellStyle name="Bad 2 2 2" xfId="10844" xr:uid="{00000000-0005-0000-0000-0000562A0000}"/>
    <cellStyle name="Bad 2 2 3" xfId="10845" xr:uid="{00000000-0005-0000-0000-0000572A0000}"/>
    <cellStyle name="Bad 2 3" xfId="10846" xr:uid="{00000000-0005-0000-0000-0000582A0000}"/>
    <cellStyle name="Bad 2 3 2" xfId="10847" xr:uid="{00000000-0005-0000-0000-0000592A0000}"/>
    <cellStyle name="Bad 2 4" xfId="10848" xr:uid="{00000000-0005-0000-0000-00005A2A0000}"/>
    <cellStyle name="Bad 2 4 2" xfId="10849" xr:uid="{00000000-0005-0000-0000-00005B2A0000}"/>
    <cellStyle name="Bad 3" xfId="10850" xr:uid="{00000000-0005-0000-0000-00005C2A0000}"/>
    <cellStyle name="Bad 3 2" xfId="10851" xr:uid="{00000000-0005-0000-0000-00005D2A0000}"/>
    <cellStyle name="Bad 3 2 2" xfId="10852" xr:uid="{00000000-0005-0000-0000-00005E2A0000}"/>
    <cellStyle name="Bad 3 3" xfId="10853" xr:uid="{00000000-0005-0000-0000-00005F2A0000}"/>
    <cellStyle name="Bad 3 3 2" xfId="10854" xr:uid="{00000000-0005-0000-0000-0000602A0000}"/>
    <cellStyle name="Bad 4" xfId="10855" xr:uid="{00000000-0005-0000-0000-0000612A0000}"/>
    <cellStyle name="Bad 4 2" xfId="10856" xr:uid="{00000000-0005-0000-0000-0000622A0000}"/>
    <cellStyle name="Bad 5" xfId="10857" xr:uid="{00000000-0005-0000-0000-0000632A0000}"/>
    <cellStyle name="Bad 6" xfId="10858" xr:uid="{00000000-0005-0000-0000-0000642A0000}"/>
    <cellStyle name="Bad 7" xfId="10859" xr:uid="{00000000-0005-0000-0000-0000652A0000}"/>
    <cellStyle name="C00A" xfId="10860" xr:uid="{00000000-0005-0000-0000-0000662A0000}"/>
    <cellStyle name="C00B" xfId="10861" xr:uid="{00000000-0005-0000-0000-0000672A0000}"/>
    <cellStyle name="C00L" xfId="10862" xr:uid="{00000000-0005-0000-0000-0000682A0000}"/>
    <cellStyle name="C00L 2" xfId="10863" xr:uid="{00000000-0005-0000-0000-0000692A0000}"/>
    <cellStyle name="C01A" xfId="10864" xr:uid="{00000000-0005-0000-0000-00006A2A0000}"/>
    <cellStyle name="C01B" xfId="10865" xr:uid="{00000000-0005-0000-0000-00006B2A0000}"/>
    <cellStyle name="C01B 2" xfId="10866" xr:uid="{00000000-0005-0000-0000-00006C2A0000}"/>
    <cellStyle name="C01H" xfId="10867" xr:uid="{00000000-0005-0000-0000-00006D2A0000}"/>
    <cellStyle name="C01L" xfId="10868" xr:uid="{00000000-0005-0000-0000-00006E2A0000}"/>
    <cellStyle name="C02A" xfId="10869" xr:uid="{00000000-0005-0000-0000-00006F2A0000}"/>
    <cellStyle name="C02A 2" xfId="10870" xr:uid="{00000000-0005-0000-0000-0000702A0000}"/>
    <cellStyle name="C02A 2 2" xfId="10871" xr:uid="{00000000-0005-0000-0000-0000712A0000}"/>
    <cellStyle name="C02A 2 2 2" xfId="10872" xr:uid="{00000000-0005-0000-0000-0000722A0000}"/>
    <cellStyle name="C02A 2 3" xfId="10873" xr:uid="{00000000-0005-0000-0000-0000732A0000}"/>
    <cellStyle name="C02A 2 4" xfId="10874" xr:uid="{00000000-0005-0000-0000-0000742A0000}"/>
    <cellStyle name="C02A 2 5" xfId="10875" xr:uid="{00000000-0005-0000-0000-0000752A0000}"/>
    <cellStyle name="C02A 2 6" xfId="10876" xr:uid="{00000000-0005-0000-0000-0000762A0000}"/>
    <cellStyle name="C02A 3" xfId="10877" xr:uid="{00000000-0005-0000-0000-0000772A0000}"/>
    <cellStyle name="C02A 3 2" xfId="10878" xr:uid="{00000000-0005-0000-0000-0000782A0000}"/>
    <cellStyle name="C02A 3 2 2" xfId="10879" xr:uid="{00000000-0005-0000-0000-0000792A0000}"/>
    <cellStyle name="C02A 3 3" xfId="10880" xr:uid="{00000000-0005-0000-0000-00007A2A0000}"/>
    <cellStyle name="C02A 3 4" xfId="10881" xr:uid="{00000000-0005-0000-0000-00007B2A0000}"/>
    <cellStyle name="C02A 4" xfId="10882" xr:uid="{00000000-0005-0000-0000-00007C2A0000}"/>
    <cellStyle name="C02A 4 2" xfId="10883" xr:uid="{00000000-0005-0000-0000-00007D2A0000}"/>
    <cellStyle name="C02A 4 3" xfId="10884" xr:uid="{00000000-0005-0000-0000-00007E2A0000}"/>
    <cellStyle name="C02A 4 4" xfId="10885" xr:uid="{00000000-0005-0000-0000-00007F2A0000}"/>
    <cellStyle name="C02A 5" xfId="10886" xr:uid="{00000000-0005-0000-0000-0000802A0000}"/>
    <cellStyle name="C02B" xfId="10887" xr:uid="{00000000-0005-0000-0000-0000812A0000}"/>
    <cellStyle name="C02B 2" xfId="10888" xr:uid="{00000000-0005-0000-0000-0000822A0000}"/>
    <cellStyle name="C02H" xfId="10889" xr:uid="{00000000-0005-0000-0000-0000832A0000}"/>
    <cellStyle name="C02L" xfId="10890" xr:uid="{00000000-0005-0000-0000-0000842A0000}"/>
    <cellStyle name="C03A" xfId="10891" xr:uid="{00000000-0005-0000-0000-0000852A0000}"/>
    <cellStyle name="C03B" xfId="10892" xr:uid="{00000000-0005-0000-0000-0000862A0000}"/>
    <cellStyle name="C03B 2" xfId="10893" xr:uid="{00000000-0005-0000-0000-0000872A0000}"/>
    <cellStyle name="C03H" xfId="10894" xr:uid="{00000000-0005-0000-0000-0000882A0000}"/>
    <cellStyle name="C03L" xfId="10895" xr:uid="{00000000-0005-0000-0000-0000892A0000}"/>
    <cellStyle name="C04A" xfId="10896" xr:uid="{00000000-0005-0000-0000-00008A2A0000}"/>
    <cellStyle name="C04A 2" xfId="10897" xr:uid="{00000000-0005-0000-0000-00008B2A0000}"/>
    <cellStyle name="C04B" xfId="10898" xr:uid="{00000000-0005-0000-0000-00008C2A0000}"/>
    <cellStyle name="C04B 2" xfId="10899" xr:uid="{00000000-0005-0000-0000-00008D2A0000}"/>
    <cellStyle name="C04H" xfId="10900" xr:uid="{00000000-0005-0000-0000-00008E2A0000}"/>
    <cellStyle name="C04L" xfId="10901" xr:uid="{00000000-0005-0000-0000-00008F2A0000}"/>
    <cellStyle name="C05A" xfId="10902" xr:uid="{00000000-0005-0000-0000-0000902A0000}"/>
    <cellStyle name="C05B" xfId="10903" xr:uid="{00000000-0005-0000-0000-0000912A0000}"/>
    <cellStyle name="C05B 2" xfId="10904" xr:uid="{00000000-0005-0000-0000-0000922A0000}"/>
    <cellStyle name="C05H" xfId="10905" xr:uid="{00000000-0005-0000-0000-0000932A0000}"/>
    <cellStyle name="C05L" xfId="10906" xr:uid="{00000000-0005-0000-0000-0000942A0000}"/>
    <cellStyle name="C06A" xfId="10907" xr:uid="{00000000-0005-0000-0000-0000952A0000}"/>
    <cellStyle name="C06B" xfId="10908" xr:uid="{00000000-0005-0000-0000-0000962A0000}"/>
    <cellStyle name="C06B 2" xfId="10909" xr:uid="{00000000-0005-0000-0000-0000972A0000}"/>
    <cellStyle name="C06H" xfId="10910" xr:uid="{00000000-0005-0000-0000-0000982A0000}"/>
    <cellStyle name="C06L" xfId="10911" xr:uid="{00000000-0005-0000-0000-0000992A0000}"/>
    <cellStyle name="C07A" xfId="10912" xr:uid="{00000000-0005-0000-0000-00009A2A0000}"/>
    <cellStyle name="C07B" xfId="10913" xr:uid="{00000000-0005-0000-0000-00009B2A0000}"/>
    <cellStyle name="C07H" xfId="10914" xr:uid="{00000000-0005-0000-0000-00009C2A0000}"/>
    <cellStyle name="C07L" xfId="10915" xr:uid="{00000000-0005-0000-0000-00009D2A0000}"/>
    <cellStyle name="Calculation 2" xfId="10916" xr:uid="{00000000-0005-0000-0000-00009E2A0000}"/>
    <cellStyle name="Calculation 2 2" xfId="10917" xr:uid="{00000000-0005-0000-0000-00009F2A0000}"/>
    <cellStyle name="Calculation 2 2 2" xfId="10918" xr:uid="{00000000-0005-0000-0000-0000A02A0000}"/>
    <cellStyle name="Calculation 2 2 3" xfId="10919" xr:uid="{00000000-0005-0000-0000-0000A12A0000}"/>
    <cellStyle name="Calculation 2 2 4" xfId="10920" xr:uid="{00000000-0005-0000-0000-0000A22A0000}"/>
    <cellStyle name="Calculation 2 2 4 2" xfId="10921" xr:uid="{00000000-0005-0000-0000-0000A32A0000}"/>
    <cellStyle name="Calculation 2 2 5" xfId="10922" xr:uid="{00000000-0005-0000-0000-0000A42A0000}"/>
    <cellStyle name="Calculation 2 2 5 2" xfId="10923" xr:uid="{00000000-0005-0000-0000-0000A52A0000}"/>
    <cellStyle name="Calculation 2 2 6" xfId="10924" xr:uid="{00000000-0005-0000-0000-0000A62A0000}"/>
    <cellStyle name="Calculation 2 3" xfId="10925" xr:uid="{00000000-0005-0000-0000-0000A72A0000}"/>
    <cellStyle name="Calculation 2 3 2" xfId="10926" xr:uid="{00000000-0005-0000-0000-0000A82A0000}"/>
    <cellStyle name="Calculation 2 3 2 2" xfId="10927" xr:uid="{00000000-0005-0000-0000-0000A92A0000}"/>
    <cellStyle name="Calculation 2 3 2 2 2" xfId="10928" xr:uid="{00000000-0005-0000-0000-0000AA2A0000}"/>
    <cellStyle name="Calculation 2 3 2 3" xfId="10929" xr:uid="{00000000-0005-0000-0000-0000AB2A0000}"/>
    <cellStyle name="Calculation 2 3 2 4" xfId="10930" xr:uid="{00000000-0005-0000-0000-0000AC2A0000}"/>
    <cellStyle name="Calculation 2 3 2 5" xfId="10931" xr:uid="{00000000-0005-0000-0000-0000AD2A0000}"/>
    <cellStyle name="Calculation 2 3 2 6" xfId="10932" xr:uid="{00000000-0005-0000-0000-0000AE2A0000}"/>
    <cellStyle name="Calculation 2 4" xfId="10933" xr:uid="{00000000-0005-0000-0000-0000AF2A0000}"/>
    <cellStyle name="Calculation 2 4 2" xfId="10934" xr:uid="{00000000-0005-0000-0000-0000B02A0000}"/>
    <cellStyle name="Calculation 2 4 2 2" xfId="10935" xr:uid="{00000000-0005-0000-0000-0000B12A0000}"/>
    <cellStyle name="Calculation 2 4 3" xfId="10936" xr:uid="{00000000-0005-0000-0000-0000B22A0000}"/>
    <cellStyle name="Calculation 2 4 4" xfId="10937" xr:uid="{00000000-0005-0000-0000-0000B32A0000}"/>
    <cellStyle name="Calculation 2 4 5" xfId="10938" xr:uid="{00000000-0005-0000-0000-0000B42A0000}"/>
    <cellStyle name="Calculation 2 4 6" xfId="10939" xr:uid="{00000000-0005-0000-0000-0000B52A0000}"/>
    <cellStyle name="Calculation 2 5" xfId="10940" xr:uid="{00000000-0005-0000-0000-0000B62A0000}"/>
    <cellStyle name="Calculation 2 5 2" xfId="10941" xr:uid="{00000000-0005-0000-0000-0000B72A0000}"/>
    <cellStyle name="Calculation 2 6" xfId="10942" xr:uid="{00000000-0005-0000-0000-0000B82A0000}"/>
    <cellStyle name="Calculation 2 6 2" xfId="10943" xr:uid="{00000000-0005-0000-0000-0000B92A0000}"/>
    <cellStyle name="Calculation 2 6 3" xfId="10944" xr:uid="{00000000-0005-0000-0000-0000BA2A0000}"/>
    <cellStyle name="Calculation 3" xfId="10945" xr:uid="{00000000-0005-0000-0000-0000BB2A0000}"/>
    <cellStyle name="Calculation 3 2" xfId="10946" xr:uid="{00000000-0005-0000-0000-0000BC2A0000}"/>
    <cellStyle name="Calculation 3 2 2" xfId="10947" xr:uid="{00000000-0005-0000-0000-0000BD2A0000}"/>
    <cellStyle name="Calculation 3 3" xfId="10948" xr:uid="{00000000-0005-0000-0000-0000BE2A0000}"/>
    <cellStyle name="Calculation 3 3 2" xfId="10949" xr:uid="{00000000-0005-0000-0000-0000BF2A0000}"/>
    <cellStyle name="Calculation 4" xfId="10950" xr:uid="{00000000-0005-0000-0000-0000C02A0000}"/>
    <cellStyle name="Calculation 4 2" xfId="10951" xr:uid="{00000000-0005-0000-0000-0000C12A0000}"/>
    <cellStyle name="Calculation 5" xfId="10952" xr:uid="{00000000-0005-0000-0000-0000C22A0000}"/>
    <cellStyle name="Calculation 6" xfId="10953" xr:uid="{00000000-0005-0000-0000-0000C32A0000}"/>
    <cellStyle name="Calculation 7" xfId="10954" xr:uid="{00000000-0005-0000-0000-0000C42A0000}"/>
    <cellStyle name="CCS_Normal" xfId="10955" xr:uid="{00000000-0005-0000-0000-0000C52A0000}"/>
    <cellStyle name="Check Cell 2" xfId="10956" xr:uid="{00000000-0005-0000-0000-0000C62A0000}"/>
    <cellStyle name="Check Cell 2 2" xfId="10957" xr:uid="{00000000-0005-0000-0000-0000C72A0000}"/>
    <cellStyle name="Check Cell 2 2 2" xfId="10958" xr:uid="{00000000-0005-0000-0000-0000C82A0000}"/>
    <cellStyle name="Check Cell 2 2 3" xfId="10959" xr:uid="{00000000-0005-0000-0000-0000C92A0000}"/>
    <cellStyle name="Check Cell 2 3" xfId="10960" xr:uid="{00000000-0005-0000-0000-0000CA2A0000}"/>
    <cellStyle name="Check Cell 2 3 2" xfId="10961" xr:uid="{00000000-0005-0000-0000-0000CB2A0000}"/>
    <cellStyle name="Check Cell 2 4" xfId="10962" xr:uid="{00000000-0005-0000-0000-0000CC2A0000}"/>
    <cellStyle name="Check Cell 2 4 2" xfId="10963" xr:uid="{00000000-0005-0000-0000-0000CD2A0000}"/>
    <cellStyle name="Check Cell 3" xfId="10964" xr:uid="{00000000-0005-0000-0000-0000CE2A0000}"/>
    <cellStyle name="Check Cell 3 2" xfId="10965" xr:uid="{00000000-0005-0000-0000-0000CF2A0000}"/>
    <cellStyle name="Check Cell 3 2 2" xfId="10966" xr:uid="{00000000-0005-0000-0000-0000D02A0000}"/>
    <cellStyle name="Check Cell 3 3" xfId="10967" xr:uid="{00000000-0005-0000-0000-0000D12A0000}"/>
    <cellStyle name="Check Cell 4" xfId="10968" xr:uid="{00000000-0005-0000-0000-0000D22A0000}"/>
    <cellStyle name="Check Cell 4 2" xfId="10969" xr:uid="{00000000-0005-0000-0000-0000D32A0000}"/>
    <cellStyle name="Check Cell 5" xfId="10970" xr:uid="{00000000-0005-0000-0000-0000D42A0000}"/>
    <cellStyle name="Check Cell 6" xfId="10971" xr:uid="{00000000-0005-0000-0000-0000D52A0000}"/>
    <cellStyle name="Check Cell 7" xfId="10972" xr:uid="{00000000-0005-0000-0000-0000D62A0000}"/>
    <cellStyle name="Comma" xfId="19994" builtinId="3"/>
    <cellStyle name="Comma 10" xfId="10973" xr:uid="{00000000-0005-0000-0000-0000D72A0000}"/>
    <cellStyle name="Comma 11" xfId="10974" xr:uid="{00000000-0005-0000-0000-0000D82A0000}"/>
    <cellStyle name="Comma 11 2" xfId="10975" xr:uid="{00000000-0005-0000-0000-0000D92A0000}"/>
    <cellStyle name="Comma 11 2 2" xfId="10976" xr:uid="{00000000-0005-0000-0000-0000DA2A0000}"/>
    <cellStyle name="Comma 11 2 2 2" xfId="10977" xr:uid="{00000000-0005-0000-0000-0000DB2A0000}"/>
    <cellStyle name="Comma 11 2 2 2 2" xfId="10978" xr:uid="{00000000-0005-0000-0000-0000DC2A0000}"/>
    <cellStyle name="Comma 11 2 2 3" xfId="10979" xr:uid="{00000000-0005-0000-0000-0000DD2A0000}"/>
    <cellStyle name="Comma 11 2 2 3 2" xfId="10980" xr:uid="{00000000-0005-0000-0000-0000DE2A0000}"/>
    <cellStyle name="Comma 11 2 2 4" xfId="10981" xr:uid="{00000000-0005-0000-0000-0000DF2A0000}"/>
    <cellStyle name="Comma 11 2 3" xfId="10982" xr:uid="{00000000-0005-0000-0000-0000E02A0000}"/>
    <cellStyle name="Comma 11 2 3 2" xfId="10983" xr:uid="{00000000-0005-0000-0000-0000E12A0000}"/>
    <cellStyle name="Comma 11 2 4" xfId="10984" xr:uid="{00000000-0005-0000-0000-0000E22A0000}"/>
    <cellStyle name="Comma 11 2 4 2" xfId="10985" xr:uid="{00000000-0005-0000-0000-0000E32A0000}"/>
    <cellStyle name="Comma 11 2 5" xfId="10986" xr:uid="{00000000-0005-0000-0000-0000E42A0000}"/>
    <cellStyle name="Comma 11 2 5 2" xfId="10987" xr:uid="{00000000-0005-0000-0000-0000E52A0000}"/>
    <cellStyle name="Comma 11 2 6" xfId="10988" xr:uid="{00000000-0005-0000-0000-0000E62A0000}"/>
    <cellStyle name="Comma 11 2 6 2" xfId="10989" xr:uid="{00000000-0005-0000-0000-0000E72A0000}"/>
    <cellStyle name="Comma 11 2 7" xfId="10990" xr:uid="{00000000-0005-0000-0000-0000E82A0000}"/>
    <cellStyle name="Comma 11 3" xfId="10991" xr:uid="{00000000-0005-0000-0000-0000E92A0000}"/>
    <cellStyle name="Comma 11 3 2" xfId="10992" xr:uid="{00000000-0005-0000-0000-0000EA2A0000}"/>
    <cellStyle name="Comma 11 3 2 2" xfId="10993" xr:uid="{00000000-0005-0000-0000-0000EB2A0000}"/>
    <cellStyle name="Comma 11 3 3" xfId="10994" xr:uid="{00000000-0005-0000-0000-0000EC2A0000}"/>
    <cellStyle name="Comma 11 3 3 2" xfId="10995" xr:uid="{00000000-0005-0000-0000-0000ED2A0000}"/>
    <cellStyle name="Comma 11 3 4" xfId="10996" xr:uid="{00000000-0005-0000-0000-0000EE2A0000}"/>
    <cellStyle name="Comma 11 3 4 2" xfId="10997" xr:uid="{00000000-0005-0000-0000-0000EF2A0000}"/>
    <cellStyle name="Comma 11 3 5" xfId="10998" xr:uid="{00000000-0005-0000-0000-0000F02A0000}"/>
    <cellStyle name="Comma 11 3 5 2" xfId="10999" xr:uid="{00000000-0005-0000-0000-0000F12A0000}"/>
    <cellStyle name="Comma 11 3 6" xfId="11000" xr:uid="{00000000-0005-0000-0000-0000F22A0000}"/>
    <cellStyle name="Comma 11 4" xfId="11001" xr:uid="{00000000-0005-0000-0000-0000F32A0000}"/>
    <cellStyle name="Comma 11 4 2" xfId="11002" xr:uid="{00000000-0005-0000-0000-0000F42A0000}"/>
    <cellStyle name="Comma 11 4 2 2" xfId="11003" xr:uid="{00000000-0005-0000-0000-0000F52A0000}"/>
    <cellStyle name="Comma 11 4 3" xfId="11004" xr:uid="{00000000-0005-0000-0000-0000F62A0000}"/>
    <cellStyle name="Comma 11 5" xfId="11005" xr:uid="{00000000-0005-0000-0000-0000F72A0000}"/>
    <cellStyle name="Comma 11 5 2" xfId="11006" xr:uid="{00000000-0005-0000-0000-0000F82A0000}"/>
    <cellStyle name="Comma 11 6" xfId="11007" xr:uid="{00000000-0005-0000-0000-0000F92A0000}"/>
    <cellStyle name="Comma 11 6 2" xfId="11008" xr:uid="{00000000-0005-0000-0000-0000FA2A0000}"/>
    <cellStyle name="Comma 11 7" xfId="11009" xr:uid="{00000000-0005-0000-0000-0000FB2A0000}"/>
    <cellStyle name="Comma 11 7 2" xfId="11010" xr:uid="{00000000-0005-0000-0000-0000FC2A0000}"/>
    <cellStyle name="Comma 11 8" xfId="11011" xr:uid="{00000000-0005-0000-0000-0000FD2A0000}"/>
    <cellStyle name="Comma 12" xfId="11012" xr:uid="{00000000-0005-0000-0000-0000FE2A0000}"/>
    <cellStyle name="Comma 12 2" xfId="11013" xr:uid="{00000000-0005-0000-0000-0000FF2A0000}"/>
    <cellStyle name="Comma 13" xfId="11014" xr:uid="{00000000-0005-0000-0000-0000002B0000}"/>
    <cellStyle name="Comma 13 2" xfId="11015" xr:uid="{00000000-0005-0000-0000-0000012B0000}"/>
    <cellStyle name="Comma 13 2 2" xfId="11016" xr:uid="{00000000-0005-0000-0000-0000022B0000}"/>
    <cellStyle name="Comma 13 2 2 2" xfId="11017" xr:uid="{00000000-0005-0000-0000-0000032B0000}"/>
    <cellStyle name="Comma 13 2 2 2 2" xfId="11018" xr:uid="{00000000-0005-0000-0000-0000042B0000}"/>
    <cellStyle name="Comma 13 2 2 3" xfId="11019" xr:uid="{00000000-0005-0000-0000-0000052B0000}"/>
    <cellStyle name="Comma 13 2 3" xfId="11020" xr:uid="{00000000-0005-0000-0000-0000062B0000}"/>
    <cellStyle name="Comma 13 2 3 2" xfId="11021" xr:uid="{00000000-0005-0000-0000-0000072B0000}"/>
    <cellStyle name="Comma 13 2 4" xfId="11022" xr:uid="{00000000-0005-0000-0000-0000082B0000}"/>
    <cellStyle name="Comma 13 3" xfId="11023" xr:uid="{00000000-0005-0000-0000-0000092B0000}"/>
    <cellStyle name="Comma 13 3 2" xfId="11024" xr:uid="{00000000-0005-0000-0000-00000A2B0000}"/>
    <cellStyle name="Comma 13 3 2 2" xfId="11025" xr:uid="{00000000-0005-0000-0000-00000B2B0000}"/>
    <cellStyle name="Comma 13 3 3" xfId="11026" xr:uid="{00000000-0005-0000-0000-00000C2B0000}"/>
    <cellStyle name="Comma 13 4" xfId="11027" xr:uid="{00000000-0005-0000-0000-00000D2B0000}"/>
    <cellStyle name="Comma 13 4 2" xfId="11028" xr:uid="{00000000-0005-0000-0000-00000E2B0000}"/>
    <cellStyle name="Comma 13 5" xfId="11029" xr:uid="{00000000-0005-0000-0000-00000F2B0000}"/>
    <cellStyle name="Comma 14" xfId="11030" xr:uid="{00000000-0005-0000-0000-0000102B0000}"/>
    <cellStyle name="Comma 14 2" xfId="11031" xr:uid="{00000000-0005-0000-0000-0000112B0000}"/>
    <cellStyle name="Comma 14 2 2" xfId="11032" xr:uid="{00000000-0005-0000-0000-0000122B0000}"/>
    <cellStyle name="Comma 14 2 2 2" xfId="11033" xr:uid="{00000000-0005-0000-0000-0000132B0000}"/>
    <cellStyle name="Comma 14 2 2 2 2" xfId="11034" xr:uid="{00000000-0005-0000-0000-0000142B0000}"/>
    <cellStyle name="Comma 14 2 2 3" xfId="11035" xr:uid="{00000000-0005-0000-0000-0000152B0000}"/>
    <cellStyle name="Comma 14 2 3" xfId="11036" xr:uid="{00000000-0005-0000-0000-0000162B0000}"/>
    <cellStyle name="Comma 14 2 3 2" xfId="11037" xr:uid="{00000000-0005-0000-0000-0000172B0000}"/>
    <cellStyle name="Comma 14 2 4" xfId="11038" xr:uid="{00000000-0005-0000-0000-0000182B0000}"/>
    <cellStyle name="Comma 14 3" xfId="11039" xr:uid="{00000000-0005-0000-0000-0000192B0000}"/>
    <cellStyle name="Comma 14 3 2" xfId="11040" xr:uid="{00000000-0005-0000-0000-00001A2B0000}"/>
    <cellStyle name="Comma 14 3 2 2" xfId="11041" xr:uid="{00000000-0005-0000-0000-00001B2B0000}"/>
    <cellStyle name="Comma 14 3 3" xfId="11042" xr:uid="{00000000-0005-0000-0000-00001C2B0000}"/>
    <cellStyle name="Comma 14 4" xfId="11043" xr:uid="{00000000-0005-0000-0000-00001D2B0000}"/>
    <cellStyle name="Comma 14 4 2" xfId="11044" xr:uid="{00000000-0005-0000-0000-00001E2B0000}"/>
    <cellStyle name="Comma 14 5" xfId="11045" xr:uid="{00000000-0005-0000-0000-00001F2B0000}"/>
    <cellStyle name="Comma 15" xfId="11046" xr:uid="{00000000-0005-0000-0000-0000202B0000}"/>
    <cellStyle name="Comma 15 2" xfId="11047" xr:uid="{00000000-0005-0000-0000-0000212B0000}"/>
    <cellStyle name="Comma 15 2 2" xfId="11048" xr:uid="{00000000-0005-0000-0000-0000222B0000}"/>
    <cellStyle name="Comma 15 2 2 2" xfId="11049" xr:uid="{00000000-0005-0000-0000-0000232B0000}"/>
    <cellStyle name="Comma 15 2 2 2 2" xfId="11050" xr:uid="{00000000-0005-0000-0000-0000242B0000}"/>
    <cellStyle name="Comma 15 2 2 3" xfId="11051" xr:uid="{00000000-0005-0000-0000-0000252B0000}"/>
    <cellStyle name="Comma 15 2 3" xfId="11052" xr:uid="{00000000-0005-0000-0000-0000262B0000}"/>
    <cellStyle name="Comma 15 2 3 2" xfId="11053" xr:uid="{00000000-0005-0000-0000-0000272B0000}"/>
    <cellStyle name="Comma 15 2 4" xfId="11054" xr:uid="{00000000-0005-0000-0000-0000282B0000}"/>
    <cellStyle name="Comma 15 3" xfId="11055" xr:uid="{00000000-0005-0000-0000-0000292B0000}"/>
    <cellStyle name="Comma 15 3 2" xfId="11056" xr:uid="{00000000-0005-0000-0000-00002A2B0000}"/>
    <cellStyle name="Comma 15 3 2 2" xfId="11057" xr:uid="{00000000-0005-0000-0000-00002B2B0000}"/>
    <cellStyle name="Comma 15 3 3" xfId="11058" xr:uid="{00000000-0005-0000-0000-00002C2B0000}"/>
    <cellStyle name="Comma 15 4" xfId="11059" xr:uid="{00000000-0005-0000-0000-00002D2B0000}"/>
    <cellStyle name="Comma 15 4 2" xfId="11060" xr:uid="{00000000-0005-0000-0000-00002E2B0000}"/>
    <cellStyle name="Comma 15 5" xfId="11061" xr:uid="{00000000-0005-0000-0000-00002F2B0000}"/>
    <cellStyle name="Comma 16" xfId="11062" xr:uid="{00000000-0005-0000-0000-0000302B0000}"/>
    <cellStyle name="Comma 17" xfId="11063" xr:uid="{00000000-0005-0000-0000-0000312B0000}"/>
    <cellStyle name="Comma 17 2" xfId="11064" xr:uid="{00000000-0005-0000-0000-0000322B0000}"/>
    <cellStyle name="Comma 17 2 2" xfId="11065" xr:uid="{00000000-0005-0000-0000-0000332B0000}"/>
    <cellStyle name="Comma 17 2 2 2" xfId="11066" xr:uid="{00000000-0005-0000-0000-0000342B0000}"/>
    <cellStyle name="Comma 17 2 3" xfId="11067" xr:uid="{00000000-0005-0000-0000-0000352B0000}"/>
    <cellStyle name="Comma 17 3" xfId="11068" xr:uid="{00000000-0005-0000-0000-0000362B0000}"/>
    <cellStyle name="Comma 17 3 2" xfId="11069" xr:uid="{00000000-0005-0000-0000-0000372B0000}"/>
    <cellStyle name="Comma 17 4" xfId="11070" xr:uid="{00000000-0005-0000-0000-0000382B0000}"/>
    <cellStyle name="Comma 18" xfId="11071" xr:uid="{00000000-0005-0000-0000-0000392B0000}"/>
    <cellStyle name="Comma 18 2" xfId="11072" xr:uid="{00000000-0005-0000-0000-00003A2B0000}"/>
    <cellStyle name="Comma 18 2 2" xfId="11073" xr:uid="{00000000-0005-0000-0000-00003B2B0000}"/>
    <cellStyle name="Comma 18 2 2 2" xfId="11074" xr:uid="{00000000-0005-0000-0000-00003C2B0000}"/>
    <cellStyle name="Comma 18 2 3" xfId="11075" xr:uid="{00000000-0005-0000-0000-00003D2B0000}"/>
    <cellStyle name="Comma 18 3" xfId="11076" xr:uid="{00000000-0005-0000-0000-00003E2B0000}"/>
    <cellStyle name="Comma 18 3 2" xfId="11077" xr:uid="{00000000-0005-0000-0000-00003F2B0000}"/>
    <cellStyle name="Comma 18 4" xfId="11078" xr:uid="{00000000-0005-0000-0000-0000402B0000}"/>
    <cellStyle name="Comma 19" xfId="11079" xr:uid="{00000000-0005-0000-0000-0000412B0000}"/>
    <cellStyle name="Comma 19 2" xfId="11080" xr:uid="{00000000-0005-0000-0000-0000422B0000}"/>
    <cellStyle name="Comma 19 3" xfId="11081" xr:uid="{00000000-0005-0000-0000-0000432B0000}"/>
    <cellStyle name="Comma 2" xfId="11082" xr:uid="{00000000-0005-0000-0000-0000442B0000}"/>
    <cellStyle name="Comma 2 2" xfId="11083" xr:uid="{00000000-0005-0000-0000-0000452B0000}"/>
    <cellStyle name="Comma 2 2 10" xfId="11084" xr:uid="{00000000-0005-0000-0000-0000462B0000}"/>
    <cellStyle name="Comma 2 2 10 2" xfId="11085" xr:uid="{00000000-0005-0000-0000-0000472B0000}"/>
    <cellStyle name="Comma 2 2 10 2 2" xfId="11086" xr:uid="{00000000-0005-0000-0000-0000482B0000}"/>
    <cellStyle name="Comma 2 2 10 3" xfId="11087" xr:uid="{00000000-0005-0000-0000-0000492B0000}"/>
    <cellStyle name="Comma 2 2 11" xfId="11088" xr:uid="{00000000-0005-0000-0000-00004A2B0000}"/>
    <cellStyle name="Comma 2 2 11 2" xfId="11089" xr:uid="{00000000-0005-0000-0000-00004B2B0000}"/>
    <cellStyle name="Comma 2 2 12" xfId="11090" xr:uid="{00000000-0005-0000-0000-00004C2B0000}"/>
    <cellStyle name="Comma 2 2 12 2" xfId="11091" xr:uid="{00000000-0005-0000-0000-00004D2B0000}"/>
    <cellStyle name="Comma 2 2 13" xfId="11092" xr:uid="{00000000-0005-0000-0000-00004E2B0000}"/>
    <cellStyle name="Comma 2 2 13 2" xfId="11093" xr:uid="{00000000-0005-0000-0000-00004F2B0000}"/>
    <cellStyle name="Comma 2 2 14" xfId="11094" xr:uid="{00000000-0005-0000-0000-0000502B0000}"/>
    <cellStyle name="Comma 2 2 2" xfId="11095" xr:uid="{00000000-0005-0000-0000-0000512B0000}"/>
    <cellStyle name="Comma 2 2 2 2" xfId="11096" xr:uid="{00000000-0005-0000-0000-0000522B0000}"/>
    <cellStyle name="Comma 2 2 3" xfId="11097" xr:uid="{00000000-0005-0000-0000-0000532B0000}"/>
    <cellStyle name="Comma 2 2 3 10" xfId="11098" xr:uid="{00000000-0005-0000-0000-0000542B0000}"/>
    <cellStyle name="Comma 2 2 3 10 2" xfId="11099" xr:uid="{00000000-0005-0000-0000-0000552B0000}"/>
    <cellStyle name="Comma 2 2 3 11" xfId="11100" xr:uid="{00000000-0005-0000-0000-0000562B0000}"/>
    <cellStyle name="Comma 2 2 3 2" xfId="11101" xr:uid="{00000000-0005-0000-0000-0000572B0000}"/>
    <cellStyle name="Comma 2 2 3 2 10" xfId="11102" xr:uid="{00000000-0005-0000-0000-0000582B0000}"/>
    <cellStyle name="Comma 2 2 3 2 2" xfId="11103" xr:uid="{00000000-0005-0000-0000-0000592B0000}"/>
    <cellStyle name="Comma 2 2 3 2 2 2" xfId="11104" xr:uid="{00000000-0005-0000-0000-00005A2B0000}"/>
    <cellStyle name="Comma 2 2 3 2 2 2 2" xfId="11105" xr:uid="{00000000-0005-0000-0000-00005B2B0000}"/>
    <cellStyle name="Comma 2 2 3 2 2 2 2 2" xfId="11106" xr:uid="{00000000-0005-0000-0000-00005C2B0000}"/>
    <cellStyle name="Comma 2 2 3 2 2 2 2 2 2" xfId="11107" xr:uid="{00000000-0005-0000-0000-00005D2B0000}"/>
    <cellStyle name="Comma 2 2 3 2 2 2 2 3" xfId="11108" xr:uid="{00000000-0005-0000-0000-00005E2B0000}"/>
    <cellStyle name="Comma 2 2 3 2 2 2 2 3 2" xfId="11109" xr:uid="{00000000-0005-0000-0000-00005F2B0000}"/>
    <cellStyle name="Comma 2 2 3 2 2 2 2 4" xfId="11110" xr:uid="{00000000-0005-0000-0000-0000602B0000}"/>
    <cellStyle name="Comma 2 2 3 2 2 2 3" xfId="11111" xr:uid="{00000000-0005-0000-0000-0000612B0000}"/>
    <cellStyle name="Comma 2 2 3 2 2 2 3 2" xfId="11112" xr:uid="{00000000-0005-0000-0000-0000622B0000}"/>
    <cellStyle name="Comma 2 2 3 2 2 2 4" xfId="11113" xr:uid="{00000000-0005-0000-0000-0000632B0000}"/>
    <cellStyle name="Comma 2 2 3 2 2 2 4 2" xfId="11114" xr:uid="{00000000-0005-0000-0000-0000642B0000}"/>
    <cellStyle name="Comma 2 2 3 2 2 2 5" xfId="11115" xr:uid="{00000000-0005-0000-0000-0000652B0000}"/>
    <cellStyle name="Comma 2 2 3 2 2 2 5 2" xfId="11116" xr:uid="{00000000-0005-0000-0000-0000662B0000}"/>
    <cellStyle name="Comma 2 2 3 2 2 2 6" xfId="11117" xr:uid="{00000000-0005-0000-0000-0000672B0000}"/>
    <cellStyle name="Comma 2 2 3 2 2 2 6 2" xfId="11118" xr:uid="{00000000-0005-0000-0000-0000682B0000}"/>
    <cellStyle name="Comma 2 2 3 2 2 2 7" xfId="11119" xr:uid="{00000000-0005-0000-0000-0000692B0000}"/>
    <cellStyle name="Comma 2 2 3 2 2 3" xfId="11120" xr:uid="{00000000-0005-0000-0000-00006A2B0000}"/>
    <cellStyle name="Comma 2 2 3 2 2 3 2" xfId="11121" xr:uid="{00000000-0005-0000-0000-00006B2B0000}"/>
    <cellStyle name="Comma 2 2 3 2 2 3 2 2" xfId="11122" xr:uid="{00000000-0005-0000-0000-00006C2B0000}"/>
    <cellStyle name="Comma 2 2 3 2 2 3 3" xfId="11123" xr:uid="{00000000-0005-0000-0000-00006D2B0000}"/>
    <cellStyle name="Comma 2 2 3 2 2 3 3 2" xfId="11124" xr:uid="{00000000-0005-0000-0000-00006E2B0000}"/>
    <cellStyle name="Comma 2 2 3 2 2 3 4" xfId="11125" xr:uid="{00000000-0005-0000-0000-00006F2B0000}"/>
    <cellStyle name="Comma 2 2 3 2 2 3 4 2" xfId="11126" xr:uid="{00000000-0005-0000-0000-0000702B0000}"/>
    <cellStyle name="Comma 2 2 3 2 2 3 5" xfId="11127" xr:uid="{00000000-0005-0000-0000-0000712B0000}"/>
    <cellStyle name="Comma 2 2 3 2 2 3 5 2" xfId="11128" xr:uid="{00000000-0005-0000-0000-0000722B0000}"/>
    <cellStyle name="Comma 2 2 3 2 2 3 6" xfId="11129" xr:uid="{00000000-0005-0000-0000-0000732B0000}"/>
    <cellStyle name="Comma 2 2 3 2 2 4" xfId="11130" xr:uid="{00000000-0005-0000-0000-0000742B0000}"/>
    <cellStyle name="Comma 2 2 3 2 2 4 2" xfId="11131" xr:uid="{00000000-0005-0000-0000-0000752B0000}"/>
    <cellStyle name="Comma 2 2 3 2 2 4 2 2" xfId="11132" xr:uid="{00000000-0005-0000-0000-0000762B0000}"/>
    <cellStyle name="Comma 2 2 3 2 2 4 3" xfId="11133" xr:uid="{00000000-0005-0000-0000-0000772B0000}"/>
    <cellStyle name="Comma 2 2 3 2 2 5" xfId="11134" xr:uid="{00000000-0005-0000-0000-0000782B0000}"/>
    <cellStyle name="Comma 2 2 3 2 2 5 2" xfId="11135" xr:uid="{00000000-0005-0000-0000-0000792B0000}"/>
    <cellStyle name="Comma 2 2 3 2 2 6" xfId="11136" xr:uid="{00000000-0005-0000-0000-00007A2B0000}"/>
    <cellStyle name="Comma 2 2 3 2 2 6 2" xfId="11137" xr:uid="{00000000-0005-0000-0000-00007B2B0000}"/>
    <cellStyle name="Comma 2 2 3 2 2 7" xfId="11138" xr:uid="{00000000-0005-0000-0000-00007C2B0000}"/>
    <cellStyle name="Comma 2 2 3 2 2 7 2" xfId="11139" xr:uid="{00000000-0005-0000-0000-00007D2B0000}"/>
    <cellStyle name="Comma 2 2 3 2 2 8" xfId="11140" xr:uid="{00000000-0005-0000-0000-00007E2B0000}"/>
    <cellStyle name="Comma 2 2 3 2 3" xfId="11141" xr:uid="{00000000-0005-0000-0000-00007F2B0000}"/>
    <cellStyle name="Comma 2 2 3 2 3 2" xfId="11142" xr:uid="{00000000-0005-0000-0000-0000802B0000}"/>
    <cellStyle name="Comma 2 2 3 2 3 2 2" xfId="11143" xr:uid="{00000000-0005-0000-0000-0000812B0000}"/>
    <cellStyle name="Comma 2 2 3 2 3 2 2 2" xfId="11144" xr:uid="{00000000-0005-0000-0000-0000822B0000}"/>
    <cellStyle name="Comma 2 2 3 2 3 2 2 2 2" xfId="11145" xr:uid="{00000000-0005-0000-0000-0000832B0000}"/>
    <cellStyle name="Comma 2 2 3 2 3 2 2 3" xfId="11146" xr:uid="{00000000-0005-0000-0000-0000842B0000}"/>
    <cellStyle name="Comma 2 2 3 2 3 2 2 3 2" xfId="11147" xr:uid="{00000000-0005-0000-0000-0000852B0000}"/>
    <cellStyle name="Comma 2 2 3 2 3 2 2 4" xfId="11148" xr:uid="{00000000-0005-0000-0000-0000862B0000}"/>
    <cellStyle name="Comma 2 2 3 2 3 2 3" xfId="11149" xr:uid="{00000000-0005-0000-0000-0000872B0000}"/>
    <cellStyle name="Comma 2 2 3 2 3 2 3 2" xfId="11150" xr:uid="{00000000-0005-0000-0000-0000882B0000}"/>
    <cellStyle name="Comma 2 2 3 2 3 2 4" xfId="11151" xr:uid="{00000000-0005-0000-0000-0000892B0000}"/>
    <cellStyle name="Comma 2 2 3 2 3 2 4 2" xfId="11152" xr:uid="{00000000-0005-0000-0000-00008A2B0000}"/>
    <cellStyle name="Comma 2 2 3 2 3 2 5" xfId="11153" xr:uid="{00000000-0005-0000-0000-00008B2B0000}"/>
    <cellStyle name="Comma 2 2 3 2 3 2 5 2" xfId="11154" xr:uid="{00000000-0005-0000-0000-00008C2B0000}"/>
    <cellStyle name="Comma 2 2 3 2 3 2 6" xfId="11155" xr:uid="{00000000-0005-0000-0000-00008D2B0000}"/>
    <cellStyle name="Comma 2 2 3 2 3 2 6 2" xfId="11156" xr:uid="{00000000-0005-0000-0000-00008E2B0000}"/>
    <cellStyle name="Comma 2 2 3 2 3 2 7" xfId="11157" xr:uid="{00000000-0005-0000-0000-00008F2B0000}"/>
    <cellStyle name="Comma 2 2 3 2 3 3" xfId="11158" xr:uid="{00000000-0005-0000-0000-0000902B0000}"/>
    <cellStyle name="Comma 2 2 3 2 3 3 2" xfId="11159" xr:uid="{00000000-0005-0000-0000-0000912B0000}"/>
    <cellStyle name="Comma 2 2 3 2 3 3 2 2" xfId="11160" xr:uid="{00000000-0005-0000-0000-0000922B0000}"/>
    <cellStyle name="Comma 2 2 3 2 3 3 3" xfId="11161" xr:uid="{00000000-0005-0000-0000-0000932B0000}"/>
    <cellStyle name="Comma 2 2 3 2 3 3 3 2" xfId="11162" xr:uid="{00000000-0005-0000-0000-0000942B0000}"/>
    <cellStyle name="Comma 2 2 3 2 3 3 4" xfId="11163" xr:uid="{00000000-0005-0000-0000-0000952B0000}"/>
    <cellStyle name="Comma 2 2 3 2 3 3 4 2" xfId="11164" xr:uid="{00000000-0005-0000-0000-0000962B0000}"/>
    <cellStyle name="Comma 2 2 3 2 3 3 5" xfId="11165" xr:uid="{00000000-0005-0000-0000-0000972B0000}"/>
    <cellStyle name="Comma 2 2 3 2 3 3 5 2" xfId="11166" xr:uid="{00000000-0005-0000-0000-0000982B0000}"/>
    <cellStyle name="Comma 2 2 3 2 3 3 6" xfId="11167" xr:uid="{00000000-0005-0000-0000-0000992B0000}"/>
    <cellStyle name="Comma 2 2 3 2 3 4" xfId="11168" xr:uid="{00000000-0005-0000-0000-00009A2B0000}"/>
    <cellStyle name="Comma 2 2 3 2 3 4 2" xfId="11169" xr:uid="{00000000-0005-0000-0000-00009B2B0000}"/>
    <cellStyle name="Comma 2 2 3 2 3 4 2 2" xfId="11170" xr:uid="{00000000-0005-0000-0000-00009C2B0000}"/>
    <cellStyle name="Comma 2 2 3 2 3 4 3" xfId="11171" xr:uid="{00000000-0005-0000-0000-00009D2B0000}"/>
    <cellStyle name="Comma 2 2 3 2 3 5" xfId="11172" xr:uid="{00000000-0005-0000-0000-00009E2B0000}"/>
    <cellStyle name="Comma 2 2 3 2 3 5 2" xfId="11173" xr:uid="{00000000-0005-0000-0000-00009F2B0000}"/>
    <cellStyle name="Comma 2 2 3 2 3 6" xfId="11174" xr:uid="{00000000-0005-0000-0000-0000A02B0000}"/>
    <cellStyle name="Comma 2 2 3 2 3 6 2" xfId="11175" xr:uid="{00000000-0005-0000-0000-0000A12B0000}"/>
    <cellStyle name="Comma 2 2 3 2 3 7" xfId="11176" xr:uid="{00000000-0005-0000-0000-0000A22B0000}"/>
    <cellStyle name="Comma 2 2 3 2 3 7 2" xfId="11177" xr:uid="{00000000-0005-0000-0000-0000A32B0000}"/>
    <cellStyle name="Comma 2 2 3 2 3 8" xfId="11178" xr:uid="{00000000-0005-0000-0000-0000A42B0000}"/>
    <cellStyle name="Comma 2 2 3 2 4" xfId="11179" xr:uid="{00000000-0005-0000-0000-0000A52B0000}"/>
    <cellStyle name="Comma 2 2 3 2 4 2" xfId="11180" xr:uid="{00000000-0005-0000-0000-0000A62B0000}"/>
    <cellStyle name="Comma 2 2 3 2 4 2 2" xfId="11181" xr:uid="{00000000-0005-0000-0000-0000A72B0000}"/>
    <cellStyle name="Comma 2 2 3 2 4 2 2 2" xfId="11182" xr:uid="{00000000-0005-0000-0000-0000A82B0000}"/>
    <cellStyle name="Comma 2 2 3 2 4 2 3" xfId="11183" xr:uid="{00000000-0005-0000-0000-0000A92B0000}"/>
    <cellStyle name="Comma 2 2 3 2 4 2 3 2" xfId="11184" xr:uid="{00000000-0005-0000-0000-0000AA2B0000}"/>
    <cellStyle name="Comma 2 2 3 2 4 2 4" xfId="11185" xr:uid="{00000000-0005-0000-0000-0000AB2B0000}"/>
    <cellStyle name="Comma 2 2 3 2 4 3" xfId="11186" xr:uid="{00000000-0005-0000-0000-0000AC2B0000}"/>
    <cellStyle name="Comma 2 2 3 2 4 3 2" xfId="11187" xr:uid="{00000000-0005-0000-0000-0000AD2B0000}"/>
    <cellStyle name="Comma 2 2 3 2 4 4" xfId="11188" xr:uid="{00000000-0005-0000-0000-0000AE2B0000}"/>
    <cellStyle name="Comma 2 2 3 2 4 4 2" xfId="11189" xr:uid="{00000000-0005-0000-0000-0000AF2B0000}"/>
    <cellStyle name="Comma 2 2 3 2 4 5" xfId="11190" xr:uid="{00000000-0005-0000-0000-0000B02B0000}"/>
    <cellStyle name="Comma 2 2 3 2 4 5 2" xfId="11191" xr:uid="{00000000-0005-0000-0000-0000B12B0000}"/>
    <cellStyle name="Comma 2 2 3 2 4 6" xfId="11192" xr:uid="{00000000-0005-0000-0000-0000B22B0000}"/>
    <cellStyle name="Comma 2 2 3 2 4 6 2" xfId="11193" xr:uid="{00000000-0005-0000-0000-0000B32B0000}"/>
    <cellStyle name="Comma 2 2 3 2 4 7" xfId="11194" xr:uid="{00000000-0005-0000-0000-0000B42B0000}"/>
    <cellStyle name="Comma 2 2 3 2 5" xfId="11195" xr:uid="{00000000-0005-0000-0000-0000B52B0000}"/>
    <cellStyle name="Comma 2 2 3 2 5 2" xfId="11196" xr:uid="{00000000-0005-0000-0000-0000B62B0000}"/>
    <cellStyle name="Comma 2 2 3 2 5 2 2" xfId="11197" xr:uid="{00000000-0005-0000-0000-0000B72B0000}"/>
    <cellStyle name="Comma 2 2 3 2 5 3" xfId="11198" xr:uid="{00000000-0005-0000-0000-0000B82B0000}"/>
    <cellStyle name="Comma 2 2 3 2 5 3 2" xfId="11199" xr:uid="{00000000-0005-0000-0000-0000B92B0000}"/>
    <cellStyle name="Comma 2 2 3 2 5 4" xfId="11200" xr:uid="{00000000-0005-0000-0000-0000BA2B0000}"/>
    <cellStyle name="Comma 2 2 3 2 5 4 2" xfId="11201" xr:uid="{00000000-0005-0000-0000-0000BB2B0000}"/>
    <cellStyle name="Comma 2 2 3 2 5 5" xfId="11202" xr:uid="{00000000-0005-0000-0000-0000BC2B0000}"/>
    <cellStyle name="Comma 2 2 3 2 5 5 2" xfId="11203" xr:uid="{00000000-0005-0000-0000-0000BD2B0000}"/>
    <cellStyle name="Comma 2 2 3 2 5 6" xfId="11204" xr:uid="{00000000-0005-0000-0000-0000BE2B0000}"/>
    <cellStyle name="Comma 2 2 3 2 6" xfId="11205" xr:uid="{00000000-0005-0000-0000-0000BF2B0000}"/>
    <cellStyle name="Comma 2 2 3 2 6 2" xfId="11206" xr:uid="{00000000-0005-0000-0000-0000C02B0000}"/>
    <cellStyle name="Comma 2 2 3 2 6 2 2" xfId="11207" xr:uid="{00000000-0005-0000-0000-0000C12B0000}"/>
    <cellStyle name="Comma 2 2 3 2 6 3" xfId="11208" xr:uid="{00000000-0005-0000-0000-0000C22B0000}"/>
    <cellStyle name="Comma 2 2 3 2 7" xfId="11209" xr:uid="{00000000-0005-0000-0000-0000C32B0000}"/>
    <cellStyle name="Comma 2 2 3 2 7 2" xfId="11210" xr:uid="{00000000-0005-0000-0000-0000C42B0000}"/>
    <cellStyle name="Comma 2 2 3 2 8" xfId="11211" xr:uid="{00000000-0005-0000-0000-0000C52B0000}"/>
    <cellStyle name="Comma 2 2 3 2 8 2" xfId="11212" xr:uid="{00000000-0005-0000-0000-0000C62B0000}"/>
    <cellStyle name="Comma 2 2 3 2 9" xfId="11213" xr:uid="{00000000-0005-0000-0000-0000C72B0000}"/>
    <cellStyle name="Comma 2 2 3 2 9 2" xfId="11214" xr:uid="{00000000-0005-0000-0000-0000C82B0000}"/>
    <cellStyle name="Comma 2 2 3 3" xfId="11215" xr:uid="{00000000-0005-0000-0000-0000C92B0000}"/>
    <cellStyle name="Comma 2 2 3 3 2" xfId="11216" xr:uid="{00000000-0005-0000-0000-0000CA2B0000}"/>
    <cellStyle name="Comma 2 2 3 3 2 2" xfId="11217" xr:uid="{00000000-0005-0000-0000-0000CB2B0000}"/>
    <cellStyle name="Comma 2 2 3 3 2 2 2" xfId="11218" xr:uid="{00000000-0005-0000-0000-0000CC2B0000}"/>
    <cellStyle name="Comma 2 2 3 3 2 2 2 2" xfId="11219" xr:uid="{00000000-0005-0000-0000-0000CD2B0000}"/>
    <cellStyle name="Comma 2 2 3 3 2 2 3" xfId="11220" xr:uid="{00000000-0005-0000-0000-0000CE2B0000}"/>
    <cellStyle name="Comma 2 2 3 3 2 2 3 2" xfId="11221" xr:uid="{00000000-0005-0000-0000-0000CF2B0000}"/>
    <cellStyle name="Comma 2 2 3 3 2 2 4" xfId="11222" xr:uid="{00000000-0005-0000-0000-0000D02B0000}"/>
    <cellStyle name="Comma 2 2 3 3 2 3" xfId="11223" xr:uid="{00000000-0005-0000-0000-0000D12B0000}"/>
    <cellStyle name="Comma 2 2 3 3 2 3 2" xfId="11224" xr:uid="{00000000-0005-0000-0000-0000D22B0000}"/>
    <cellStyle name="Comma 2 2 3 3 2 4" xfId="11225" xr:uid="{00000000-0005-0000-0000-0000D32B0000}"/>
    <cellStyle name="Comma 2 2 3 3 2 4 2" xfId="11226" xr:uid="{00000000-0005-0000-0000-0000D42B0000}"/>
    <cellStyle name="Comma 2 2 3 3 2 5" xfId="11227" xr:uid="{00000000-0005-0000-0000-0000D52B0000}"/>
    <cellStyle name="Comma 2 2 3 3 2 5 2" xfId="11228" xr:uid="{00000000-0005-0000-0000-0000D62B0000}"/>
    <cellStyle name="Comma 2 2 3 3 2 6" xfId="11229" xr:uid="{00000000-0005-0000-0000-0000D72B0000}"/>
    <cellStyle name="Comma 2 2 3 3 2 6 2" xfId="11230" xr:uid="{00000000-0005-0000-0000-0000D82B0000}"/>
    <cellStyle name="Comma 2 2 3 3 2 7" xfId="11231" xr:uid="{00000000-0005-0000-0000-0000D92B0000}"/>
    <cellStyle name="Comma 2 2 3 3 3" xfId="11232" xr:uid="{00000000-0005-0000-0000-0000DA2B0000}"/>
    <cellStyle name="Comma 2 2 3 3 3 2" xfId="11233" xr:uid="{00000000-0005-0000-0000-0000DB2B0000}"/>
    <cellStyle name="Comma 2 2 3 3 3 2 2" xfId="11234" xr:uid="{00000000-0005-0000-0000-0000DC2B0000}"/>
    <cellStyle name="Comma 2 2 3 3 3 3" xfId="11235" xr:uid="{00000000-0005-0000-0000-0000DD2B0000}"/>
    <cellStyle name="Comma 2 2 3 3 3 3 2" xfId="11236" xr:uid="{00000000-0005-0000-0000-0000DE2B0000}"/>
    <cellStyle name="Comma 2 2 3 3 3 4" xfId="11237" xr:uid="{00000000-0005-0000-0000-0000DF2B0000}"/>
    <cellStyle name="Comma 2 2 3 3 3 4 2" xfId="11238" xr:uid="{00000000-0005-0000-0000-0000E02B0000}"/>
    <cellStyle name="Comma 2 2 3 3 3 5" xfId="11239" xr:uid="{00000000-0005-0000-0000-0000E12B0000}"/>
    <cellStyle name="Comma 2 2 3 3 3 5 2" xfId="11240" xr:uid="{00000000-0005-0000-0000-0000E22B0000}"/>
    <cellStyle name="Comma 2 2 3 3 3 6" xfId="11241" xr:uid="{00000000-0005-0000-0000-0000E32B0000}"/>
    <cellStyle name="Comma 2 2 3 3 4" xfId="11242" xr:uid="{00000000-0005-0000-0000-0000E42B0000}"/>
    <cellStyle name="Comma 2 2 3 3 4 2" xfId="11243" xr:uid="{00000000-0005-0000-0000-0000E52B0000}"/>
    <cellStyle name="Comma 2 2 3 3 4 2 2" xfId="11244" xr:uid="{00000000-0005-0000-0000-0000E62B0000}"/>
    <cellStyle name="Comma 2 2 3 3 4 3" xfId="11245" xr:uid="{00000000-0005-0000-0000-0000E72B0000}"/>
    <cellStyle name="Comma 2 2 3 3 5" xfId="11246" xr:uid="{00000000-0005-0000-0000-0000E82B0000}"/>
    <cellStyle name="Comma 2 2 3 3 5 2" xfId="11247" xr:uid="{00000000-0005-0000-0000-0000E92B0000}"/>
    <cellStyle name="Comma 2 2 3 3 6" xfId="11248" xr:uid="{00000000-0005-0000-0000-0000EA2B0000}"/>
    <cellStyle name="Comma 2 2 3 3 6 2" xfId="11249" xr:uid="{00000000-0005-0000-0000-0000EB2B0000}"/>
    <cellStyle name="Comma 2 2 3 3 7" xfId="11250" xr:uid="{00000000-0005-0000-0000-0000EC2B0000}"/>
    <cellStyle name="Comma 2 2 3 3 7 2" xfId="11251" xr:uid="{00000000-0005-0000-0000-0000ED2B0000}"/>
    <cellStyle name="Comma 2 2 3 3 8" xfId="11252" xr:uid="{00000000-0005-0000-0000-0000EE2B0000}"/>
    <cellStyle name="Comma 2 2 3 4" xfId="11253" xr:uid="{00000000-0005-0000-0000-0000EF2B0000}"/>
    <cellStyle name="Comma 2 2 3 4 2" xfId="11254" xr:uid="{00000000-0005-0000-0000-0000F02B0000}"/>
    <cellStyle name="Comma 2 2 3 4 2 2" xfId="11255" xr:uid="{00000000-0005-0000-0000-0000F12B0000}"/>
    <cellStyle name="Comma 2 2 3 4 2 2 2" xfId="11256" xr:uid="{00000000-0005-0000-0000-0000F22B0000}"/>
    <cellStyle name="Comma 2 2 3 4 2 2 2 2" xfId="11257" xr:uid="{00000000-0005-0000-0000-0000F32B0000}"/>
    <cellStyle name="Comma 2 2 3 4 2 2 3" xfId="11258" xr:uid="{00000000-0005-0000-0000-0000F42B0000}"/>
    <cellStyle name="Comma 2 2 3 4 2 2 3 2" xfId="11259" xr:uid="{00000000-0005-0000-0000-0000F52B0000}"/>
    <cellStyle name="Comma 2 2 3 4 2 2 4" xfId="11260" xr:uid="{00000000-0005-0000-0000-0000F62B0000}"/>
    <cellStyle name="Comma 2 2 3 4 2 3" xfId="11261" xr:uid="{00000000-0005-0000-0000-0000F72B0000}"/>
    <cellStyle name="Comma 2 2 3 4 2 3 2" xfId="11262" xr:uid="{00000000-0005-0000-0000-0000F82B0000}"/>
    <cellStyle name="Comma 2 2 3 4 2 4" xfId="11263" xr:uid="{00000000-0005-0000-0000-0000F92B0000}"/>
    <cellStyle name="Comma 2 2 3 4 2 4 2" xfId="11264" xr:uid="{00000000-0005-0000-0000-0000FA2B0000}"/>
    <cellStyle name="Comma 2 2 3 4 2 5" xfId="11265" xr:uid="{00000000-0005-0000-0000-0000FB2B0000}"/>
    <cellStyle name="Comma 2 2 3 4 2 5 2" xfId="11266" xr:uid="{00000000-0005-0000-0000-0000FC2B0000}"/>
    <cellStyle name="Comma 2 2 3 4 2 6" xfId="11267" xr:uid="{00000000-0005-0000-0000-0000FD2B0000}"/>
    <cellStyle name="Comma 2 2 3 4 2 6 2" xfId="11268" xr:uid="{00000000-0005-0000-0000-0000FE2B0000}"/>
    <cellStyle name="Comma 2 2 3 4 2 7" xfId="11269" xr:uid="{00000000-0005-0000-0000-0000FF2B0000}"/>
    <cellStyle name="Comma 2 2 3 4 3" xfId="11270" xr:uid="{00000000-0005-0000-0000-0000002C0000}"/>
    <cellStyle name="Comma 2 2 3 4 3 2" xfId="11271" xr:uid="{00000000-0005-0000-0000-0000012C0000}"/>
    <cellStyle name="Comma 2 2 3 4 3 2 2" xfId="11272" xr:uid="{00000000-0005-0000-0000-0000022C0000}"/>
    <cellStyle name="Comma 2 2 3 4 3 3" xfId="11273" xr:uid="{00000000-0005-0000-0000-0000032C0000}"/>
    <cellStyle name="Comma 2 2 3 4 3 3 2" xfId="11274" xr:uid="{00000000-0005-0000-0000-0000042C0000}"/>
    <cellStyle name="Comma 2 2 3 4 3 4" xfId="11275" xr:uid="{00000000-0005-0000-0000-0000052C0000}"/>
    <cellStyle name="Comma 2 2 3 4 3 4 2" xfId="11276" xr:uid="{00000000-0005-0000-0000-0000062C0000}"/>
    <cellStyle name="Comma 2 2 3 4 3 5" xfId="11277" xr:uid="{00000000-0005-0000-0000-0000072C0000}"/>
    <cellStyle name="Comma 2 2 3 4 3 5 2" xfId="11278" xr:uid="{00000000-0005-0000-0000-0000082C0000}"/>
    <cellStyle name="Comma 2 2 3 4 3 6" xfId="11279" xr:uid="{00000000-0005-0000-0000-0000092C0000}"/>
    <cellStyle name="Comma 2 2 3 4 4" xfId="11280" xr:uid="{00000000-0005-0000-0000-00000A2C0000}"/>
    <cellStyle name="Comma 2 2 3 4 4 2" xfId="11281" xr:uid="{00000000-0005-0000-0000-00000B2C0000}"/>
    <cellStyle name="Comma 2 2 3 4 4 2 2" xfId="11282" xr:uid="{00000000-0005-0000-0000-00000C2C0000}"/>
    <cellStyle name="Comma 2 2 3 4 4 3" xfId="11283" xr:uid="{00000000-0005-0000-0000-00000D2C0000}"/>
    <cellStyle name="Comma 2 2 3 4 5" xfId="11284" xr:uid="{00000000-0005-0000-0000-00000E2C0000}"/>
    <cellStyle name="Comma 2 2 3 4 5 2" xfId="11285" xr:uid="{00000000-0005-0000-0000-00000F2C0000}"/>
    <cellStyle name="Comma 2 2 3 4 6" xfId="11286" xr:uid="{00000000-0005-0000-0000-0000102C0000}"/>
    <cellStyle name="Comma 2 2 3 4 6 2" xfId="11287" xr:uid="{00000000-0005-0000-0000-0000112C0000}"/>
    <cellStyle name="Comma 2 2 3 4 7" xfId="11288" xr:uid="{00000000-0005-0000-0000-0000122C0000}"/>
    <cellStyle name="Comma 2 2 3 4 7 2" xfId="11289" xr:uid="{00000000-0005-0000-0000-0000132C0000}"/>
    <cellStyle name="Comma 2 2 3 4 8" xfId="11290" xr:uid="{00000000-0005-0000-0000-0000142C0000}"/>
    <cellStyle name="Comma 2 2 3 5" xfId="11291" xr:uid="{00000000-0005-0000-0000-0000152C0000}"/>
    <cellStyle name="Comma 2 2 3 5 2" xfId="11292" xr:uid="{00000000-0005-0000-0000-0000162C0000}"/>
    <cellStyle name="Comma 2 2 3 5 2 2" xfId="11293" xr:uid="{00000000-0005-0000-0000-0000172C0000}"/>
    <cellStyle name="Comma 2 2 3 5 2 2 2" xfId="11294" xr:uid="{00000000-0005-0000-0000-0000182C0000}"/>
    <cellStyle name="Comma 2 2 3 5 2 3" xfId="11295" xr:uid="{00000000-0005-0000-0000-0000192C0000}"/>
    <cellStyle name="Comma 2 2 3 5 2 3 2" xfId="11296" xr:uid="{00000000-0005-0000-0000-00001A2C0000}"/>
    <cellStyle name="Comma 2 2 3 5 2 4" xfId="11297" xr:uid="{00000000-0005-0000-0000-00001B2C0000}"/>
    <cellStyle name="Comma 2 2 3 5 3" xfId="11298" xr:uid="{00000000-0005-0000-0000-00001C2C0000}"/>
    <cellStyle name="Comma 2 2 3 5 3 2" xfId="11299" xr:uid="{00000000-0005-0000-0000-00001D2C0000}"/>
    <cellStyle name="Comma 2 2 3 5 4" xfId="11300" xr:uid="{00000000-0005-0000-0000-00001E2C0000}"/>
    <cellStyle name="Comma 2 2 3 5 4 2" xfId="11301" xr:uid="{00000000-0005-0000-0000-00001F2C0000}"/>
    <cellStyle name="Comma 2 2 3 5 5" xfId="11302" xr:uid="{00000000-0005-0000-0000-0000202C0000}"/>
    <cellStyle name="Comma 2 2 3 5 5 2" xfId="11303" xr:uid="{00000000-0005-0000-0000-0000212C0000}"/>
    <cellStyle name="Comma 2 2 3 5 6" xfId="11304" xr:uid="{00000000-0005-0000-0000-0000222C0000}"/>
    <cellStyle name="Comma 2 2 3 5 6 2" xfId="11305" xr:uid="{00000000-0005-0000-0000-0000232C0000}"/>
    <cellStyle name="Comma 2 2 3 5 7" xfId="11306" xr:uid="{00000000-0005-0000-0000-0000242C0000}"/>
    <cellStyle name="Comma 2 2 3 6" xfId="11307" xr:uid="{00000000-0005-0000-0000-0000252C0000}"/>
    <cellStyle name="Comma 2 2 3 6 2" xfId="11308" xr:uid="{00000000-0005-0000-0000-0000262C0000}"/>
    <cellStyle name="Comma 2 2 3 6 2 2" xfId="11309" xr:uid="{00000000-0005-0000-0000-0000272C0000}"/>
    <cellStyle name="Comma 2 2 3 6 3" xfId="11310" xr:uid="{00000000-0005-0000-0000-0000282C0000}"/>
    <cellStyle name="Comma 2 2 3 6 3 2" xfId="11311" xr:uid="{00000000-0005-0000-0000-0000292C0000}"/>
    <cellStyle name="Comma 2 2 3 6 4" xfId="11312" xr:uid="{00000000-0005-0000-0000-00002A2C0000}"/>
    <cellStyle name="Comma 2 2 3 6 4 2" xfId="11313" xr:uid="{00000000-0005-0000-0000-00002B2C0000}"/>
    <cellStyle name="Comma 2 2 3 6 5" xfId="11314" xr:uid="{00000000-0005-0000-0000-00002C2C0000}"/>
    <cellStyle name="Comma 2 2 3 6 5 2" xfId="11315" xr:uid="{00000000-0005-0000-0000-00002D2C0000}"/>
    <cellStyle name="Comma 2 2 3 6 6" xfId="11316" xr:uid="{00000000-0005-0000-0000-00002E2C0000}"/>
    <cellStyle name="Comma 2 2 3 7" xfId="11317" xr:uid="{00000000-0005-0000-0000-00002F2C0000}"/>
    <cellStyle name="Comma 2 2 3 7 2" xfId="11318" xr:uid="{00000000-0005-0000-0000-0000302C0000}"/>
    <cellStyle name="Comma 2 2 3 7 2 2" xfId="11319" xr:uid="{00000000-0005-0000-0000-0000312C0000}"/>
    <cellStyle name="Comma 2 2 3 7 3" xfId="11320" xr:uid="{00000000-0005-0000-0000-0000322C0000}"/>
    <cellStyle name="Comma 2 2 3 8" xfId="11321" xr:uid="{00000000-0005-0000-0000-0000332C0000}"/>
    <cellStyle name="Comma 2 2 3 8 2" xfId="11322" xr:uid="{00000000-0005-0000-0000-0000342C0000}"/>
    <cellStyle name="Comma 2 2 3 9" xfId="11323" xr:uid="{00000000-0005-0000-0000-0000352C0000}"/>
    <cellStyle name="Comma 2 2 3 9 2" xfId="11324" xr:uid="{00000000-0005-0000-0000-0000362C0000}"/>
    <cellStyle name="Comma 2 2 4" xfId="11325" xr:uid="{00000000-0005-0000-0000-0000372C0000}"/>
    <cellStyle name="Comma 2 2 4 10" xfId="11326" xr:uid="{00000000-0005-0000-0000-0000382C0000}"/>
    <cellStyle name="Comma 2 2 4 2" xfId="11327" xr:uid="{00000000-0005-0000-0000-0000392C0000}"/>
    <cellStyle name="Comma 2 2 4 2 2" xfId="11328" xr:uid="{00000000-0005-0000-0000-00003A2C0000}"/>
    <cellStyle name="Comma 2 2 4 2 2 2" xfId="11329" xr:uid="{00000000-0005-0000-0000-00003B2C0000}"/>
    <cellStyle name="Comma 2 2 4 2 2 2 2" xfId="11330" xr:uid="{00000000-0005-0000-0000-00003C2C0000}"/>
    <cellStyle name="Comma 2 2 4 2 2 2 2 2" xfId="11331" xr:uid="{00000000-0005-0000-0000-00003D2C0000}"/>
    <cellStyle name="Comma 2 2 4 2 2 2 3" xfId="11332" xr:uid="{00000000-0005-0000-0000-00003E2C0000}"/>
    <cellStyle name="Comma 2 2 4 2 2 2 3 2" xfId="11333" xr:uid="{00000000-0005-0000-0000-00003F2C0000}"/>
    <cellStyle name="Comma 2 2 4 2 2 2 4" xfId="11334" xr:uid="{00000000-0005-0000-0000-0000402C0000}"/>
    <cellStyle name="Comma 2 2 4 2 2 3" xfId="11335" xr:uid="{00000000-0005-0000-0000-0000412C0000}"/>
    <cellStyle name="Comma 2 2 4 2 2 3 2" xfId="11336" xr:uid="{00000000-0005-0000-0000-0000422C0000}"/>
    <cellStyle name="Comma 2 2 4 2 2 4" xfId="11337" xr:uid="{00000000-0005-0000-0000-0000432C0000}"/>
    <cellStyle name="Comma 2 2 4 2 2 4 2" xfId="11338" xr:uid="{00000000-0005-0000-0000-0000442C0000}"/>
    <cellStyle name="Comma 2 2 4 2 2 5" xfId="11339" xr:uid="{00000000-0005-0000-0000-0000452C0000}"/>
    <cellStyle name="Comma 2 2 4 2 2 5 2" xfId="11340" xr:uid="{00000000-0005-0000-0000-0000462C0000}"/>
    <cellStyle name="Comma 2 2 4 2 2 6" xfId="11341" xr:uid="{00000000-0005-0000-0000-0000472C0000}"/>
    <cellStyle name="Comma 2 2 4 2 2 6 2" xfId="11342" xr:uid="{00000000-0005-0000-0000-0000482C0000}"/>
    <cellStyle name="Comma 2 2 4 2 2 7" xfId="11343" xr:uid="{00000000-0005-0000-0000-0000492C0000}"/>
    <cellStyle name="Comma 2 2 4 2 3" xfId="11344" xr:uid="{00000000-0005-0000-0000-00004A2C0000}"/>
    <cellStyle name="Comma 2 2 4 2 3 2" xfId="11345" xr:uid="{00000000-0005-0000-0000-00004B2C0000}"/>
    <cellStyle name="Comma 2 2 4 2 3 2 2" xfId="11346" xr:uid="{00000000-0005-0000-0000-00004C2C0000}"/>
    <cellStyle name="Comma 2 2 4 2 3 3" xfId="11347" xr:uid="{00000000-0005-0000-0000-00004D2C0000}"/>
    <cellStyle name="Comma 2 2 4 2 3 3 2" xfId="11348" xr:uid="{00000000-0005-0000-0000-00004E2C0000}"/>
    <cellStyle name="Comma 2 2 4 2 3 4" xfId="11349" xr:uid="{00000000-0005-0000-0000-00004F2C0000}"/>
    <cellStyle name="Comma 2 2 4 2 3 4 2" xfId="11350" xr:uid="{00000000-0005-0000-0000-0000502C0000}"/>
    <cellStyle name="Comma 2 2 4 2 3 5" xfId="11351" xr:uid="{00000000-0005-0000-0000-0000512C0000}"/>
    <cellStyle name="Comma 2 2 4 2 3 5 2" xfId="11352" xr:uid="{00000000-0005-0000-0000-0000522C0000}"/>
    <cellStyle name="Comma 2 2 4 2 3 6" xfId="11353" xr:uid="{00000000-0005-0000-0000-0000532C0000}"/>
    <cellStyle name="Comma 2 2 4 2 4" xfId="11354" xr:uid="{00000000-0005-0000-0000-0000542C0000}"/>
    <cellStyle name="Comma 2 2 4 2 4 2" xfId="11355" xr:uid="{00000000-0005-0000-0000-0000552C0000}"/>
    <cellStyle name="Comma 2 2 4 2 4 2 2" xfId="11356" xr:uid="{00000000-0005-0000-0000-0000562C0000}"/>
    <cellStyle name="Comma 2 2 4 2 4 3" xfId="11357" xr:uid="{00000000-0005-0000-0000-0000572C0000}"/>
    <cellStyle name="Comma 2 2 4 2 5" xfId="11358" xr:uid="{00000000-0005-0000-0000-0000582C0000}"/>
    <cellStyle name="Comma 2 2 4 2 5 2" xfId="11359" xr:uid="{00000000-0005-0000-0000-0000592C0000}"/>
    <cellStyle name="Comma 2 2 4 2 6" xfId="11360" xr:uid="{00000000-0005-0000-0000-00005A2C0000}"/>
    <cellStyle name="Comma 2 2 4 2 6 2" xfId="11361" xr:uid="{00000000-0005-0000-0000-00005B2C0000}"/>
    <cellStyle name="Comma 2 2 4 2 7" xfId="11362" xr:uid="{00000000-0005-0000-0000-00005C2C0000}"/>
    <cellStyle name="Comma 2 2 4 2 7 2" xfId="11363" xr:uid="{00000000-0005-0000-0000-00005D2C0000}"/>
    <cellStyle name="Comma 2 2 4 2 8" xfId="11364" xr:uid="{00000000-0005-0000-0000-00005E2C0000}"/>
    <cellStyle name="Comma 2 2 4 3" xfId="11365" xr:uid="{00000000-0005-0000-0000-00005F2C0000}"/>
    <cellStyle name="Comma 2 2 4 3 2" xfId="11366" xr:uid="{00000000-0005-0000-0000-0000602C0000}"/>
    <cellStyle name="Comma 2 2 4 3 2 2" xfId="11367" xr:uid="{00000000-0005-0000-0000-0000612C0000}"/>
    <cellStyle name="Comma 2 2 4 3 2 2 2" xfId="11368" xr:uid="{00000000-0005-0000-0000-0000622C0000}"/>
    <cellStyle name="Comma 2 2 4 3 2 2 2 2" xfId="11369" xr:uid="{00000000-0005-0000-0000-0000632C0000}"/>
    <cellStyle name="Comma 2 2 4 3 2 2 3" xfId="11370" xr:uid="{00000000-0005-0000-0000-0000642C0000}"/>
    <cellStyle name="Comma 2 2 4 3 2 2 3 2" xfId="11371" xr:uid="{00000000-0005-0000-0000-0000652C0000}"/>
    <cellStyle name="Comma 2 2 4 3 2 2 4" xfId="11372" xr:uid="{00000000-0005-0000-0000-0000662C0000}"/>
    <cellStyle name="Comma 2 2 4 3 2 3" xfId="11373" xr:uid="{00000000-0005-0000-0000-0000672C0000}"/>
    <cellStyle name="Comma 2 2 4 3 2 3 2" xfId="11374" xr:uid="{00000000-0005-0000-0000-0000682C0000}"/>
    <cellStyle name="Comma 2 2 4 3 2 4" xfId="11375" xr:uid="{00000000-0005-0000-0000-0000692C0000}"/>
    <cellStyle name="Comma 2 2 4 3 2 4 2" xfId="11376" xr:uid="{00000000-0005-0000-0000-00006A2C0000}"/>
    <cellStyle name="Comma 2 2 4 3 2 5" xfId="11377" xr:uid="{00000000-0005-0000-0000-00006B2C0000}"/>
    <cellStyle name="Comma 2 2 4 3 2 5 2" xfId="11378" xr:uid="{00000000-0005-0000-0000-00006C2C0000}"/>
    <cellStyle name="Comma 2 2 4 3 2 6" xfId="11379" xr:uid="{00000000-0005-0000-0000-00006D2C0000}"/>
    <cellStyle name="Comma 2 2 4 3 2 6 2" xfId="11380" xr:uid="{00000000-0005-0000-0000-00006E2C0000}"/>
    <cellStyle name="Comma 2 2 4 3 2 7" xfId="11381" xr:uid="{00000000-0005-0000-0000-00006F2C0000}"/>
    <cellStyle name="Comma 2 2 4 3 3" xfId="11382" xr:uid="{00000000-0005-0000-0000-0000702C0000}"/>
    <cellStyle name="Comma 2 2 4 3 3 2" xfId="11383" xr:uid="{00000000-0005-0000-0000-0000712C0000}"/>
    <cellStyle name="Comma 2 2 4 3 3 2 2" xfId="11384" xr:uid="{00000000-0005-0000-0000-0000722C0000}"/>
    <cellStyle name="Comma 2 2 4 3 3 3" xfId="11385" xr:uid="{00000000-0005-0000-0000-0000732C0000}"/>
    <cellStyle name="Comma 2 2 4 3 3 3 2" xfId="11386" xr:uid="{00000000-0005-0000-0000-0000742C0000}"/>
    <cellStyle name="Comma 2 2 4 3 3 4" xfId="11387" xr:uid="{00000000-0005-0000-0000-0000752C0000}"/>
    <cellStyle name="Comma 2 2 4 3 3 4 2" xfId="11388" xr:uid="{00000000-0005-0000-0000-0000762C0000}"/>
    <cellStyle name="Comma 2 2 4 3 3 5" xfId="11389" xr:uid="{00000000-0005-0000-0000-0000772C0000}"/>
    <cellStyle name="Comma 2 2 4 3 3 5 2" xfId="11390" xr:uid="{00000000-0005-0000-0000-0000782C0000}"/>
    <cellStyle name="Comma 2 2 4 3 3 6" xfId="11391" xr:uid="{00000000-0005-0000-0000-0000792C0000}"/>
    <cellStyle name="Comma 2 2 4 3 4" xfId="11392" xr:uid="{00000000-0005-0000-0000-00007A2C0000}"/>
    <cellStyle name="Comma 2 2 4 3 4 2" xfId="11393" xr:uid="{00000000-0005-0000-0000-00007B2C0000}"/>
    <cellStyle name="Comma 2 2 4 3 4 2 2" xfId="11394" xr:uid="{00000000-0005-0000-0000-00007C2C0000}"/>
    <cellStyle name="Comma 2 2 4 3 4 3" xfId="11395" xr:uid="{00000000-0005-0000-0000-00007D2C0000}"/>
    <cellStyle name="Comma 2 2 4 3 5" xfId="11396" xr:uid="{00000000-0005-0000-0000-00007E2C0000}"/>
    <cellStyle name="Comma 2 2 4 3 5 2" xfId="11397" xr:uid="{00000000-0005-0000-0000-00007F2C0000}"/>
    <cellStyle name="Comma 2 2 4 3 6" xfId="11398" xr:uid="{00000000-0005-0000-0000-0000802C0000}"/>
    <cellStyle name="Comma 2 2 4 3 6 2" xfId="11399" xr:uid="{00000000-0005-0000-0000-0000812C0000}"/>
    <cellStyle name="Comma 2 2 4 3 7" xfId="11400" xr:uid="{00000000-0005-0000-0000-0000822C0000}"/>
    <cellStyle name="Comma 2 2 4 3 7 2" xfId="11401" xr:uid="{00000000-0005-0000-0000-0000832C0000}"/>
    <cellStyle name="Comma 2 2 4 3 8" xfId="11402" xr:uid="{00000000-0005-0000-0000-0000842C0000}"/>
    <cellStyle name="Comma 2 2 4 4" xfId="11403" xr:uid="{00000000-0005-0000-0000-0000852C0000}"/>
    <cellStyle name="Comma 2 2 4 4 2" xfId="11404" xr:uid="{00000000-0005-0000-0000-0000862C0000}"/>
    <cellStyle name="Comma 2 2 4 4 2 2" xfId="11405" xr:uid="{00000000-0005-0000-0000-0000872C0000}"/>
    <cellStyle name="Comma 2 2 4 4 2 2 2" xfId="11406" xr:uid="{00000000-0005-0000-0000-0000882C0000}"/>
    <cellStyle name="Comma 2 2 4 4 2 3" xfId="11407" xr:uid="{00000000-0005-0000-0000-0000892C0000}"/>
    <cellStyle name="Comma 2 2 4 4 2 3 2" xfId="11408" xr:uid="{00000000-0005-0000-0000-00008A2C0000}"/>
    <cellStyle name="Comma 2 2 4 4 2 4" xfId="11409" xr:uid="{00000000-0005-0000-0000-00008B2C0000}"/>
    <cellStyle name="Comma 2 2 4 4 3" xfId="11410" xr:uid="{00000000-0005-0000-0000-00008C2C0000}"/>
    <cellStyle name="Comma 2 2 4 4 3 2" xfId="11411" xr:uid="{00000000-0005-0000-0000-00008D2C0000}"/>
    <cellStyle name="Comma 2 2 4 4 4" xfId="11412" xr:uid="{00000000-0005-0000-0000-00008E2C0000}"/>
    <cellStyle name="Comma 2 2 4 4 4 2" xfId="11413" xr:uid="{00000000-0005-0000-0000-00008F2C0000}"/>
    <cellStyle name="Comma 2 2 4 4 5" xfId="11414" xr:uid="{00000000-0005-0000-0000-0000902C0000}"/>
    <cellStyle name="Comma 2 2 4 4 5 2" xfId="11415" xr:uid="{00000000-0005-0000-0000-0000912C0000}"/>
    <cellStyle name="Comma 2 2 4 4 6" xfId="11416" xr:uid="{00000000-0005-0000-0000-0000922C0000}"/>
    <cellStyle name="Comma 2 2 4 4 6 2" xfId="11417" xr:uid="{00000000-0005-0000-0000-0000932C0000}"/>
    <cellStyle name="Comma 2 2 4 4 7" xfId="11418" xr:uid="{00000000-0005-0000-0000-0000942C0000}"/>
    <cellStyle name="Comma 2 2 4 5" xfId="11419" xr:uid="{00000000-0005-0000-0000-0000952C0000}"/>
    <cellStyle name="Comma 2 2 4 5 2" xfId="11420" xr:uid="{00000000-0005-0000-0000-0000962C0000}"/>
    <cellStyle name="Comma 2 2 4 5 2 2" xfId="11421" xr:uid="{00000000-0005-0000-0000-0000972C0000}"/>
    <cellStyle name="Comma 2 2 4 5 3" xfId="11422" xr:uid="{00000000-0005-0000-0000-0000982C0000}"/>
    <cellStyle name="Comma 2 2 4 5 3 2" xfId="11423" xr:uid="{00000000-0005-0000-0000-0000992C0000}"/>
    <cellStyle name="Comma 2 2 4 5 4" xfId="11424" xr:uid="{00000000-0005-0000-0000-00009A2C0000}"/>
    <cellStyle name="Comma 2 2 4 5 4 2" xfId="11425" xr:uid="{00000000-0005-0000-0000-00009B2C0000}"/>
    <cellStyle name="Comma 2 2 4 5 5" xfId="11426" xr:uid="{00000000-0005-0000-0000-00009C2C0000}"/>
    <cellStyle name="Comma 2 2 4 5 5 2" xfId="11427" xr:uid="{00000000-0005-0000-0000-00009D2C0000}"/>
    <cellStyle name="Comma 2 2 4 5 6" xfId="11428" xr:uid="{00000000-0005-0000-0000-00009E2C0000}"/>
    <cellStyle name="Comma 2 2 4 6" xfId="11429" xr:uid="{00000000-0005-0000-0000-00009F2C0000}"/>
    <cellStyle name="Comma 2 2 4 6 2" xfId="11430" xr:uid="{00000000-0005-0000-0000-0000A02C0000}"/>
    <cellStyle name="Comma 2 2 4 6 2 2" xfId="11431" xr:uid="{00000000-0005-0000-0000-0000A12C0000}"/>
    <cellStyle name="Comma 2 2 4 6 3" xfId="11432" xr:uid="{00000000-0005-0000-0000-0000A22C0000}"/>
    <cellStyle name="Comma 2 2 4 7" xfId="11433" xr:uid="{00000000-0005-0000-0000-0000A32C0000}"/>
    <cellStyle name="Comma 2 2 4 7 2" xfId="11434" xr:uid="{00000000-0005-0000-0000-0000A42C0000}"/>
    <cellStyle name="Comma 2 2 4 8" xfId="11435" xr:uid="{00000000-0005-0000-0000-0000A52C0000}"/>
    <cellStyle name="Comma 2 2 4 8 2" xfId="11436" xr:uid="{00000000-0005-0000-0000-0000A62C0000}"/>
    <cellStyle name="Comma 2 2 4 9" xfId="11437" xr:uid="{00000000-0005-0000-0000-0000A72C0000}"/>
    <cellStyle name="Comma 2 2 4 9 2" xfId="11438" xr:uid="{00000000-0005-0000-0000-0000A82C0000}"/>
    <cellStyle name="Comma 2 2 5" xfId="11439" xr:uid="{00000000-0005-0000-0000-0000A92C0000}"/>
    <cellStyle name="Comma 2 2 5 2" xfId="11440" xr:uid="{00000000-0005-0000-0000-0000AA2C0000}"/>
    <cellStyle name="Comma 2 2 5 2 2" xfId="11441" xr:uid="{00000000-0005-0000-0000-0000AB2C0000}"/>
    <cellStyle name="Comma 2 2 5 2 2 2" xfId="11442" xr:uid="{00000000-0005-0000-0000-0000AC2C0000}"/>
    <cellStyle name="Comma 2 2 5 2 2 2 2" xfId="11443" xr:uid="{00000000-0005-0000-0000-0000AD2C0000}"/>
    <cellStyle name="Comma 2 2 5 2 2 3" xfId="11444" xr:uid="{00000000-0005-0000-0000-0000AE2C0000}"/>
    <cellStyle name="Comma 2 2 5 2 2 3 2" xfId="11445" xr:uid="{00000000-0005-0000-0000-0000AF2C0000}"/>
    <cellStyle name="Comma 2 2 5 2 2 4" xfId="11446" xr:uid="{00000000-0005-0000-0000-0000B02C0000}"/>
    <cellStyle name="Comma 2 2 5 2 3" xfId="11447" xr:uid="{00000000-0005-0000-0000-0000B12C0000}"/>
    <cellStyle name="Comma 2 2 5 2 3 2" xfId="11448" xr:uid="{00000000-0005-0000-0000-0000B22C0000}"/>
    <cellStyle name="Comma 2 2 5 2 4" xfId="11449" xr:uid="{00000000-0005-0000-0000-0000B32C0000}"/>
    <cellStyle name="Comma 2 2 5 2 4 2" xfId="11450" xr:uid="{00000000-0005-0000-0000-0000B42C0000}"/>
    <cellStyle name="Comma 2 2 5 2 5" xfId="11451" xr:uid="{00000000-0005-0000-0000-0000B52C0000}"/>
    <cellStyle name="Comma 2 2 5 2 5 2" xfId="11452" xr:uid="{00000000-0005-0000-0000-0000B62C0000}"/>
    <cellStyle name="Comma 2 2 5 2 6" xfId="11453" xr:uid="{00000000-0005-0000-0000-0000B72C0000}"/>
    <cellStyle name="Comma 2 2 5 2 6 2" xfId="11454" xr:uid="{00000000-0005-0000-0000-0000B82C0000}"/>
    <cellStyle name="Comma 2 2 5 2 7" xfId="11455" xr:uid="{00000000-0005-0000-0000-0000B92C0000}"/>
    <cellStyle name="Comma 2 2 5 3" xfId="11456" xr:uid="{00000000-0005-0000-0000-0000BA2C0000}"/>
    <cellStyle name="Comma 2 2 5 3 2" xfId="11457" xr:uid="{00000000-0005-0000-0000-0000BB2C0000}"/>
    <cellStyle name="Comma 2 2 5 3 2 2" xfId="11458" xr:uid="{00000000-0005-0000-0000-0000BC2C0000}"/>
    <cellStyle name="Comma 2 2 5 3 3" xfId="11459" xr:uid="{00000000-0005-0000-0000-0000BD2C0000}"/>
    <cellStyle name="Comma 2 2 5 3 3 2" xfId="11460" xr:uid="{00000000-0005-0000-0000-0000BE2C0000}"/>
    <cellStyle name="Comma 2 2 5 3 4" xfId="11461" xr:uid="{00000000-0005-0000-0000-0000BF2C0000}"/>
    <cellStyle name="Comma 2 2 5 3 4 2" xfId="11462" xr:uid="{00000000-0005-0000-0000-0000C02C0000}"/>
    <cellStyle name="Comma 2 2 5 3 5" xfId="11463" xr:uid="{00000000-0005-0000-0000-0000C12C0000}"/>
    <cellStyle name="Comma 2 2 5 3 5 2" xfId="11464" xr:uid="{00000000-0005-0000-0000-0000C22C0000}"/>
    <cellStyle name="Comma 2 2 5 3 6" xfId="11465" xr:uid="{00000000-0005-0000-0000-0000C32C0000}"/>
    <cellStyle name="Comma 2 2 5 4" xfId="11466" xr:uid="{00000000-0005-0000-0000-0000C42C0000}"/>
    <cellStyle name="Comma 2 2 5 4 2" xfId="11467" xr:uid="{00000000-0005-0000-0000-0000C52C0000}"/>
    <cellStyle name="Comma 2 2 5 4 2 2" xfId="11468" xr:uid="{00000000-0005-0000-0000-0000C62C0000}"/>
    <cellStyle name="Comma 2 2 5 4 3" xfId="11469" xr:uid="{00000000-0005-0000-0000-0000C72C0000}"/>
    <cellStyle name="Comma 2 2 5 5" xfId="11470" xr:uid="{00000000-0005-0000-0000-0000C82C0000}"/>
    <cellStyle name="Comma 2 2 5 5 2" xfId="11471" xr:uid="{00000000-0005-0000-0000-0000C92C0000}"/>
    <cellStyle name="Comma 2 2 5 6" xfId="11472" xr:uid="{00000000-0005-0000-0000-0000CA2C0000}"/>
    <cellStyle name="Comma 2 2 5 6 2" xfId="11473" xr:uid="{00000000-0005-0000-0000-0000CB2C0000}"/>
    <cellStyle name="Comma 2 2 5 7" xfId="11474" xr:uid="{00000000-0005-0000-0000-0000CC2C0000}"/>
    <cellStyle name="Comma 2 2 5 7 2" xfId="11475" xr:uid="{00000000-0005-0000-0000-0000CD2C0000}"/>
    <cellStyle name="Comma 2 2 5 8" xfId="11476" xr:uid="{00000000-0005-0000-0000-0000CE2C0000}"/>
    <cellStyle name="Comma 2 2 6" xfId="11477" xr:uid="{00000000-0005-0000-0000-0000CF2C0000}"/>
    <cellStyle name="Comma 2 2 6 2" xfId="11478" xr:uid="{00000000-0005-0000-0000-0000D02C0000}"/>
    <cellStyle name="Comma 2 2 6 2 2" xfId="11479" xr:uid="{00000000-0005-0000-0000-0000D12C0000}"/>
    <cellStyle name="Comma 2 2 6 2 2 2" xfId="11480" xr:uid="{00000000-0005-0000-0000-0000D22C0000}"/>
    <cellStyle name="Comma 2 2 6 2 2 2 2" xfId="11481" xr:uid="{00000000-0005-0000-0000-0000D32C0000}"/>
    <cellStyle name="Comma 2 2 6 2 2 3" xfId="11482" xr:uid="{00000000-0005-0000-0000-0000D42C0000}"/>
    <cellStyle name="Comma 2 2 6 2 2 3 2" xfId="11483" xr:uid="{00000000-0005-0000-0000-0000D52C0000}"/>
    <cellStyle name="Comma 2 2 6 2 2 4" xfId="11484" xr:uid="{00000000-0005-0000-0000-0000D62C0000}"/>
    <cellStyle name="Comma 2 2 6 2 3" xfId="11485" xr:uid="{00000000-0005-0000-0000-0000D72C0000}"/>
    <cellStyle name="Comma 2 2 6 2 3 2" xfId="11486" xr:uid="{00000000-0005-0000-0000-0000D82C0000}"/>
    <cellStyle name="Comma 2 2 6 2 4" xfId="11487" xr:uid="{00000000-0005-0000-0000-0000D92C0000}"/>
    <cellStyle name="Comma 2 2 6 2 4 2" xfId="11488" xr:uid="{00000000-0005-0000-0000-0000DA2C0000}"/>
    <cellStyle name="Comma 2 2 6 2 5" xfId="11489" xr:uid="{00000000-0005-0000-0000-0000DB2C0000}"/>
    <cellStyle name="Comma 2 2 6 2 5 2" xfId="11490" xr:uid="{00000000-0005-0000-0000-0000DC2C0000}"/>
    <cellStyle name="Comma 2 2 6 2 6" xfId="11491" xr:uid="{00000000-0005-0000-0000-0000DD2C0000}"/>
    <cellStyle name="Comma 2 2 6 2 6 2" xfId="11492" xr:uid="{00000000-0005-0000-0000-0000DE2C0000}"/>
    <cellStyle name="Comma 2 2 6 2 7" xfId="11493" xr:uid="{00000000-0005-0000-0000-0000DF2C0000}"/>
    <cellStyle name="Comma 2 2 6 3" xfId="11494" xr:uid="{00000000-0005-0000-0000-0000E02C0000}"/>
    <cellStyle name="Comma 2 2 6 3 2" xfId="11495" xr:uid="{00000000-0005-0000-0000-0000E12C0000}"/>
    <cellStyle name="Comma 2 2 6 3 2 2" xfId="11496" xr:uid="{00000000-0005-0000-0000-0000E22C0000}"/>
    <cellStyle name="Comma 2 2 6 3 3" xfId="11497" xr:uid="{00000000-0005-0000-0000-0000E32C0000}"/>
    <cellStyle name="Comma 2 2 6 3 3 2" xfId="11498" xr:uid="{00000000-0005-0000-0000-0000E42C0000}"/>
    <cellStyle name="Comma 2 2 6 3 4" xfId="11499" xr:uid="{00000000-0005-0000-0000-0000E52C0000}"/>
    <cellStyle name="Comma 2 2 6 3 4 2" xfId="11500" xr:uid="{00000000-0005-0000-0000-0000E62C0000}"/>
    <cellStyle name="Comma 2 2 6 3 5" xfId="11501" xr:uid="{00000000-0005-0000-0000-0000E72C0000}"/>
    <cellStyle name="Comma 2 2 6 3 5 2" xfId="11502" xr:uid="{00000000-0005-0000-0000-0000E82C0000}"/>
    <cellStyle name="Comma 2 2 6 3 6" xfId="11503" xr:uid="{00000000-0005-0000-0000-0000E92C0000}"/>
    <cellStyle name="Comma 2 2 6 4" xfId="11504" xr:uid="{00000000-0005-0000-0000-0000EA2C0000}"/>
    <cellStyle name="Comma 2 2 6 4 2" xfId="11505" xr:uid="{00000000-0005-0000-0000-0000EB2C0000}"/>
    <cellStyle name="Comma 2 2 6 4 2 2" xfId="11506" xr:uid="{00000000-0005-0000-0000-0000EC2C0000}"/>
    <cellStyle name="Comma 2 2 6 4 3" xfId="11507" xr:uid="{00000000-0005-0000-0000-0000ED2C0000}"/>
    <cellStyle name="Comma 2 2 6 5" xfId="11508" xr:uid="{00000000-0005-0000-0000-0000EE2C0000}"/>
    <cellStyle name="Comma 2 2 6 5 2" xfId="11509" xr:uid="{00000000-0005-0000-0000-0000EF2C0000}"/>
    <cellStyle name="Comma 2 2 6 6" xfId="11510" xr:uid="{00000000-0005-0000-0000-0000F02C0000}"/>
    <cellStyle name="Comma 2 2 6 6 2" xfId="11511" xr:uid="{00000000-0005-0000-0000-0000F12C0000}"/>
    <cellStyle name="Comma 2 2 6 7" xfId="11512" xr:uid="{00000000-0005-0000-0000-0000F22C0000}"/>
    <cellStyle name="Comma 2 2 6 7 2" xfId="11513" xr:uid="{00000000-0005-0000-0000-0000F32C0000}"/>
    <cellStyle name="Comma 2 2 6 8" xfId="11514" xr:uid="{00000000-0005-0000-0000-0000F42C0000}"/>
    <cellStyle name="Comma 2 2 7" xfId="11515" xr:uid="{00000000-0005-0000-0000-0000F52C0000}"/>
    <cellStyle name="Comma 2 2 7 2" xfId="11516" xr:uid="{00000000-0005-0000-0000-0000F62C0000}"/>
    <cellStyle name="Comma 2 2 7 2 2" xfId="11517" xr:uid="{00000000-0005-0000-0000-0000F72C0000}"/>
    <cellStyle name="Comma 2 2 7 3" xfId="11518" xr:uid="{00000000-0005-0000-0000-0000F82C0000}"/>
    <cellStyle name="Comma 2 2 7 3 2" xfId="11519" xr:uid="{00000000-0005-0000-0000-0000F92C0000}"/>
    <cellStyle name="Comma 2 2 7 4" xfId="11520" xr:uid="{00000000-0005-0000-0000-0000FA2C0000}"/>
    <cellStyle name="Comma 2 2 7 5" xfId="11521" xr:uid="{00000000-0005-0000-0000-0000FB2C0000}"/>
    <cellStyle name="Comma 2 2 7 5 2" xfId="11522" xr:uid="{00000000-0005-0000-0000-0000FC2C0000}"/>
    <cellStyle name="Comma 2 2 7 6" xfId="11523" xr:uid="{00000000-0005-0000-0000-0000FD2C0000}"/>
    <cellStyle name="Comma 2 2 7 6 2" xfId="11524" xr:uid="{00000000-0005-0000-0000-0000FE2C0000}"/>
    <cellStyle name="Comma 2 2 7 7" xfId="11525" xr:uid="{00000000-0005-0000-0000-0000FF2C0000}"/>
    <cellStyle name="Comma 2 2 8" xfId="11526" xr:uid="{00000000-0005-0000-0000-0000002D0000}"/>
    <cellStyle name="Comma 2 2 8 2" xfId="11527" xr:uid="{00000000-0005-0000-0000-0000012D0000}"/>
    <cellStyle name="Comma 2 2 8 2 2" xfId="11528" xr:uid="{00000000-0005-0000-0000-0000022D0000}"/>
    <cellStyle name="Comma 2 2 8 2 2 2" xfId="11529" xr:uid="{00000000-0005-0000-0000-0000032D0000}"/>
    <cellStyle name="Comma 2 2 8 2 3" xfId="11530" xr:uid="{00000000-0005-0000-0000-0000042D0000}"/>
    <cellStyle name="Comma 2 2 8 3" xfId="11531" xr:uid="{00000000-0005-0000-0000-0000052D0000}"/>
    <cellStyle name="Comma 2 2 8 3 2" xfId="11532" xr:uid="{00000000-0005-0000-0000-0000062D0000}"/>
    <cellStyle name="Comma 2 2 8 4" xfId="11533" xr:uid="{00000000-0005-0000-0000-0000072D0000}"/>
    <cellStyle name="Comma 2 2 8 4 2" xfId="11534" xr:uid="{00000000-0005-0000-0000-0000082D0000}"/>
    <cellStyle name="Comma 2 2 8 5" xfId="11535" xr:uid="{00000000-0005-0000-0000-0000092D0000}"/>
    <cellStyle name="Comma 2 2 8 5 2" xfId="11536" xr:uid="{00000000-0005-0000-0000-00000A2D0000}"/>
    <cellStyle name="Comma 2 2 8 6" xfId="11537" xr:uid="{00000000-0005-0000-0000-00000B2D0000}"/>
    <cellStyle name="Comma 2 2 9" xfId="11538" xr:uid="{00000000-0005-0000-0000-00000C2D0000}"/>
    <cellStyle name="Comma 2 2 9 2" xfId="11539" xr:uid="{00000000-0005-0000-0000-00000D2D0000}"/>
    <cellStyle name="Comma 2 2 9 2 2" xfId="11540" xr:uid="{00000000-0005-0000-0000-00000E2D0000}"/>
    <cellStyle name="Comma 2 2 9 3" xfId="11541" xr:uid="{00000000-0005-0000-0000-00000F2D0000}"/>
    <cellStyle name="Comma 2 2 9 3 2" xfId="11542" xr:uid="{00000000-0005-0000-0000-0000102D0000}"/>
    <cellStyle name="Comma 2 2 9 4" xfId="11543" xr:uid="{00000000-0005-0000-0000-0000112D0000}"/>
    <cellStyle name="Comma 2 3" xfId="11544" xr:uid="{00000000-0005-0000-0000-0000122D0000}"/>
    <cellStyle name="Comma 2 3 2" xfId="11545" xr:uid="{00000000-0005-0000-0000-0000132D0000}"/>
    <cellStyle name="Comma 2 3 3" xfId="11546" xr:uid="{00000000-0005-0000-0000-0000142D0000}"/>
    <cellStyle name="Comma 2 4" xfId="11547" xr:uid="{00000000-0005-0000-0000-0000152D0000}"/>
    <cellStyle name="Comma 2 5" xfId="11548" xr:uid="{00000000-0005-0000-0000-0000162D0000}"/>
    <cellStyle name="Comma 2 6" xfId="11549" xr:uid="{00000000-0005-0000-0000-0000172D0000}"/>
    <cellStyle name="Comma 20" xfId="11550" xr:uid="{00000000-0005-0000-0000-0000182D0000}"/>
    <cellStyle name="Comma 21" xfId="11551" xr:uid="{00000000-0005-0000-0000-0000192D0000}"/>
    <cellStyle name="Comma 3" xfId="11552" xr:uid="{00000000-0005-0000-0000-00001A2D0000}"/>
    <cellStyle name="Comma 3 10" xfId="11553" xr:uid="{00000000-0005-0000-0000-00001B2D0000}"/>
    <cellStyle name="Comma 3 10 2" xfId="11554" xr:uid="{00000000-0005-0000-0000-00001C2D0000}"/>
    <cellStyle name="Comma 3 11" xfId="11555" xr:uid="{00000000-0005-0000-0000-00001D2D0000}"/>
    <cellStyle name="Comma 3 12" xfId="11556" xr:uid="{00000000-0005-0000-0000-00001E2D0000}"/>
    <cellStyle name="Comma 3 2" xfId="4" xr:uid="{00000000-0005-0000-0000-00001F2D0000}"/>
    <cellStyle name="Comma 3 2 2" xfId="11557" xr:uid="{00000000-0005-0000-0000-0000202D0000}"/>
    <cellStyle name="Comma 3 2 3" xfId="11558" xr:uid="{00000000-0005-0000-0000-0000212D0000}"/>
    <cellStyle name="Comma 3 2 3 2" xfId="11559" xr:uid="{00000000-0005-0000-0000-0000222D0000}"/>
    <cellStyle name="Comma 3 2 4" xfId="11560" xr:uid="{00000000-0005-0000-0000-0000232D0000}"/>
    <cellStyle name="Comma 3 2 5" xfId="11561" xr:uid="{00000000-0005-0000-0000-0000242D0000}"/>
    <cellStyle name="Comma 3 3" xfId="11562" xr:uid="{00000000-0005-0000-0000-0000252D0000}"/>
    <cellStyle name="Comma 3 3 2" xfId="11563" xr:uid="{00000000-0005-0000-0000-0000262D0000}"/>
    <cellStyle name="Comma 3 3 2 2" xfId="11564" xr:uid="{00000000-0005-0000-0000-0000272D0000}"/>
    <cellStyle name="Comma 3 3 3" xfId="11565" xr:uid="{00000000-0005-0000-0000-0000282D0000}"/>
    <cellStyle name="Comma 3 3 4" xfId="11566" xr:uid="{00000000-0005-0000-0000-0000292D0000}"/>
    <cellStyle name="Comma 3 3 5" xfId="11567" xr:uid="{00000000-0005-0000-0000-00002A2D0000}"/>
    <cellStyle name="Comma 3 4" xfId="11568" xr:uid="{00000000-0005-0000-0000-00002B2D0000}"/>
    <cellStyle name="Comma 3 4 2" xfId="11569" xr:uid="{00000000-0005-0000-0000-00002C2D0000}"/>
    <cellStyle name="Comma 3 4 3" xfId="11570" xr:uid="{00000000-0005-0000-0000-00002D2D0000}"/>
    <cellStyle name="Comma 3 4 3 2" xfId="11571" xr:uid="{00000000-0005-0000-0000-00002E2D0000}"/>
    <cellStyle name="Comma 3 4 4" xfId="11572" xr:uid="{00000000-0005-0000-0000-00002F2D0000}"/>
    <cellStyle name="Comma 3 4 5" xfId="11573" xr:uid="{00000000-0005-0000-0000-0000302D0000}"/>
    <cellStyle name="Comma 3 5" xfId="11574" xr:uid="{00000000-0005-0000-0000-0000312D0000}"/>
    <cellStyle name="Comma 3 5 2" xfId="11575" xr:uid="{00000000-0005-0000-0000-0000322D0000}"/>
    <cellStyle name="Comma 3 5 3" xfId="11576" xr:uid="{00000000-0005-0000-0000-0000332D0000}"/>
    <cellStyle name="Comma 3 6" xfId="11577" xr:uid="{00000000-0005-0000-0000-0000342D0000}"/>
    <cellStyle name="Comma 3 6 2" xfId="11578" xr:uid="{00000000-0005-0000-0000-0000352D0000}"/>
    <cellStyle name="Comma 3 6 3" xfId="11579" xr:uid="{00000000-0005-0000-0000-0000362D0000}"/>
    <cellStyle name="Comma 3 7" xfId="11580" xr:uid="{00000000-0005-0000-0000-0000372D0000}"/>
    <cellStyle name="Comma 3 7 2" xfId="11581" xr:uid="{00000000-0005-0000-0000-0000382D0000}"/>
    <cellStyle name="Comma 3 7 3" xfId="11582" xr:uid="{00000000-0005-0000-0000-0000392D0000}"/>
    <cellStyle name="Comma 3 8" xfId="11583" xr:uid="{00000000-0005-0000-0000-00003A2D0000}"/>
    <cellStyle name="Comma 3 8 2" xfId="11584" xr:uid="{00000000-0005-0000-0000-00003B2D0000}"/>
    <cellStyle name="Comma 3 8 3" xfId="11585" xr:uid="{00000000-0005-0000-0000-00003C2D0000}"/>
    <cellStyle name="Comma 3 9" xfId="11586" xr:uid="{00000000-0005-0000-0000-00003D2D0000}"/>
    <cellStyle name="Comma 3 9 2" xfId="11587" xr:uid="{00000000-0005-0000-0000-00003E2D0000}"/>
    <cellStyle name="Comma 3 9 3" xfId="11588" xr:uid="{00000000-0005-0000-0000-00003F2D0000}"/>
    <cellStyle name="Comma 3 9 4" xfId="11589" xr:uid="{00000000-0005-0000-0000-0000402D0000}"/>
    <cellStyle name="Comma 4" xfId="11590" xr:uid="{00000000-0005-0000-0000-0000412D0000}"/>
    <cellStyle name="Comma 4 2" xfId="11591" xr:uid="{00000000-0005-0000-0000-0000422D0000}"/>
    <cellStyle name="Comma 4 2 2" xfId="11592" xr:uid="{00000000-0005-0000-0000-0000432D0000}"/>
    <cellStyle name="Comma 4 3" xfId="11593" xr:uid="{00000000-0005-0000-0000-0000442D0000}"/>
    <cellStyle name="Comma 4 3 2" xfId="11594" xr:uid="{00000000-0005-0000-0000-0000452D0000}"/>
    <cellStyle name="Comma 4 3 2 2" xfId="11595" xr:uid="{00000000-0005-0000-0000-0000462D0000}"/>
    <cellStyle name="Comma 4 3 2 2 2" xfId="11596" xr:uid="{00000000-0005-0000-0000-0000472D0000}"/>
    <cellStyle name="Comma 4 3 2 3" xfId="11597" xr:uid="{00000000-0005-0000-0000-0000482D0000}"/>
    <cellStyle name="Comma 4 3 3" xfId="11598" xr:uid="{00000000-0005-0000-0000-0000492D0000}"/>
    <cellStyle name="Comma 4 3 3 2" xfId="11599" xr:uid="{00000000-0005-0000-0000-00004A2D0000}"/>
    <cellStyle name="Comma 4 3 4" xfId="11600" xr:uid="{00000000-0005-0000-0000-00004B2D0000}"/>
    <cellStyle name="Comma 4 4" xfId="11601" xr:uid="{00000000-0005-0000-0000-00004C2D0000}"/>
    <cellStyle name="Comma 4 4 2" xfId="11602" xr:uid="{00000000-0005-0000-0000-00004D2D0000}"/>
    <cellStyle name="Comma 4 4 2 2" xfId="11603" xr:uid="{00000000-0005-0000-0000-00004E2D0000}"/>
    <cellStyle name="Comma 4 4 3" xfId="11604" xr:uid="{00000000-0005-0000-0000-00004F2D0000}"/>
    <cellStyle name="Comma 4 5" xfId="11605" xr:uid="{00000000-0005-0000-0000-0000502D0000}"/>
    <cellStyle name="Comma 4 5 2" xfId="11606" xr:uid="{00000000-0005-0000-0000-0000512D0000}"/>
    <cellStyle name="Comma 4 5 2 2" xfId="11607" xr:uid="{00000000-0005-0000-0000-0000522D0000}"/>
    <cellStyle name="Comma 4 5 3" xfId="11608" xr:uid="{00000000-0005-0000-0000-0000532D0000}"/>
    <cellStyle name="Comma 4 6" xfId="11609" xr:uid="{00000000-0005-0000-0000-0000542D0000}"/>
    <cellStyle name="Comma 4 6 2" xfId="11610" xr:uid="{00000000-0005-0000-0000-0000552D0000}"/>
    <cellStyle name="Comma 4 7" xfId="11611" xr:uid="{00000000-0005-0000-0000-0000562D0000}"/>
    <cellStyle name="Comma 5" xfId="11612" xr:uid="{00000000-0005-0000-0000-0000572D0000}"/>
    <cellStyle name="Comma 5 10" xfId="11613" xr:uid="{00000000-0005-0000-0000-0000582D0000}"/>
    <cellStyle name="Comma 5 10 2" xfId="11614" xr:uid="{00000000-0005-0000-0000-0000592D0000}"/>
    <cellStyle name="Comma 5 11" xfId="11615" xr:uid="{00000000-0005-0000-0000-00005A2D0000}"/>
    <cellStyle name="Comma 5 11 2" xfId="11616" xr:uid="{00000000-0005-0000-0000-00005B2D0000}"/>
    <cellStyle name="Comma 5 12" xfId="11617" xr:uid="{00000000-0005-0000-0000-00005C2D0000}"/>
    <cellStyle name="Comma 5 12 2" xfId="11618" xr:uid="{00000000-0005-0000-0000-00005D2D0000}"/>
    <cellStyle name="Comma 5 13" xfId="11619" xr:uid="{00000000-0005-0000-0000-00005E2D0000}"/>
    <cellStyle name="Comma 5 2" xfId="11620" xr:uid="{00000000-0005-0000-0000-00005F2D0000}"/>
    <cellStyle name="Comma 5 2 10" xfId="11621" xr:uid="{00000000-0005-0000-0000-0000602D0000}"/>
    <cellStyle name="Comma 5 2 10 2" xfId="11622" xr:uid="{00000000-0005-0000-0000-0000612D0000}"/>
    <cellStyle name="Comma 5 2 11" xfId="11623" xr:uid="{00000000-0005-0000-0000-0000622D0000}"/>
    <cellStyle name="Comma 5 2 2" xfId="11624" xr:uid="{00000000-0005-0000-0000-0000632D0000}"/>
    <cellStyle name="Comma 5 2 2 10" xfId="11625" xr:uid="{00000000-0005-0000-0000-0000642D0000}"/>
    <cellStyle name="Comma 5 2 2 2" xfId="11626" xr:uid="{00000000-0005-0000-0000-0000652D0000}"/>
    <cellStyle name="Comma 5 2 2 2 2" xfId="11627" xr:uid="{00000000-0005-0000-0000-0000662D0000}"/>
    <cellStyle name="Comma 5 2 2 2 2 2" xfId="11628" xr:uid="{00000000-0005-0000-0000-0000672D0000}"/>
    <cellStyle name="Comma 5 2 2 2 2 2 2" xfId="11629" xr:uid="{00000000-0005-0000-0000-0000682D0000}"/>
    <cellStyle name="Comma 5 2 2 2 2 2 2 2" xfId="11630" xr:uid="{00000000-0005-0000-0000-0000692D0000}"/>
    <cellStyle name="Comma 5 2 2 2 2 2 3" xfId="11631" xr:uid="{00000000-0005-0000-0000-00006A2D0000}"/>
    <cellStyle name="Comma 5 2 2 2 2 2 3 2" xfId="11632" xr:uid="{00000000-0005-0000-0000-00006B2D0000}"/>
    <cellStyle name="Comma 5 2 2 2 2 2 4" xfId="11633" xr:uid="{00000000-0005-0000-0000-00006C2D0000}"/>
    <cellStyle name="Comma 5 2 2 2 2 3" xfId="11634" xr:uid="{00000000-0005-0000-0000-00006D2D0000}"/>
    <cellStyle name="Comma 5 2 2 2 2 3 2" xfId="11635" xr:uid="{00000000-0005-0000-0000-00006E2D0000}"/>
    <cellStyle name="Comma 5 2 2 2 2 4" xfId="11636" xr:uid="{00000000-0005-0000-0000-00006F2D0000}"/>
    <cellStyle name="Comma 5 2 2 2 2 4 2" xfId="11637" xr:uid="{00000000-0005-0000-0000-0000702D0000}"/>
    <cellStyle name="Comma 5 2 2 2 2 5" xfId="11638" xr:uid="{00000000-0005-0000-0000-0000712D0000}"/>
    <cellStyle name="Comma 5 2 2 2 2 5 2" xfId="11639" xr:uid="{00000000-0005-0000-0000-0000722D0000}"/>
    <cellStyle name="Comma 5 2 2 2 2 6" xfId="11640" xr:uid="{00000000-0005-0000-0000-0000732D0000}"/>
    <cellStyle name="Comma 5 2 2 2 2 6 2" xfId="11641" xr:uid="{00000000-0005-0000-0000-0000742D0000}"/>
    <cellStyle name="Comma 5 2 2 2 2 7" xfId="11642" xr:uid="{00000000-0005-0000-0000-0000752D0000}"/>
    <cellStyle name="Comma 5 2 2 2 3" xfId="11643" xr:uid="{00000000-0005-0000-0000-0000762D0000}"/>
    <cellStyle name="Comma 5 2 2 2 3 2" xfId="11644" xr:uid="{00000000-0005-0000-0000-0000772D0000}"/>
    <cellStyle name="Comma 5 2 2 2 3 2 2" xfId="11645" xr:uid="{00000000-0005-0000-0000-0000782D0000}"/>
    <cellStyle name="Comma 5 2 2 2 3 3" xfId="11646" xr:uid="{00000000-0005-0000-0000-0000792D0000}"/>
    <cellStyle name="Comma 5 2 2 2 3 3 2" xfId="11647" xr:uid="{00000000-0005-0000-0000-00007A2D0000}"/>
    <cellStyle name="Comma 5 2 2 2 3 4" xfId="11648" xr:uid="{00000000-0005-0000-0000-00007B2D0000}"/>
    <cellStyle name="Comma 5 2 2 2 3 4 2" xfId="11649" xr:uid="{00000000-0005-0000-0000-00007C2D0000}"/>
    <cellStyle name="Comma 5 2 2 2 3 5" xfId="11650" xr:uid="{00000000-0005-0000-0000-00007D2D0000}"/>
    <cellStyle name="Comma 5 2 2 2 3 5 2" xfId="11651" xr:uid="{00000000-0005-0000-0000-00007E2D0000}"/>
    <cellStyle name="Comma 5 2 2 2 3 6" xfId="11652" xr:uid="{00000000-0005-0000-0000-00007F2D0000}"/>
    <cellStyle name="Comma 5 2 2 2 4" xfId="11653" xr:uid="{00000000-0005-0000-0000-0000802D0000}"/>
    <cellStyle name="Comma 5 2 2 2 4 2" xfId="11654" xr:uid="{00000000-0005-0000-0000-0000812D0000}"/>
    <cellStyle name="Comma 5 2 2 2 4 2 2" xfId="11655" xr:uid="{00000000-0005-0000-0000-0000822D0000}"/>
    <cellStyle name="Comma 5 2 2 2 4 3" xfId="11656" xr:uid="{00000000-0005-0000-0000-0000832D0000}"/>
    <cellStyle name="Comma 5 2 2 2 5" xfId="11657" xr:uid="{00000000-0005-0000-0000-0000842D0000}"/>
    <cellStyle name="Comma 5 2 2 2 5 2" xfId="11658" xr:uid="{00000000-0005-0000-0000-0000852D0000}"/>
    <cellStyle name="Comma 5 2 2 2 6" xfId="11659" xr:uid="{00000000-0005-0000-0000-0000862D0000}"/>
    <cellStyle name="Comma 5 2 2 2 6 2" xfId="11660" xr:uid="{00000000-0005-0000-0000-0000872D0000}"/>
    <cellStyle name="Comma 5 2 2 2 7" xfId="11661" xr:uid="{00000000-0005-0000-0000-0000882D0000}"/>
    <cellStyle name="Comma 5 2 2 2 7 2" xfId="11662" xr:uid="{00000000-0005-0000-0000-0000892D0000}"/>
    <cellStyle name="Comma 5 2 2 2 8" xfId="11663" xr:uid="{00000000-0005-0000-0000-00008A2D0000}"/>
    <cellStyle name="Comma 5 2 2 3" xfId="11664" xr:uid="{00000000-0005-0000-0000-00008B2D0000}"/>
    <cellStyle name="Comma 5 2 2 3 2" xfId="11665" xr:uid="{00000000-0005-0000-0000-00008C2D0000}"/>
    <cellStyle name="Comma 5 2 2 3 2 2" xfId="11666" xr:uid="{00000000-0005-0000-0000-00008D2D0000}"/>
    <cellStyle name="Comma 5 2 2 3 2 2 2" xfId="11667" xr:uid="{00000000-0005-0000-0000-00008E2D0000}"/>
    <cellStyle name="Comma 5 2 2 3 2 2 2 2" xfId="11668" xr:uid="{00000000-0005-0000-0000-00008F2D0000}"/>
    <cellStyle name="Comma 5 2 2 3 2 2 3" xfId="11669" xr:uid="{00000000-0005-0000-0000-0000902D0000}"/>
    <cellStyle name="Comma 5 2 2 3 2 2 3 2" xfId="11670" xr:uid="{00000000-0005-0000-0000-0000912D0000}"/>
    <cellStyle name="Comma 5 2 2 3 2 2 4" xfId="11671" xr:uid="{00000000-0005-0000-0000-0000922D0000}"/>
    <cellStyle name="Comma 5 2 2 3 2 3" xfId="11672" xr:uid="{00000000-0005-0000-0000-0000932D0000}"/>
    <cellStyle name="Comma 5 2 2 3 2 3 2" xfId="11673" xr:uid="{00000000-0005-0000-0000-0000942D0000}"/>
    <cellStyle name="Comma 5 2 2 3 2 4" xfId="11674" xr:uid="{00000000-0005-0000-0000-0000952D0000}"/>
    <cellStyle name="Comma 5 2 2 3 2 4 2" xfId="11675" xr:uid="{00000000-0005-0000-0000-0000962D0000}"/>
    <cellStyle name="Comma 5 2 2 3 2 5" xfId="11676" xr:uid="{00000000-0005-0000-0000-0000972D0000}"/>
    <cellStyle name="Comma 5 2 2 3 2 5 2" xfId="11677" xr:uid="{00000000-0005-0000-0000-0000982D0000}"/>
    <cellStyle name="Comma 5 2 2 3 2 6" xfId="11678" xr:uid="{00000000-0005-0000-0000-0000992D0000}"/>
    <cellStyle name="Comma 5 2 2 3 2 6 2" xfId="11679" xr:uid="{00000000-0005-0000-0000-00009A2D0000}"/>
    <cellStyle name="Comma 5 2 2 3 2 7" xfId="11680" xr:uid="{00000000-0005-0000-0000-00009B2D0000}"/>
    <cellStyle name="Comma 5 2 2 3 3" xfId="11681" xr:uid="{00000000-0005-0000-0000-00009C2D0000}"/>
    <cellStyle name="Comma 5 2 2 3 3 2" xfId="11682" xr:uid="{00000000-0005-0000-0000-00009D2D0000}"/>
    <cellStyle name="Comma 5 2 2 3 3 2 2" xfId="11683" xr:uid="{00000000-0005-0000-0000-00009E2D0000}"/>
    <cellStyle name="Comma 5 2 2 3 3 3" xfId="11684" xr:uid="{00000000-0005-0000-0000-00009F2D0000}"/>
    <cellStyle name="Comma 5 2 2 3 3 3 2" xfId="11685" xr:uid="{00000000-0005-0000-0000-0000A02D0000}"/>
    <cellStyle name="Comma 5 2 2 3 3 4" xfId="11686" xr:uid="{00000000-0005-0000-0000-0000A12D0000}"/>
    <cellStyle name="Comma 5 2 2 3 3 4 2" xfId="11687" xr:uid="{00000000-0005-0000-0000-0000A22D0000}"/>
    <cellStyle name="Comma 5 2 2 3 3 5" xfId="11688" xr:uid="{00000000-0005-0000-0000-0000A32D0000}"/>
    <cellStyle name="Comma 5 2 2 3 3 5 2" xfId="11689" xr:uid="{00000000-0005-0000-0000-0000A42D0000}"/>
    <cellStyle name="Comma 5 2 2 3 3 6" xfId="11690" xr:uid="{00000000-0005-0000-0000-0000A52D0000}"/>
    <cellStyle name="Comma 5 2 2 3 4" xfId="11691" xr:uid="{00000000-0005-0000-0000-0000A62D0000}"/>
    <cellStyle name="Comma 5 2 2 3 4 2" xfId="11692" xr:uid="{00000000-0005-0000-0000-0000A72D0000}"/>
    <cellStyle name="Comma 5 2 2 3 4 2 2" xfId="11693" xr:uid="{00000000-0005-0000-0000-0000A82D0000}"/>
    <cellStyle name="Comma 5 2 2 3 4 3" xfId="11694" xr:uid="{00000000-0005-0000-0000-0000A92D0000}"/>
    <cellStyle name="Comma 5 2 2 3 5" xfId="11695" xr:uid="{00000000-0005-0000-0000-0000AA2D0000}"/>
    <cellStyle name="Comma 5 2 2 3 5 2" xfId="11696" xr:uid="{00000000-0005-0000-0000-0000AB2D0000}"/>
    <cellStyle name="Comma 5 2 2 3 6" xfId="11697" xr:uid="{00000000-0005-0000-0000-0000AC2D0000}"/>
    <cellStyle name="Comma 5 2 2 3 6 2" xfId="11698" xr:uid="{00000000-0005-0000-0000-0000AD2D0000}"/>
    <cellStyle name="Comma 5 2 2 3 7" xfId="11699" xr:uid="{00000000-0005-0000-0000-0000AE2D0000}"/>
    <cellStyle name="Comma 5 2 2 3 7 2" xfId="11700" xr:uid="{00000000-0005-0000-0000-0000AF2D0000}"/>
    <cellStyle name="Comma 5 2 2 3 8" xfId="11701" xr:uid="{00000000-0005-0000-0000-0000B02D0000}"/>
    <cellStyle name="Comma 5 2 2 4" xfId="11702" xr:uid="{00000000-0005-0000-0000-0000B12D0000}"/>
    <cellStyle name="Comma 5 2 2 4 2" xfId="11703" xr:uid="{00000000-0005-0000-0000-0000B22D0000}"/>
    <cellStyle name="Comma 5 2 2 4 2 2" xfId="11704" xr:uid="{00000000-0005-0000-0000-0000B32D0000}"/>
    <cellStyle name="Comma 5 2 2 4 2 2 2" xfId="11705" xr:uid="{00000000-0005-0000-0000-0000B42D0000}"/>
    <cellStyle name="Comma 5 2 2 4 2 3" xfId="11706" xr:uid="{00000000-0005-0000-0000-0000B52D0000}"/>
    <cellStyle name="Comma 5 2 2 4 2 3 2" xfId="11707" xr:uid="{00000000-0005-0000-0000-0000B62D0000}"/>
    <cellStyle name="Comma 5 2 2 4 2 4" xfId="11708" xr:uid="{00000000-0005-0000-0000-0000B72D0000}"/>
    <cellStyle name="Comma 5 2 2 4 3" xfId="11709" xr:uid="{00000000-0005-0000-0000-0000B82D0000}"/>
    <cellStyle name="Comma 5 2 2 4 3 2" xfId="11710" xr:uid="{00000000-0005-0000-0000-0000B92D0000}"/>
    <cellStyle name="Comma 5 2 2 4 4" xfId="11711" xr:uid="{00000000-0005-0000-0000-0000BA2D0000}"/>
    <cellStyle name="Comma 5 2 2 4 4 2" xfId="11712" xr:uid="{00000000-0005-0000-0000-0000BB2D0000}"/>
    <cellStyle name="Comma 5 2 2 4 5" xfId="11713" xr:uid="{00000000-0005-0000-0000-0000BC2D0000}"/>
    <cellStyle name="Comma 5 2 2 4 5 2" xfId="11714" xr:uid="{00000000-0005-0000-0000-0000BD2D0000}"/>
    <cellStyle name="Comma 5 2 2 4 6" xfId="11715" xr:uid="{00000000-0005-0000-0000-0000BE2D0000}"/>
    <cellStyle name="Comma 5 2 2 4 6 2" xfId="11716" xr:uid="{00000000-0005-0000-0000-0000BF2D0000}"/>
    <cellStyle name="Comma 5 2 2 4 7" xfId="11717" xr:uid="{00000000-0005-0000-0000-0000C02D0000}"/>
    <cellStyle name="Comma 5 2 2 5" xfId="11718" xr:uid="{00000000-0005-0000-0000-0000C12D0000}"/>
    <cellStyle name="Comma 5 2 2 5 2" xfId="11719" xr:uid="{00000000-0005-0000-0000-0000C22D0000}"/>
    <cellStyle name="Comma 5 2 2 5 2 2" xfId="11720" xr:uid="{00000000-0005-0000-0000-0000C32D0000}"/>
    <cellStyle name="Comma 5 2 2 5 3" xfId="11721" xr:uid="{00000000-0005-0000-0000-0000C42D0000}"/>
    <cellStyle name="Comma 5 2 2 5 3 2" xfId="11722" xr:uid="{00000000-0005-0000-0000-0000C52D0000}"/>
    <cellStyle name="Comma 5 2 2 5 4" xfId="11723" xr:uid="{00000000-0005-0000-0000-0000C62D0000}"/>
    <cellStyle name="Comma 5 2 2 5 4 2" xfId="11724" xr:uid="{00000000-0005-0000-0000-0000C72D0000}"/>
    <cellStyle name="Comma 5 2 2 5 5" xfId="11725" xr:uid="{00000000-0005-0000-0000-0000C82D0000}"/>
    <cellStyle name="Comma 5 2 2 5 5 2" xfId="11726" xr:uid="{00000000-0005-0000-0000-0000C92D0000}"/>
    <cellStyle name="Comma 5 2 2 5 6" xfId="11727" xr:uid="{00000000-0005-0000-0000-0000CA2D0000}"/>
    <cellStyle name="Comma 5 2 2 6" xfId="11728" xr:uid="{00000000-0005-0000-0000-0000CB2D0000}"/>
    <cellStyle name="Comma 5 2 2 6 2" xfId="11729" xr:uid="{00000000-0005-0000-0000-0000CC2D0000}"/>
    <cellStyle name="Comma 5 2 2 6 2 2" xfId="11730" xr:uid="{00000000-0005-0000-0000-0000CD2D0000}"/>
    <cellStyle name="Comma 5 2 2 6 3" xfId="11731" xr:uid="{00000000-0005-0000-0000-0000CE2D0000}"/>
    <cellStyle name="Comma 5 2 2 7" xfId="11732" xr:uid="{00000000-0005-0000-0000-0000CF2D0000}"/>
    <cellStyle name="Comma 5 2 2 7 2" xfId="11733" xr:uid="{00000000-0005-0000-0000-0000D02D0000}"/>
    <cellStyle name="Comma 5 2 2 8" xfId="11734" xr:uid="{00000000-0005-0000-0000-0000D12D0000}"/>
    <cellStyle name="Comma 5 2 2 8 2" xfId="11735" xr:uid="{00000000-0005-0000-0000-0000D22D0000}"/>
    <cellStyle name="Comma 5 2 2 9" xfId="11736" xr:uid="{00000000-0005-0000-0000-0000D32D0000}"/>
    <cellStyle name="Comma 5 2 2 9 2" xfId="11737" xr:uid="{00000000-0005-0000-0000-0000D42D0000}"/>
    <cellStyle name="Comma 5 2 3" xfId="11738" xr:uid="{00000000-0005-0000-0000-0000D52D0000}"/>
    <cellStyle name="Comma 5 2 3 2" xfId="11739" xr:uid="{00000000-0005-0000-0000-0000D62D0000}"/>
    <cellStyle name="Comma 5 2 3 2 2" xfId="11740" xr:uid="{00000000-0005-0000-0000-0000D72D0000}"/>
    <cellStyle name="Comma 5 2 3 2 2 2" xfId="11741" xr:uid="{00000000-0005-0000-0000-0000D82D0000}"/>
    <cellStyle name="Comma 5 2 3 2 2 2 2" xfId="11742" xr:uid="{00000000-0005-0000-0000-0000D92D0000}"/>
    <cellStyle name="Comma 5 2 3 2 2 3" xfId="11743" xr:uid="{00000000-0005-0000-0000-0000DA2D0000}"/>
    <cellStyle name="Comma 5 2 3 2 2 3 2" xfId="11744" xr:uid="{00000000-0005-0000-0000-0000DB2D0000}"/>
    <cellStyle name="Comma 5 2 3 2 2 4" xfId="11745" xr:uid="{00000000-0005-0000-0000-0000DC2D0000}"/>
    <cellStyle name="Comma 5 2 3 2 3" xfId="11746" xr:uid="{00000000-0005-0000-0000-0000DD2D0000}"/>
    <cellStyle name="Comma 5 2 3 2 3 2" xfId="11747" xr:uid="{00000000-0005-0000-0000-0000DE2D0000}"/>
    <cellStyle name="Comma 5 2 3 2 4" xfId="11748" xr:uid="{00000000-0005-0000-0000-0000DF2D0000}"/>
    <cellStyle name="Comma 5 2 3 2 4 2" xfId="11749" xr:uid="{00000000-0005-0000-0000-0000E02D0000}"/>
    <cellStyle name="Comma 5 2 3 2 5" xfId="11750" xr:uid="{00000000-0005-0000-0000-0000E12D0000}"/>
    <cellStyle name="Comma 5 2 3 2 5 2" xfId="11751" xr:uid="{00000000-0005-0000-0000-0000E22D0000}"/>
    <cellStyle name="Comma 5 2 3 2 6" xfId="11752" xr:uid="{00000000-0005-0000-0000-0000E32D0000}"/>
    <cellStyle name="Comma 5 2 3 2 6 2" xfId="11753" xr:uid="{00000000-0005-0000-0000-0000E42D0000}"/>
    <cellStyle name="Comma 5 2 3 2 7" xfId="11754" xr:uid="{00000000-0005-0000-0000-0000E52D0000}"/>
    <cellStyle name="Comma 5 2 3 3" xfId="11755" xr:uid="{00000000-0005-0000-0000-0000E62D0000}"/>
    <cellStyle name="Comma 5 2 3 3 2" xfId="11756" xr:uid="{00000000-0005-0000-0000-0000E72D0000}"/>
    <cellStyle name="Comma 5 2 3 3 2 2" xfId="11757" xr:uid="{00000000-0005-0000-0000-0000E82D0000}"/>
    <cellStyle name="Comma 5 2 3 3 3" xfId="11758" xr:uid="{00000000-0005-0000-0000-0000E92D0000}"/>
    <cellStyle name="Comma 5 2 3 3 3 2" xfId="11759" xr:uid="{00000000-0005-0000-0000-0000EA2D0000}"/>
    <cellStyle name="Comma 5 2 3 3 4" xfId="11760" xr:uid="{00000000-0005-0000-0000-0000EB2D0000}"/>
    <cellStyle name="Comma 5 2 3 3 4 2" xfId="11761" xr:uid="{00000000-0005-0000-0000-0000EC2D0000}"/>
    <cellStyle name="Comma 5 2 3 3 5" xfId="11762" xr:uid="{00000000-0005-0000-0000-0000ED2D0000}"/>
    <cellStyle name="Comma 5 2 3 3 5 2" xfId="11763" xr:uid="{00000000-0005-0000-0000-0000EE2D0000}"/>
    <cellStyle name="Comma 5 2 3 3 6" xfId="11764" xr:uid="{00000000-0005-0000-0000-0000EF2D0000}"/>
    <cellStyle name="Comma 5 2 3 4" xfId="11765" xr:uid="{00000000-0005-0000-0000-0000F02D0000}"/>
    <cellStyle name="Comma 5 2 3 4 2" xfId="11766" xr:uid="{00000000-0005-0000-0000-0000F12D0000}"/>
    <cellStyle name="Comma 5 2 3 4 2 2" xfId="11767" xr:uid="{00000000-0005-0000-0000-0000F22D0000}"/>
    <cellStyle name="Comma 5 2 3 4 3" xfId="11768" xr:uid="{00000000-0005-0000-0000-0000F32D0000}"/>
    <cellStyle name="Comma 5 2 3 5" xfId="11769" xr:uid="{00000000-0005-0000-0000-0000F42D0000}"/>
    <cellStyle name="Comma 5 2 3 5 2" xfId="11770" xr:uid="{00000000-0005-0000-0000-0000F52D0000}"/>
    <cellStyle name="Comma 5 2 3 6" xfId="11771" xr:uid="{00000000-0005-0000-0000-0000F62D0000}"/>
    <cellStyle name="Comma 5 2 3 6 2" xfId="11772" xr:uid="{00000000-0005-0000-0000-0000F72D0000}"/>
    <cellStyle name="Comma 5 2 3 7" xfId="11773" xr:uid="{00000000-0005-0000-0000-0000F82D0000}"/>
    <cellStyle name="Comma 5 2 3 7 2" xfId="11774" xr:uid="{00000000-0005-0000-0000-0000F92D0000}"/>
    <cellStyle name="Comma 5 2 3 8" xfId="11775" xr:uid="{00000000-0005-0000-0000-0000FA2D0000}"/>
    <cellStyle name="Comma 5 2 4" xfId="11776" xr:uid="{00000000-0005-0000-0000-0000FB2D0000}"/>
    <cellStyle name="Comma 5 2 4 2" xfId="11777" xr:uid="{00000000-0005-0000-0000-0000FC2D0000}"/>
    <cellStyle name="Comma 5 2 4 2 2" xfId="11778" xr:uid="{00000000-0005-0000-0000-0000FD2D0000}"/>
    <cellStyle name="Comma 5 2 4 2 2 2" xfId="11779" xr:uid="{00000000-0005-0000-0000-0000FE2D0000}"/>
    <cellStyle name="Comma 5 2 4 2 2 2 2" xfId="11780" xr:uid="{00000000-0005-0000-0000-0000FF2D0000}"/>
    <cellStyle name="Comma 5 2 4 2 2 3" xfId="11781" xr:uid="{00000000-0005-0000-0000-0000002E0000}"/>
    <cellStyle name="Comma 5 2 4 2 2 3 2" xfId="11782" xr:uid="{00000000-0005-0000-0000-0000012E0000}"/>
    <cellStyle name="Comma 5 2 4 2 2 4" xfId="11783" xr:uid="{00000000-0005-0000-0000-0000022E0000}"/>
    <cellStyle name="Comma 5 2 4 2 3" xfId="11784" xr:uid="{00000000-0005-0000-0000-0000032E0000}"/>
    <cellStyle name="Comma 5 2 4 2 3 2" xfId="11785" xr:uid="{00000000-0005-0000-0000-0000042E0000}"/>
    <cellStyle name="Comma 5 2 4 2 4" xfId="11786" xr:uid="{00000000-0005-0000-0000-0000052E0000}"/>
    <cellStyle name="Comma 5 2 4 2 4 2" xfId="11787" xr:uid="{00000000-0005-0000-0000-0000062E0000}"/>
    <cellStyle name="Comma 5 2 4 2 5" xfId="11788" xr:uid="{00000000-0005-0000-0000-0000072E0000}"/>
    <cellStyle name="Comma 5 2 4 2 5 2" xfId="11789" xr:uid="{00000000-0005-0000-0000-0000082E0000}"/>
    <cellStyle name="Comma 5 2 4 2 6" xfId="11790" xr:uid="{00000000-0005-0000-0000-0000092E0000}"/>
    <cellStyle name="Comma 5 2 4 2 6 2" xfId="11791" xr:uid="{00000000-0005-0000-0000-00000A2E0000}"/>
    <cellStyle name="Comma 5 2 4 2 7" xfId="11792" xr:uid="{00000000-0005-0000-0000-00000B2E0000}"/>
    <cellStyle name="Comma 5 2 4 3" xfId="11793" xr:uid="{00000000-0005-0000-0000-00000C2E0000}"/>
    <cellStyle name="Comma 5 2 4 3 2" xfId="11794" xr:uid="{00000000-0005-0000-0000-00000D2E0000}"/>
    <cellStyle name="Comma 5 2 4 3 2 2" xfId="11795" xr:uid="{00000000-0005-0000-0000-00000E2E0000}"/>
    <cellStyle name="Comma 5 2 4 3 3" xfId="11796" xr:uid="{00000000-0005-0000-0000-00000F2E0000}"/>
    <cellStyle name="Comma 5 2 4 3 3 2" xfId="11797" xr:uid="{00000000-0005-0000-0000-0000102E0000}"/>
    <cellStyle name="Comma 5 2 4 3 4" xfId="11798" xr:uid="{00000000-0005-0000-0000-0000112E0000}"/>
    <cellStyle name="Comma 5 2 4 3 4 2" xfId="11799" xr:uid="{00000000-0005-0000-0000-0000122E0000}"/>
    <cellStyle name="Comma 5 2 4 3 5" xfId="11800" xr:uid="{00000000-0005-0000-0000-0000132E0000}"/>
    <cellStyle name="Comma 5 2 4 3 5 2" xfId="11801" xr:uid="{00000000-0005-0000-0000-0000142E0000}"/>
    <cellStyle name="Comma 5 2 4 3 6" xfId="11802" xr:uid="{00000000-0005-0000-0000-0000152E0000}"/>
    <cellStyle name="Comma 5 2 4 4" xfId="11803" xr:uid="{00000000-0005-0000-0000-0000162E0000}"/>
    <cellStyle name="Comma 5 2 4 4 2" xfId="11804" xr:uid="{00000000-0005-0000-0000-0000172E0000}"/>
    <cellStyle name="Comma 5 2 4 4 2 2" xfId="11805" xr:uid="{00000000-0005-0000-0000-0000182E0000}"/>
    <cellStyle name="Comma 5 2 4 4 3" xfId="11806" xr:uid="{00000000-0005-0000-0000-0000192E0000}"/>
    <cellStyle name="Comma 5 2 4 5" xfId="11807" xr:uid="{00000000-0005-0000-0000-00001A2E0000}"/>
    <cellStyle name="Comma 5 2 4 5 2" xfId="11808" xr:uid="{00000000-0005-0000-0000-00001B2E0000}"/>
    <cellStyle name="Comma 5 2 4 6" xfId="11809" xr:uid="{00000000-0005-0000-0000-00001C2E0000}"/>
    <cellStyle name="Comma 5 2 4 6 2" xfId="11810" xr:uid="{00000000-0005-0000-0000-00001D2E0000}"/>
    <cellStyle name="Comma 5 2 4 7" xfId="11811" xr:uid="{00000000-0005-0000-0000-00001E2E0000}"/>
    <cellStyle name="Comma 5 2 4 7 2" xfId="11812" xr:uid="{00000000-0005-0000-0000-00001F2E0000}"/>
    <cellStyle name="Comma 5 2 4 8" xfId="11813" xr:uid="{00000000-0005-0000-0000-0000202E0000}"/>
    <cellStyle name="Comma 5 2 5" xfId="11814" xr:uid="{00000000-0005-0000-0000-0000212E0000}"/>
    <cellStyle name="Comma 5 2 5 2" xfId="11815" xr:uid="{00000000-0005-0000-0000-0000222E0000}"/>
    <cellStyle name="Comma 5 2 5 2 2" xfId="11816" xr:uid="{00000000-0005-0000-0000-0000232E0000}"/>
    <cellStyle name="Comma 5 2 5 2 2 2" xfId="11817" xr:uid="{00000000-0005-0000-0000-0000242E0000}"/>
    <cellStyle name="Comma 5 2 5 2 3" xfId="11818" xr:uid="{00000000-0005-0000-0000-0000252E0000}"/>
    <cellStyle name="Comma 5 2 5 2 3 2" xfId="11819" xr:uid="{00000000-0005-0000-0000-0000262E0000}"/>
    <cellStyle name="Comma 5 2 5 2 4" xfId="11820" xr:uid="{00000000-0005-0000-0000-0000272E0000}"/>
    <cellStyle name="Comma 5 2 5 3" xfId="11821" xr:uid="{00000000-0005-0000-0000-0000282E0000}"/>
    <cellStyle name="Comma 5 2 5 3 2" xfId="11822" xr:uid="{00000000-0005-0000-0000-0000292E0000}"/>
    <cellStyle name="Comma 5 2 5 4" xfId="11823" xr:uid="{00000000-0005-0000-0000-00002A2E0000}"/>
    <cellStyle name="Comma 5 2 5 4 2" xfId="11824" xr:uid="{00000000-0005-0000-0000-00002B2E0000}"/>
    <cellStyle name="Comma 5 2 5 5" xfId="11825" xr:uid="{00000000-0005-0000-0000-00002C2E0000}"/>
    <cellStyle name="Comma 5 2 5 5 2" xfId="11826" xr:uid="{00000000-0005-0000-0000-00002D2E0000}"/>
    <cellStyle name="Comma 5 2 5 6" xfId="11827" xr:uid="{00000000-0005-0000-0000-00002E2E0000}"/>
    <cellStyle name="Comma 5 2 5 6 2" xfId="11828" xr:uid="{00000000-0005-0000-0000-00002F2E0000}"/>
    <cellStyle name="Comma 5 2 5 7" xfId="11829" xr:uid="{00000000-0005-0000-0000-0000302E0000}"/>
    <cellStyle name="Comma 5 2 6" xfId="11830" xr:uid="{00000000-0005-0000-0000-0000312E0000}"/>
    <cellStyle name="Comma 5 2 6 2" xfId="11831" xr:uid="{00000000-0005-0000-0000-0000322E0000}"/>
    <cellStyle name="Comma 5 2 6 2 2" xfId="11832" xr:uid="{00000000-0005-0000-0000-0000332E0000}"/>
    <cellStyle name="Comma 5 2 6 3" xfId="11833" xr:uid="{00000000-0005-0000-0000-0000342E0000}"/>
    <cellStyle name="Comma 5 2 6 3 2" xfId="11834" xr:uid="{00000000-0005-0000-0000-0000352E0000}"/>
    <cellStyle name="Comma 5 2 6 4" xfId="11835" xr:uid="{00000000-0005-0000-0000-0000362E0000}"/>
    <cellStyle name="Comma 5 2 6 4 2" xfId="11836" xr:uid="{00000000-0005-0000-0000-0000372E0000}"/>
    <cellStyle name="Comma 5 2 6 5" xfId="11837" xr:uid="{00000000-0005-0000-0000-0000382E0000}"/>
    <cellStyle name="Comma 5 2 6 5 2" xfId="11838" xr:uid="{00000000-0005-0000-0000-0000392E0000}"/>
    <cellStyle name="Comma 5 2 6 6" xfId="11839" xr:uid="{00000000-0005-0000-0000-00003A2E0000}"/>
    <cellStyle name="Comma 5 2 7" xfId="11840" xr:uid="{00000000-0005-0000-0000-00003B2E0000}"/>
    <cellStyle name="Comma 5 2 7 2" xfId="11841" xr:uid="{00000000-0005-0000-0000-00003C2E0000}"/>
    <cellStyle name="Comma 5 2 7 2 2" xfId="11842" xr:uid="{00000000-0005-0000-0000-00003D2E0000}"/>
    <cellStyle name="Comma 5 2 7 3" xfId="11843" xr:uid="{00000000-0005-0000-0000-00003E2E0000}"/>
    <cellStyle name="Comma 5 2 8" xfId="11844" xr:uid="{00000000-0005-0000-0000-00003F2E0000}"/>
    <cellStyle name="Comma 5 2 8 2" xfId="11845" xr:uid="{00000000-0005-0000-0000-0000402E0000}"/>
    <cellStyle name="Comma 5 2 9" xfId="11846" xr:uid="{00000000-0005-0000-0000-0000412E0000}"/>
    <cellStyle name="Comma 5 2 9 2" xfId="11847" xr:uid="{00000000-0005-0000-0000-0000422E0000}"/>
    <cellStyle name="Comma 5 3" xfId="11848" xr:uid="{00000000-0005-0000-0000-0000432E0000}"/>
    <cellStyle name="Comma 5 3 10" xfId="11849" xr:uid="{00000000-0005-0000-0000-0000442E0000}"/>
    <cellStyle name="Comma 5 3 2" xfId="11850" xr:uid="{00000000-0005-0000-0000-0000452E0000}"/>
    <cellStyle name="Comma 5 3 2 2" xfId="11851" xr:uid="{00000000-0005-0000-0000-0000462E0000}"/>
    <cellStyle name="Comma 5 3 2 2 2" xfId="11852" xr:uid="{00000000-0005-0000-0000-0000472E0000}"/>
    <cellStyle name="Comma 5 3 2 2 2 2" xfId="11853" xr:uid="{00000000-0005-0000-0000-0000482E0000}"/>
    <cellStyle name="Comma 5 3 2 2 2 2 2" xfId="11854" xr:uid="{00000000-0005-0000-0000-0000492E0000}"/>
    <cellStyle name="Comma 5 3 2 2 2 3" xfId="11855" xr:uid="{00000000-0005-0000-0000-00004A2E0000}"/>
    <cellStyle name="Comma 5 3 2 2 2 3 2" xfId="11856" xr:uid="{00000000-0005-0000-0000-00004B2E0000}"/>
    <cellStyle name="Comma 5 3 2 2 2 4" xfId="11857" xr:uid="{00000000-0005-0000-0000-00004C2E0000}"/>
    <cellStyle name="Comma 5 3 2 2 3" xfId="11858" xr:uid="{00000000-0005-0000-0000-00004D2E0000}"/>
    <cellStyle name="Comma 5 3 2 2 3 2" xfId="11859" xr:uid="{00000000-0005-0000-0000-00004E2E0000}"/>
    <cellStyle name="Comma 5 3 2 2 4" xfId="11860" xr:uid="{00000000-0005-0000-0000-00004F2E0000}"/>
    <cellStyle name="Comma 5 3 2 2 4 2" xfId="11861" xr:uid="{00000000-0005-0000-0000-0000502E0000}"/>
    <cellStyle name="Comma 5 3 2 2 5" xfId="11862" xr:uid="{00000000-0005-0000-0000-0000512E0000}"/>
    <cellStyle name="Comma 5 3 2 2 5 2" xfId="11863" xr:uid="{00000000-0005-0000-0000-0000522E0000}"/>
    <cellStyle name="Comma 5 3 2 2 6" xfId="11864" xr:uid="{00000000-0005-0000-0000-0000532E0000}"/>
    <cellStyle name="Comma 5 3 2 2 6 2" xfId="11865" xr:uid="{00000000-0005-0000-0000-0000542E0000}"/>
    <cellStyle name="Comma 5 3 2 2 7" xfId="11866" xr:uid="{00000000-0005-0000-0000-0000552E0000}"/>
    <cellStyle name="Comma 5 3 2 3" xfId="11867" xr:uid="{00000000-0005-0000-0000-0000562E0000}"/>
    <cellStyle name="Comma 5 3 2 3 2" xfId="11868" xr:uid="{00000000-0005-0000-0000-0000572E0000}"/>
    <cellStyle name="Comma 5 3 2 3 2 2" xfId="11869" xr:uid="{00000000-0005-0000-0000-0000582E0000}"/>
    <cellStyle name="Comma 5 3 2 3 3" xfId="11870" xr:uid="{00000000-0005-0000-0000-0000592E0000}"/>
    <cellStyle name="Comma 5 3 2 3 3 2" xfId="11871" xr:uid="{00000000-0005-0000-0000-00005A2E0000}"/>
    <cellStyle name="Comma 5 3 2 3 4" xfId="11872" xr:uid="{00000000-0005-0000-0000-00005B2E0000}"/>
    <cellStyle name="Comma 5 3 2 3 4 2" xfId="11873" xr:uid="{00000000-0005-0000-0000-00005C2E0000}"/>
    <cellStyle name="Comma 5 3 2 3 5" xfId="11874" xr:uid="{00000000-0005-0000-0000-00005D2E0000}"/>
    <cellStyle name="Comma 5 3 2 3 5 2" xfId="11875" xr:uid="{00000000-0005-0000-0000-00005E2E0000}"/>
    <cellStyle name="Comma 5 3 2 3 6" xfId="11876" xr:uid="{00000000-0005-0000-0000-00005F2E0000}"/>
    <cellStyle name="Comma 5 3 2 4" xfId="11877" xr:uid="{00000000-0005-0000-0000-0000602E0000}"/>
    <cellStyle name="Comma 5 3 2 4 2" xfId="11878" xr:uid="{00000000-0005-0000-0000-0000612E0000}"/>
    <cellStyle name="Comma 5 3 2 4 2 2" xfId="11879" xr:uid="{00000000-0005-0000-0000-0000622E0000}"/>
    <cellStyle name="Comma 5 3 2 4 3" xfId="11880" xr:uid="{00000000-0005-0000-0000-0000632E0000}"/>
    <cellStyle name="Comma 5 3 2 5" xfId="11881" xr:uid="{00000000-0005-0000-0000-0000642E0000}"/>
    <cellStyle name="Comma 5 3 2 5 2" xfId="11882" xr:uid="{00000000-0005-0000-0000-0000652E0000}"/>
    <cellStyle name="Comma 5 3 2 6" xfId="11883" xr:uid="{00000000-0005-0000-0000-0000662E0000}"/>
    <cellStyle name="Comma 5 3 2 6 2" xfId="11884" xr:uid="{00000000-0005-0000-0000-0000672E0000}"/>
    <cellStyle name="Comma 5 3 2 7" xfId="11885" xr:uid="{00000000-0005-0000-0000-0000682E0000}"/>
    <cellStyle name="Comma 5 3 2 7 2" xfId="11886" xr:uid="{00000000-0005-0000-0000-0000692E0000}"/>
    <cellStyle name="Comma 5 3 2 8" xfId="11887" xr:uid="{00000000-0005-0000-0000-00006A2E0000}"/>
    <cellStyle name="Comma 5 3 3" xfId="11888" xr:uid="{00000000-0005-0000-0000-00006B2E0000}"/>
    <cellStyle name="Comma 5 3 3 2" xfId="11889" xr:uid="{00000000-0005-0000-0000-00006C2E0000}"/>
    <cellStyle name="Comma 5 3 3 2 2" xfId="11890" xr:uid="{00000000-0005-0000-0000-00006D2E0000}"/>
    <cellStyle name="Comma 5 3 3 2 2 2" xfId="11891" xr:uid="{00000000-0005-0000-0000-00006E2E0000}"/>
    <cellStyle name="Comma 5 3 3 2 2 2 2" xfId="11892" xr:uid="{00000000-0005-0000-0000-00006F2E0000}"/>
    <cellStyle name="Comma 5 3 3 2 2 3" xfId="11893" xr:uid="{00000000-0005-0000-0000-0000702E0000}"/>
    <cellStyle name="Comma 5 3 3 2 2 3 2" xfId="11894" xr:uid="{00000000-0005-0000-0000-0000712E0000}"/>
    <cellStyle name="Comma 5 3 3 2 2 4" xfId="11895" xr:uid="{00000000-0005-0000-0000-0000722E0000}"/>
    <cellStyle name="Comma 5 3 3 2 3" xfId="11896" xr:uid="{00000000-0005-0000-0000-0000732E0000}"/>
    <cellStyle name="Comma 5 3 3 2 3 2" xfId="11897" xr:uid="{00000000-0005-0000-0000-0000742E0000}"/>
    <cellStyle name="Comma 5 3 3 2 4" xfId="11898" xr:uid="{00000000-0005-0000-0000-0000752E0000}"/>
    <cellStyle name="Comma 5 3 3 2 4 2" xfId="11899" xr:uid="{00000000-0005-0000-0000-0000762E0000}"/>
    <cellStyle name="Comma 5 3 3 2 5" xfId="11900" xr:uid="{00000000-0005-0000-0000-0000772E0000}"/>
    <cellStyle name="Comma 5 3 3 2 5 2" xfId="11901" xr:uid="{00000000-0005-0000-0000-0000782E0000}"/>
    <cellStyle name="Comma 5 3 3 2 6" xfId="11902" xr:uid="{00000000-0005-0000-0000-0000792E0000}"/>
    <cellStyle name="Comma 5 3 3 2 6 2" xfId="11903" xr:uid="{00000000-0005-0000-0000-00007A2E0000}"/>
    <cellStyle name="Comma 5 3 3 2 7" xfId="11904" xr:uid="{00000000-0005-0000-0000-00007B2E0000}"/>
    <cellStyle name="Comma 5 3 3 3" xfId="11905" xr:uid="{00000000-0005-0000-0000-00007C2E0000}"/>
    <cellStyle name="Comma 5 3 3 3 2" xfId="11906" xr:uid="{00000000-0005-0000-0000-00007D2E0000}"/>
    <cellStyle name="Comma 5 3 3 3 2 2" xfId="11907" xr:uid="{00000000-0005-0000-0000-00007E2E0000}"/>
    <cellStyle name="Comma 5 3 3 3 3" xfId="11908" xr:uid="{00000000-0005-0000-0000-00007F2E0000}"/>
    <cellStyle name="Comma 5 3 3 3 3 2" xfId="11909" xr:uid="{00000000-0005-0000-0000-0000802E0000}"/>
    <cellStyle name="Comma 5 3 3 3 4" xfId="11910" xr:uid="{00000000-0005-0000-0000-0000812E0000}"/>
    <cellStyle name="Comma 5 3 3 3 4 2" xfId="11911" xr:uid="{00000000-0005-0000-0000-0000822E0000}"/>
    <cellStyle name="Comma 5 3 3 3 5" xfId="11912" xr:uid="{00000000-0005-0000-0000-0000832E0000}"/>
    <cellStyle name="Comma 5 3 3 3 5 2" xfId="11913" xr:uid="{00000000-0005-0000-0000-0000842E0000}"/>
    <cellStyle name="Comma 5 3 3 3 6" xfId="11914" xr:uid="{00000000-0005-0000-0000-0000852E0000}"/>
    <cellStyle name="Comma 5 3 3 4" xfId="11915" xr:uid="{00000000-0005-0000-0000-0000862E0000}"/>
    <cellStyle name="Comma 5 3 3 4 2" xfId="11916" xr:uid="{00000000-0005-0000-0000-0000872E0000}"/>
    <cellStyle name="Comma 5 3 3 4 2 2" xfId="11917" xr:uid="{00000000-0005-0000-0000-0000882E0000}"/>
    <cellStyle name="Comma 5 3 3 4 3" xfId="11918" xr:uid="{00000000-0005-0000-0000-0000892E0000}"/>
    <cellStyle name="Comma 5 3 3 5" xfId="11919" xr:uid="{00000000-0005-0000-0000-00008A2E0000}"/>
    <cellStyle name="Comma 5 3 3 5 2" xfId="11920" xr:uid="{00000000-0005-0000-0000-00008B2E0000}"/>
    <cellStyle name="Comma 5 3 3 6" xfId="11921" xr:uid="{00000000-0005-0000-0000-00008C2E0000}"/>
    <cellStyle name="Comma 5 3 3 6 2" xfId="11922" xr:uid="{00000000-0005-0000-0000-00008D2E0000}"/>
    <cellStyle name="Comma 5 3 3 7" xfId="11923" xr:uid="{00000000-0005-0000-0000-00008E2E0000}"/>
    <cellStyle name="Comma 5 3 3 7 2" xfId="11924" xr:uid="{00000000-0005-0000-0000-00008F2E0000}"/>
    <cellStyle name="Comma 5 3 3 8" xfId="11925" xr:uid="{00000000-0005-0000-0000-0000902E0000}"/>
    <cellStyle name="Comma 5 3 4" xfId="11926" xr:uid="{00000000-0005-0000-0000-0000912E0000}"/>
    <cellStyle name="Comma 5 3 4 2" xfId="11927" xr:uid="{00000000-0005-0000-0000-0000922E0000}"/>
    <cellStyle name="Comma 5 3 4 2 2" xfId="11928" xr:uid="{00000000-0005-0000-0000-0000932E0000}"/>
    <cellStyle name="Comma 5 3 4 2 2 2" xfId="11929" xr:uid="{00000000-0005-0000-0000-0000942E0000}"/>
    <cellStyle name="Comma 5 3 4 2 3" xfId="11930" xr:uid="{00000000-0005-0000-0000-0000952E0000}"/>
    <cellStyle name="Comma 5 3 4 2 3 2" xfId="11931" xr:uid="{00000000-0005-0000-0000-0000962E0000}"/>
    <cellStyle name="Comma 5 3 4 2 4" xfId="11932" xr:uid="{00000000-0005-0000-0000-0000972E0000}"/>
    <cellStyle name="Comma 5 3 4 3" xfId="11933" xr:uid="{00000000-0005-0000-0000-0000982E0000}"/>
    <cellStyle name="Comma 5 3 4 3 2" xfId="11934" xr:uid="{00000000-0005-0000-0000-0000992E0000}"/>
    <cellStyle name="Comma 5 3 4 4" xfId="11935" xr:uid="{00000000-0005-0000-0000-00009A2E0000}"/>
    <cellStyle name="Comma 5 3 4 4 2" xfId="11936" xr:uid="{00000000-0005-0000-0000-00009B2E0000}"/>
    <cellStyle name="Comma 5 3 4 5" xfId="11937" xr:uid="{00000000-0005-0000-0000-00009C2E0000}"/>
    <cellStyle name="Comma 5 3 4 5 2" xfId="11938" xr:uid="{00000000-0005-0000-0000-00009D2E0000}"/>
    <cellStyle name="Comma 5 3 4 6" xfId="11939" xr:uid="{00000000-0005-0000-0000-00009E2E0000}"/>
    <cellStyle name="Comma 5 3 4 6 2" xfId="11940" xr:uid="{00000000-0005-0000-0000-00009F2E0000}"/>
    <cellStyle name="Comma 5 3 4 7" xfId="11941" xr:uid="{00000000-0005-0000-0000-0000A02E0000}"/>
    <cellStyle name="Comma 5 3 5" xfId="11942" xr:uid="{00000000-0005-0000-0000-0000A12E0000}"/>
    <cellStyle name="Comma 5 3 5 2" xfId="11943" xr:uid="{00000000-0005-0000-0000-0000A22E0000}"/>
    <cellStyle name="Comma 5 3 5 2 2" xfId="11944" xr:uid="{00000000-0005-0000-0000-0000A32E0000}"/>
    <cellStyle name="Comma 5 3 5 3" xfId="11945" xr:uid="{00000000-0005-0000-0000-0000A42E0000}"/>
    <cellStyle name="Comma 5 3 5 3 2" xfId="11946" xr:uid="{00000000-0005-0000-0000-0000A52E0000}"/>
    <cellStyle name="Comma 5 3 5 4" xfId="11947" xr:uid="{00000000-0005-0000-0000-0000A62E0000}"/>
    <cellStyle name="Comma 5 3 5 4 2" xfId="11948" xr:uid="{00000000-0005-0000-0000-0000A72E0000}"/>
    <cellStyle name="Comma 5 3 5 5" xfId="11949" xr:uid="{00000000-0005-0000-0000-0000A82E0000}"/>
    <cellStyle name="Comma 5 3 5 5 2" xfId="11950" xr:uid="{00000000-0005-0000-0000-0000A92E0000}"/>
    <cellStyle name="Comma 5 3 5 6" xfId="11951" xr:uid="{00000000-0005-0000-0000-0000AA2E0000}"/>
    <cellStyle name="Comma 5 3 6" xfId="11952" xr:uid="{00000000-0005-0000-0000-0000AB2E0000}"/>
    <cellStyle name="Comma 5 3 6 2" xfId="11953" xr:uid="{00000000-0005-0000-0000-0000AC2E0000}"/>
    <cellStyle name="Comma 5 3 6 2 2" xfId="11954" xr:uid="{00000000-0005-0000-0000-0000AD2E0000}"/>
    <cellStyle name="Comma 5 3 6 3" xfId="11955" xr:uid="{00000000-0005-0000-0000-0000AE2E0000}"/>
    <cellStyle name="Comma 5 3 7" xfId="11956" xr:uid="{00000000-0005-0000-0000-0000AF2E0000}"/>
    <cellStyle name="Comma 5 3 7 2" xfId="11957" xr:uid="{00000000-0005-0000-0000-0000B02E0000}"/>
    <cellStyle name="Comma 5 3 8" xfId="11958" xr:uid="{00000000-0005-0000-0000-0000B12E0000}"/>
    <cellStyle name="Comma 5 3 8 2" xfId="11959" xr:uid="{00000000-0005-0000-0000-0000B22E0000}"/>
    <cellStyle name="Comma 5 3 9" xfId="11960" xr:uid="{00000000-0005-0000-0000-0000B32E0000}"/>
    <cellStyle name="Comma 5 3 9 2" xfId="11961" xr:uid="{00000000-0005-0000-0000-0000B42E0000}"/>
    <cellStyle name="Comma 5 4" xfId="11962" xr:uid="{00000000-0005-0000-0000-0000B52E0000}"/>
    <cellStyle name="Comma 5 4 2" xfId="11963" xr:uid="{00000000-0005-0000-0000-0000B62E0000}"/>
    <cellStyle name="Comma 5 4 2 2" xfId="11964" xr:uid="{00000000-0005-0000-0000-0000B72E0000}"/>
    <cellStyle name="Comma 5 4 2 2 2" xfId="11965" xr:uid="{00000000-0005-0000-0000-0000B82E0000}"/>
    <cellStyle name="Comma 5 4 2 2 2 2" xfId="11966" xr:uid="{00000000-0005-0000-0000-0000B92E0000}"/>
    <cellStyle name="Comma 5 4 2 2 3" xfId="11967" xr:uid="{00000000-0005-0000-0000-0000BA2E0000}"/>
    <cellStyle name="Comma 5 4 2 2 3 2" xfId="11968" xr:uid="{00000000-0005-0000-0000-0000BB2E0000}"/>
    <cellStyle name="Comma 5 4 2 2 4" xfId="11969" xr:uid="{00000000-0005-0000-0000-0000BC2E0000}"/>
    <cellStyle name="Comma 5 4 2 3" xfId="11970" xr:uid="{00000000-0005-0000-0000-0000BD2E0000}"/>
    <cellStyle name="Comma 5 4 2 3 2" xfId="11971" xr:uid="{00000000-0005-0000-0000-0000BE2E0000}"/>
    <cellStyle name="Comma 5 4 2 4" xfId="11972" xr:uid="{00000000-0005-0000-0000-0000BF2E0000}"/>
    <cellStyle name="Comma 5 4 2 4 2" xfId="11973" xr:uid="{00000000-0005-0000-0000-0000C02E0000}"/>
    <cellStyle name="Comma 5 4 2 5" xfId="11974" xr:uid="{00000000-0005-0000-0000-0000C12E0000}"/>
    <cellStyle name="Comma 5 4 2 5 2" xfId="11975" xr:uid="{00000000-0005-0000-0000-0000C22E0000}"/>
    <cellStyle name="Comma 5 4 2 6" xfId="11976" xr:uid="{00000000-0005-0000-0000-0000C32E0000}"/>
    <cellStyle name="Comma 5 4 2 6 2" xfId="11977" xr:uid="{00000000-0005-0000-0000-0000C42E0000}"/>
    <cellStyle name="Comma 5 4 2 7" xfId="11978" xr:uid="{00000000-0005-0000-0000-0000C52E0000}"/>
    <cellStyle name="Comma 5 4 3" xfId="11979" xr:uid="{00000000-0005-0000-0000-0000C62E0000}"/>
    <cellStyle name="Comma 5 4 3 2" xfId="11980" xr:uid="{00000000-0005-0000-0000-0000C72E0000}"/>
    <cellStyle name="Comma 5 4 3 2 2" xfId="11981" xr:uid="{00000000-0005-0000-0000-0000C82E0000}"/>
    <cellStyle name="Comma 5 4 3 3" xfId="11982" xr:uid="{00000000-0005-0000-0000-0000C92E0000}"/>
    <cellStyle name="Comma 5 4 3 3 2" xfId="11983" xr:uid="{00000000-0005-0000-0000-0000CA2E0000}"/>
    <cellStyle name="Comma 5 4 3 4" xfId="11984" xr:uid="{00000000-0005-0000-0000-0000CB2E0000}"/>
    <cellStyle name="Comma 5 4 3 4 2" xfId="11985" xr:uid="{00000000-0005-0000-0000-0000CC2E0000}"/>
    <cellStyle name="Comma 5 4 3 5" xfId="11986" xr:uid="{00000000-0005-0000-0000-0000CD2E0000}"/>
    <cellStyle name="Comma 5 4 3 5 2" xfId="11987" xr:uid="{00000000-0005-0000-0000-0000CE2E0000}"/>
    <cellStyle name="Comma 5 4 3 6" xfId="11988" xr:uid="{00000000-0005-0000-0000-0000CF2E0000}"/>
    <cellStyle name="Comma 5 4 4" xfId="11989" xr:uid="{00000000-0005-0000-0000-0000D02E0000}"/>
    <cellStyle name="Comma 5 4 4 2" xfId="11990" xr:uid="{00000000-0005-0000-0000-0000D12E0000}"/>
    <cellStyle name="Comma 5 4 4 2 2" xfId="11991" xr:uid="{00000000-0005-0000-0000-0000D22E0000}"/>
    <cellStyle name="Comma 5 4 4 3" xfId="11992" xr:uid="{00000000-0005-0000-0000-0000D32E0000}"/>
    <cellStyle name="Comma 5 4 5" xfId="11993" xr:uid="{00000000-0005-0000-0000-0000D42E0000}"/>
    <cellStyle name="Comma 5 4 5 2" xfId="11994" xr:uid="{00000000-0005-0000-0000-0000D52E0000}"/>
    <cellStyle name="Comma 5 4 6" xfId="11995" xr:uid="{00000000-0005-0000-0000-0000D62E0000}"/>
    <cellStyle name="Comma 5 4 6 2" xfId="11996" xr:uid="{00000000-0005-0000-0000-0000D72E0000}"/>
    <cellStyle name="Comma 5 4 7" xfId="11997" xr:uid="{00000000-0005-0000-0000-0000D82E0000}"/>
    <cellStyle name="Comma 5 4 7 2" xfId="11998" xr:uid="{00000000-0005-0000-0000-0000D92E0000}"/>
    <cellStyle name="Comma 5 4 8" xfId="11999" xr:uid="{00000000-0005-0000-0000-0000DA2E0000}"/>
    <cellStyle name="Comma 5 5" xfId="12000" xr:uid="{00000000-0005-0000-0000-0000DB2E0000}"/>
    <cellStyle name="Comma 5 5 2" xfId="12001" xr:uid="{00000000-0005-0000-0000-0000DC2E0000}"/>
    <cellStyle name="Comma 5 5 2 2" xfId="12002" xr:uid="{00000000-0005-0000-0000-0000DD2E0000}"/>
    <cellStyle name="Comma 5 5 2 2 2" xfId="12003" xr:uid="{00000000-0005-0000-0000-0000DE2E0000}"/>
    <cellStyle name="Comma 5 5 2 2 2 2" xfId="12004" xr:uid="{00000000-0005-0000-0000-0000DF2E0000}"/>
    <cellStyle name="Comma 5 5 2 2 3" xfId="12005" xr:uid="{00000000-0005-0000-0000-0000E02E0000}"/>
    <cellStyle name="Comma 5 5 2 2 3 2" xfId="12006" xr:uid="{00000000-0005-0000-0000-0000E12E0000}"/>
    <cellStyle name="Comma 5 5 2 2 4" xfId="12007" xr:uid="{00000000-0005-0000-0000-0000E22E0000}"/>
    <cellStyle name="Comma 5 5 2 3" xfId="12008" xr:uid="{00000000-0005-0000-0000-0000E32E0000}"/>
    <cellStyle name="Comma 5 5 2 3 2" xfId="12009" xr:uid="{00000000-0005-0000-0000-0000E42E0000}"/>
    <cellStyle name="Comma 5 5 2 4" xfId="12010" xr:uid="{00000000-0005-0000-0000-0000E52E0000}"/>
    <cellStyle name="Comma 5 5 2 4 2" xfId="12011" xr:uid="{00000000-0005-0000-0000-0000E62E0000}"/>
    <cellStyle name="Comma 5 5 2 5" xfId="12012" xr:uid="{00000000-0005-0000-0000-0000E72E0000}"/>
    <cellStyle name="Comma 5 5 2 5 2" xfId="12013" xr:uid="{00000000-0005-0000-0000-0000E82E0000}"/>
    <cellStyle name="Comma 5 5 2 6" xfId="12014" xr:uid="{00000000-0005-0000-0000-0000E92E0000}"/>
    <cellStyle name="Comma 5 5 2 6 2" xfId="12015" xr:uid="{00000000-0005-0000-0000-0000EA2E0000}"/>
    <cellStyle name="Comma 5 5 2 7" xfId="12016" xr:uid="{00000000-0005-0000-0000-0000EB2E0000}"/>
    <cellStyle name="Comma 5 5 3" xfId="12017" xr:uid="{00000000-0005-0000-0000-0000EC2E0000}"/>
    <cellStyle name="Comma 5 5 3 2" xfId="12018" xr:uid="{00000000-0005-0000-0000-0000ED2E0000}"/>
    <cellStyle name="Comma 5 5 3 2 2" xfId="12019" xr:uid="{00000000-0005-0000-0000-0000EE2E0000}"/>
    <cellStyle name="Comma 5 5 3 3" xfId="12020" xr:uid="{00000000-0005-0000-0000-0000EF2E0000}"/>
    <cellStyle name="Comma 5 5 3 3 2" xfId="12021" xr:uid="{00000000-0005-0000-0000-0000F02E0000}"/>
    <cellStyle name="Comma 5 5 3 4" xfId="12022" xr:uid="{00000000-0005-0000-0000-0000F12E0000}"/>
    <cellStyle name="Comma 5 5 3 4 2" xfId="12023" xr:uid="{00000000-0005-0000-0000-0000F22E0000}"/>
    <cellStyle name="Comma 5 5 3 5" xfId="12024" xr:uid="{00000000-0005-0000-0000-0000F32E0000}"/>
    <cellStyle name="Comma 5 5 3 5 2" xfId="12025" xr:uid="{00000000-0005-0000-0000-0000F42E0000}"/>
    <cellStyle name="Comma 5 5 3 6" xfId="12026" xr:uid="{00000000-0005-0000-0000-0000F52E0000}"/>
    <cellStyle name="Comma 5 5 4" xfId="12027" xr:uid="{00000000-0005-0000-0000-0000F62E0000}"/>
    <cellStyle name="Comma 5 5 4 2" xfId="12028" xr:uid="{00000000-0005-0000-0000-0000F72E0000}"/>
    <cellStyle name="Comma 5 5 4 2 2" xfId="12029" xr:uid="{00000000-0005-0000-0000-0000F82E0000}"/>
    <cellStyle name="Comma 5 5 4 3" xfId="12030" xr:uid="{00000000-0005-0000-0000-0000F92E0000}"/>
    <cellStyle name="Comma 5 5 5" xfId="12031" xr:uid="{00000000-0005-0000-0000-0000FA2E0000}"/>
    <cellStyle name="Comma 5 5 5 2" xfId="12032" xr:uid="{00000000-0005-0000-0000-0000FB2E0000}"/>
    <cellStyle name="Comma 5 5 6" xfId="12033" xr:uid="{00000000-0005-0000-0000-0000FC2E0000}"/>
    <cellStyle name="Comma 5 5 6 2" xfId="12034" xr:uid="{00000000-0005-0000-0000-0000FD2E0000}"/>
    <cellStyle name="Comma 5 5 7" xfId="12035" xr:uid="{00000000-0005-0000-0000-0000FE2E0000}"/>
    <cellStyle name="Comma 5 5 7 2" xfId="12036" xr:uid="{00000000-0005-0000-0000-0000FF2E0000}"/>
    <cellStyle name="Comma 5 5 8" xfId="12037" xr:uid="{00000000-0005-0000-0000-0000002F0000}"/>
    <cellStyle name="Comma 5 6" xfId="12038" xr:uid="{00000000-0005-0000-0000-0000012F0000}"/>
    <cellStyle name="Comma 5 6 2" xfId="12039" xr:uid="{00000000-0005-0000-0000-0000022F0000}"/>
    <cellStyle name="Comma 5 6 2 2" xfId="12040" xr:uid="{00000000-0005-0000-0000-0000032F0000}"/>
    <cellStyle name="Comma 5 6 2 2 2" xfId="12041" xr:uid="{00000000-0005-0000-0000-0000042F0000}"/>
    <cellStyle name="Comma 5 6 2 3" xfId="12042" xr:uid="{00000000-0005-0000-0000-0000052F0000}"/>
    <cellStyle name="Comma 5 6 2 3 2" xfId="12043" xr:uid="{00000000-0005-0000-0000-0000062F0000}"/>
    <cellStyle name="Comma 5 6 2 4" xfId="12044" xr:uid="{00000000-0005-0000-0000-0000072F0000}"/>
    <cellStyle name="Comma 5 6 3" xfId="12045" xr:uid="{00000000-0005-0000-0000-0000082F0000}"/>
    <cellStyle name="Comma 5 6 3 2" xfId="12046" xr:uid="{00000000-0005-0000-0000-0000092F0000}"/>
    <cellStyle name="Comma 5 6 4" xfId="12047" xr:uid="{00000000-0005-0000-0000-00000A2F0000}"/>
    <cellStyle name="Comma 5 6 4 2" xfId="12048" xr:uid="{00000000-0005-0000-0000-00000B2F0000}"/>
    <cellStyle name="Comma 5 6 5" xfId="12049" xr:uid="{00000000-0005-0000-0000-00000C2F0000}"/>
    <cellStyle name="Comma 5 6 5 2" xfId="12050" xr:uid="{00000000-0005-0000-0000-00000D2F0000}"/>
    <cellStyle name="Comma 5 6 6" xfId="12051" xr:uid="{00000000-0005-0000-0000-00000E2F0000}"/>
    <cellStyle name="Comma 5 6 6 2" xfId="12052" xr:uid="{00000000-0005-0000-0000-00000F2F0000}"/>
    <cellStyle name="Comma 5 6 7" xfId="12053" xr:uid="{00000000-0005-0000-0000-0000102F0000}"/>
    <cellStyle name="Comma 5 7" xfId="12054" xr:uid="{00000000-0005-0000-0000-0000112F0000}"/>
    <cellStyle name="Comma 5 7 2" xfId="12055" xr:uid="{00000000-0005-0000-0000-0000122F0000}"/>
    <cellStyle name="Comma 5 7 2 2" xfId="12056" xr:uid="{00000000-0005-0000-0000-0000132F0000}"/>
    <cellStyle name="Comma 5 7 3" xfId="12057" xr:uid="{00000000-0005-0000-0000-0000142F0000}"/>
    <cellStyle name="Comma 5 7 3 2" xfId="12058" xr:uid="{00000000-0005-0000-0000-0000152F0000}"/>
    <cellStyle name="Comma 5 7 4" xfId="12059" xr:uid="{00000000-0005-0000-0000-0000162F0000}"/>
    <cellStyle name="Comma 5 7 4 2" xfId="12060" xr:uid="{00000000-0005-0000-0000-0000172F0000}"/>
    <cellStyle name="Comma 5 7 5" xfId="12061" xr:uid="{00000000-0005-0000-0000-0000182F0000}"/>
    <cellStyle name="Comma 5 7 5 2" xfId="12062" xr:uid="{00000000-0005-0000-0000-0000192F0000}"/>
    <cellStyle name="Comma 5 7 6" xfId="12063" xr:uid="{00000000-0005-0000-0000-00001A2F0000}"/>
    <cellStyle name="Comma 5 8" xfId="12064" xr:uid="{00000000-0005-0000-0000-00001B2F0000}"/>
    <cellStyle name="Comma 5 8 2" xfId="12065" xr:uid="{00000000-0005-0000-0000-00001C2F0000}"/>
    <cellStyle name="Comma 5 8 2 2" xfId="12066" xr:uid="{00000000-0005-0000-0000-00001D2F0000}"/>
    <cellStyle name="Comma 5 8 3" xfId="12067" xr:uid="{00000000-0005-0000-0000-00001E2F0000}"/>
    <cellStyle name="Comma 5 9" xfId="12068" xr:uid="{00000000-0005-0000-0000-00001F2F0000}"/>
    <cellStyle name="Comma 5 9 2" xfId="12069" xr:uid="{00000000-0005-0000-0000-0000202F0000}"/>
    <cellStyle name="Comma 5 9 2 2" xfId="12070" xr:uid="{00000000-0005-0000-0000-0000212F0000}"/>
    <cellStyle name="Comma 5 9 3" xfId="12071" xr:uid="{00000000-0005-0000-0000-0000222F0000}"/>
    <cellStyle name="Comma 6" xfId="12072" xr:uid="{00000000-0005-0000-0000-0000232F0000}"/>
    <cellStyle name="Comma 7" xfId="12073" xr:uid="{00000000-0005-0000-0000-0000242F0000}"/>
    <cellStyle name="Comma 7 10" xfId="12074" xr:uid="{00000000-0005-0000-0000-0000252F0000}"/>
    <cellStyle name="Comma 7 10 2" xfId="12075" xr:uid="{00000000-0005-0000-0000-0000262F0000}"/>
    <cellStyle name="Comma 7 11" xfId="12076" xr:uid="{00000000-0005-0000-0000-0000272F0000}"/>
    <cellStyle name="Comma 7 2" xfId="12077" xr:uid="{00000000-0005-0000-0000-0000282F0000}"/>
    <cellStyle name="Comma 7 2 10" xfId="12078" xr:uid="{00000000-0005-0000-0000-0000292F0000}"/>
    <cellStyle name="Comma 7 2 2" xfId="12079" xr:uid="{00000000-0005-0000-0000-00002A2F0000}"/>
    <cellStyle name="Comma 7 2 2 2" xfId="12080" xr:uid="{00000000-0005-0000-0000-00002B2F0000}"/>
    <cellStyle name="Comma 7 2 2 2 2" xfId="12081" xr:uid="{00000000-0005-0000-0000-00002C2F0000}"/>
    <cellStyle name="Comma 7 2 2 2 2 2" xfId="12082" xr:uid="{00000000-0005-0000-0000-00002D2F0000}"/>
    <cellStyle name="Comma 7 2 2 2 2 2 2" xfId="12083" xr:uid="{00000000-0005-0000-0000-00002E2F0000}"/>
    <cellStyle name="Comma 7 2 2 2 2 3" xfId="12084" xr:uid="{00000000-0005-0000-0000-00002F2F0000}"/>
    <cellStyle name="Comma 7 2 2 2 2 3 2" xfId="12085" xr:uid="{00000000-0005-0000-0000-0000302F0000}"/>
    <cellStyle name="Comma 7 2 2 2 2 4" xfId="12086" xr:uid="{00000000-0005-0000-0000-0000312F0000}"/>
    <cellStyle name="Comma 7 2 2 2 3" xfId="12087" xr:uid="{00000000-0005-0000-0000-0000322F0000}"/>
    <cellStyle name="Comma 7 2 2 2 3 2" xfId="12088" xr:uid="{00000000-0005-0000-0000-0000332F0000}"/>
    <cellStyle name="Comma 7 2 2 2 4" xfId="12089" xr:uid="{00000000-0005-0000-0000-0000342F0000}"/>
    <cellStyle name="Comma 7 2 2 2 4 2" xfId="12090" xr:uid="{00000000-0005-0000-0000-0000352F0000}"/>
    <cellStyle name="Comma 7 2 2 2 5" xfId="12091" xr:uid="{00000000-0005-0000-0000-0000362F0000}"/>
    <cellStyle name="Comma 7 2 2 2 5 2" xfId="12092" xr:uid="{00000000-0005-0000-0000-0000372F0000}"/>
    <cellStyle name="Comma 7 2 2 2 6" xfId="12093" xr:uid="{00000000-0005-0000-0000-0000382F0000}"/>
    <cellStyle name="Comma 7 2 2 2 6 2" xfId="12094" xr:uid="{00000000-0005-0000-0000-0000392F0000}"/>
    <cellStyle name="Comma 7 2 2 2 7" xfId="12095" xr:uid="{00000000-0005-0000-0000-00003A2F0000}"/>
    <cellStyle name="Comma 7 2 2 3" xfId="12096" xr:uid="{00000000-0005-0000-0000-00003B2F0000}"/>
    <cellStyle name="Comma 7 2 2 3 2" xfId="12097" xr:uid="{00000000-0005-0000-0000-00003C2F0000}"/>
    <cellStyle name="Comma 7 2 2 3 2 2" xfId="12098" xr:uid="{00000000-0005-0000-0000-00003D2F0000}"/>
    <cellStyle name="Comma 7 2 2 3 3" xfId="12099" xr:uid="{00000000-0005-0000-0000-00003E2F0000}"/>
    <cellStyle name="Comma 7 2 2 3 3 2" xfId="12100" xr:uid="{00000000-0005-0000-0000-00003F2F0000}"/>
    <cellStyle name="Comma 7 2 2 3 4" xfId="12101" xr:uid="{00000000-0005-0000-0000-0000402F0000}"/>
    <cellStyle name="Comma 7 2 2 3 4 2" xfId="12102" xr:uid="{00000000-0005-0000-0000-0000412F0000}"/>
    <cellStyle name="Comma 7 2 2 3 5" xfId="12103" xr:uid="{00000000-0005-0000-0000-0000422F0000}"/>
    <cellStyle name="Comma 7 2 2 3 5 2" xfId="12104" xr:uid="{00000000-0005-0000-0000-0000432F0000}"/>
    <cellStyle name="Comma 7 2 2 3 6" xfId="12105" xr:uid="{00000000-0005-0000-0000-0000442F0000}"/>
    <cellStyle name="Comma 7 2 2 4" xfId="12106" xr:uid="{00000000-0005-0000-0000-0000452F0000}"/>
    <cellStyle name="Comma 7 2 2 4 2" xfId="12107" xr:uid="{00000000-0005-0000-0000-0000462F0000}"/>
    <cellStyle name="Comma 7 2 2 4 2 2" xfId="12108" xr:uid="{00000000-0005-0000-0000-0000472F0000}"/>
    <cellStyle name="Comma 7 2 2 4 3" xfId="12109" xr:uid="{00000000-0005-0000-0000-0000482F0000}"/>
    <cellStyle name="Comma 7 2 2 5" xfId="12110" xr:uid="{00000000-0005-0000-0000-0000492F0000}"/>
    <cellStyle name="Comma 7 2 2 5 2" xfId="12111" xr:uid="{00000000-0005-0000-0000-00004A2F0000}"/>
    <cellStyle name="Comma 7 2 2 6" xfId="12112" xr:uid="{00000000-0005-0000-0000-00004B2F0000}"/>
    <cellStyle name="Comma 7 2 2 6 2" xfId="12113" xr:uid="{00000000-0005-0000-0000-00004C2F0000}"/>
    <cellStyle name="Comma 7 2 2 7" xfId="12114" xr:uid="{00000000-0005-0000-0000-00004D2F0000}"/>
    <cellStyle name="Comma 7 2 2 7 2" xfId="12115" xr:uid="{00000000-0005-0000-0000-00004E2F0000}"/>
    <cellStyle name="Comma 7 2 2 8" xfId="12116" xr:uid="{00000000-0005-0000-0000-00004F2F0000}"/>
    <cellStyle name="Comma 7 2 3" xfId="12117" xr:uid="{00000000-0005-0000-0000-0000502F0000}"/>
    <cellStyle name="Comma 7 2 3 2" xfId="12118" xr:uid="{00000000-0005-0000-0000-0000512F0000}"/>
    <cellStyle name="Comma 7 2 3 2 2" xfId="12119" xr:uid="{00000000-0005-0000-0000-0000522F0000}"/>
    <cellStyle name="Comma 7 2 3 2 2 2" xfId="12120" xr:uid="{00000000-0005-0000-0000-0000532F0000}"/>
    <cellStyle name="Comma 7 2 3 2 2 2 2" xfId="12121" xr:uid="{00000000-0005-0000-0000-0000542F0000}"/>
    <cellStyle name="Comma 7 2 3 2 2 3" xfId="12122" xr:uid="{00000000-0005-0000-0000-0000552F0000}"/>
    <cellStyle name="Comma 7 2 3 2 2 3 2" xfId="12123" xr:uid="{00000000-0005-0000-0000-0000562F0000}"/>
    <cellStyle name="Comma 7 2 3 2 2 4" xfId="12124" xr:uid="{00000000-0005-0000-0000-0000572F0000}"/>
    <cellStyle name="Comma 7 2 3 2 3" xfId="12125" xr:uid="{00000000-0005-0000-0000-0000582F0000}"/>
    <cellStyle name="Comma 7 2 3 2 3 2" xfId="12126" xr:uid="{00000000-0005-0000-0000-0000592F0000}"/>
    <cellStyle name="Comma 7 2 3 2 4" xfId="12127" xr:uid="{00000000-0005-0000-0000-00005A2F0000}"/>
    <cellStyle name="Comma 7 2 3 2 4 2" xfId="12128" xr:uid="{00000000-0005-0000-0000-00005B2F0000}"/>
    <cellStyle name="Comma 7 2 3 2 5" xfId="12129" xr:uid="{00000000-0005-0000-0000-00005C2F0000}"/>
    <cellStyle name="Comma 7 2 3 2 5 2" xfId="12130" xr:uid="{00000000-0005-0000-0000-00005D2F0000}"/>
    <cellStyle name="Comma 7 2 3 2 6" xfId="12131" xr:uid="{00000000-0005-0000-0000-00005E2F0000}"/>
    <cellStyle name="Comma 7 2 3 2 6 2" xfId="12132" xr:uid="{00000000-0005-0000-0000-00005F2F0000}"/>
    <cellStyle name="Comma 7 2 3 2 7" xfId="12133" xr:uid="{00000000-0005-0000-0000-0000602F0000}"/>
    <cellStyle name="Comma 7 2 3 3" xfId="12134" xr:uid="{00000000-0005-0000-0000-0000612F0000}"/>
    <cellStyle name="Comma 7 2 3 3 2" xfId="12135" xr:uid="{00000000-0005-0000-0000-0000622F0000}"/>
    <cellStyle name="Comma 7 2 3 3 2 2" xfId="12136" xr:uid="{00000000-0005-0000-0000-0000632F0000}"/>
    <cellStyle name="Comma 7 2 3 3 3" xfId="12137" xr:uid="{00000000-0005-0000-0000-0000642F0000}"/>
    <cellStyle name="Comma 7 2 3 3 3 2" xfId="12138" xr:uid="{00000000-0005-0000-0000-0000652F0000}"/>
    <cellStyle name="Comma 7 2 3 3 4" xfId="12139" xr:uid="{00000000-0005-0000-0000-0000662F0000}"/>
    <cellStyle name="Comma 7 2 3 3 4 2" xfId="12140" xr:uid="{00000000-0005-0000-0000-0000672F0000}"/>
    <cellStyle name="Comma 7 2 3 3 5" xfId="12141" xr:uid="{00000000-0005-0000-0000-0000682F0000}"/>
    <cellStyle name="Comma 7 2 3 3 5 2" xfId="12142" xr:uid="{00000000-0005-0000-0000-0000692F0000}"/>
    <cellStyle name="Comma 7 2 3 3 6" xfId="12143" xr:uid="{00000000-0005-0000-0000-00006A2F0000}"/>
    <cellStyle name="Comma 7 2 3 4" xfId="12144" xr:uid="{00000000-0005-0000-0000-00006B2F0000}"/>
    <cellStyle name="Comma 7 2 3 4 2" xfId="12145" xr:uid="{00000000-0005-0000-0000-00006C2F0000}"/>
    <cellStyle name="Comma 7 2 3 4 2 2" xfId="12146" xr:uid="{00000000-0005-0000-0000-00006D2F0000}"/>
    <cellStyle name="Comma 7 2 3 4 3" xfId="12147" xr:uid="{00000000-0005-0000-0000-00006E2F0000}"/>
    <cellStyle name="Comma 7 2 3 5" xfId="12148" xr:uid="{00000000-0005-0000-0000-00006F2F0000}"/>
    <cellStyle name="Comma 7 2 3 5 2" xfId="12149" xr:uid="{00000000-0005-0000-0000-0000702F0000}"/>
    <cellStyle name="Comma 7 2 3 6" xfId="12150" xr:uid="{00000000-0005-0000-0000-0000712F0000}"/>
    <cellStyle name="Comma 7 2 3 6 2" xfId="12151" xr:uid="{00000000-0005-0000-0000-0000722F0000}"/>
    <cellStyle name="Comma 7 2 3 7" xfId="12152" xr:uid="{00000000-0005-0000-0000-0000732F0000}"/>
    <cellStyle name="Comma 7 2 3 7 2" xfId="12153" xr:uid="{00000000-0005-0000-0000-0000742F0000}"/>
    <cellStyle name="Comma 7 2 3 8" xfId="12154" xr:uid="{00000000-0005-0000-0000-0000752F0000}"/>
    <cellStyle name="Comma 7 2 4" xfId="12155" xr:uid="{00000000-0005-0000-0000-0000762F0000}"/>
    <cellStyle name="Comma 7 2 4 2" xfId="12156" xr:uid="{00000000-0005-0000-0000-0000772F0000}"/>
    <cellStyle name="Comma 7 2 4 2 2" xfId="12157" xr:uid="{00000000-0005-0000-0000-0000782F0000}"/>
    <cellStyle name="Comma 7 2 4 2 2 2" xfId="12158" xr:uid="{00000000-0005-0000-0000-0000792F0000}"/>
    <cellStyle name="Comma 7 2 4 2 3" xfId="12159" xr:uid="{00000000-0005-0000-0000-00007A2F0000}"/>
    <cellStyle name="Comma 7 2 4 2 3 2" xfId="12160" xr:uid="{00000000-0005-0000-0000-00007B2F0000}"/>
    <cellStyle name="Comma 7 2 4 2 4" xfId="12161" xr:uid="{00000000-0005-0000-0000-00007C2F0000}"/>
    <cellStyle name="Comma 7 2 4 3" xfId="12162" xr:uid="{00000000-0005-0000-0000-00007D2F0000}"/>
    <cellStyle name="Comma 7 2 4 3 2" xfId="12163" xr:uid="{00000000-0005-0000-0000-00007E2F0000}"/>
    <cellStyle name="Comma 7 2 4 4" xfId="12164" xr:uid="{00000000-0005-0000-0000-00007F2F0000}"/>
    <cellStyle name="Comma 7 2 4 4 2" xfId="12165" xr:uid="{00000000-0005-0000-0000-0000802F0000}"/>
    <cellStyle name="Comma 7 2 4 5" xfId="12166" xr:uid="{00000000-0005-0000-0000-0000812F0000}"/>
    <cellStyle name="Comma 7 2 4 5 2" xfId="12167" xr:uid="{00000000-0005-0000-0000-0000822F0000}"/>
    <cellStyle name="Comma 7 2 4 6" xfId="12168" xr:uid="{00000000-0005-0000-0000-0000832F0000}"/>
    <cellStyle name="Comma 7 2 4 6 2" xfId="12169" xr:uid="{00000000-0005-0000-0000-0000842F0000}"/>
    <cellStyle name="Comma 7 2 4 7" xfId="12170" xr:uid="{00000000-0005-0000-0000-0000852F0000}"/>
    <cellStyle name="Comma 7 2 5" xfId="12171" xr:uid="{00000000-0005-0000-0000-0000862F0000}"/>
    <cellStyle name="Comma 7 2 5 2" xfId="12172" xr:uid="{00000000-0005-0000-0000-0000872F0000}"/>
    <cellStyle name="Comma 7 2 5 2 2" xfId="12173" xr:uid="{00000000-0005-0000-0000-0000882F0000}"/>
    <cellStyle name="Comma 7 2 5 3" xfId="12174" xr:uid="{00000000-0005-0000-0000-0000892F0000}"/>
    <cellStyle name="Comma 7 2 5 3 2" xfId="12175" xr:uid="{00000000-0005-0000-0000-00008A2F0000}"/>
    <cellStyle name="Comma 7 2 5 4" xfId="12176" xr:uid="{00000000-0005-0000-0000-00008B2F0000}"/>
    <cellStyle name="Comma 7 2 5 4 2" xfId="12177" xr:uid="{00000000-0005-0000-0000-00008C2F0000}"/>
    <cellStyle name="Comma 7 2 5 5" xfId="12178" xr:uid="{00000000-0005-0000-0000-00008D2F0000}"/>
    <cellStyle name="Comma 7 2 5 5 2" xfId="12179" xr:uid="{00000000-0005-0000-0000-00008E2F0000}"/>
    <cellStyle name="Comma 7 2 5 6" xfId="12180" xr:uid="{00000000-0005-0000-0000-00008F2F0000}"/>
    <cellStyle name="Comma 7 2 6" xfId="12181" xr:uid="{00000000-0005-0000-0000-0000902F0000}"/>
    <cellStyle name="Comma 7 2 6 2" xfId="12182" xr:uid="{00000000-0005-0000-0000-0000912F0000}"/>
    <cellStyle name="Comma 7 2 6 2 2" xfId="12183" xr:uid="{00000000-0005-0000-0000-0000922F0000}"/>
    <cellStyle name="Comma 7 2 6 3" xfId="12184" xr:uid="{00000000-0005-0000-0000-0000932F0000}"/>
    <cellStyle name="Comma 7 2 7" xfId="12185" xr:uid="{00000000-0005-0000-0000-0000942F0000}"/>
    <cellStyle name="Comma 7 2 7 2" xfId="12186" xr:uid="{00000000-0005-0000-0000-0000952F0000}"/>
    <cellStyle name="Comma 7 2 8" xfId="12187" xr:uid="{00000000-0005-0000-0000-0000962F0000}"/>
    <cellStyle name="Comma 7 2 8 2" xfId="12188" xr:uid="{00000000-0005-0000-0000-0000972F0000}"/>
    <cellStyle name="Comma 7 2 9" xfId="12189" xr:uid="{00000000-0005-0000-0000-0000982F0000}"/>
    <cellStyle name="Comma 7 2 9 2" xfId="12190" xr:uid="{00000000-0005-0000-0000-0000992F0000}"/>
    <cellStyle name="Comma 7 3" xfId="12191" xr:uid="{00000000-0005-0000-0000-00009A2F0000}"/>
    <cellStyle name="Comma 7 3 2" xfId="12192" xr:uid="{00000000-0005-0000-0000-00009B2F0000}"/>
    <cellStyle name="Comma 7 3 2 2" xfId="12193" xr:uid="{00000000-0005-0000-0000-00009C2F0000}"/>
    <cellStyle name="Comma 7 3 2 2 2" xfId="12194" xr:uid="{00000000-0005-0000-0000-00009D2F0000}"/>
    <cellStyle name="Comma 7 3 2 2 2 2" xfId="12195" xr:uid="{00000000-0005-0000-0000-00009E2F0000}"/>
    <cellStyle name="Comma 7 3 2 2 3" xfId="12196" xr:uid="{00000000-0005-0000-0000-00009F2F0000}"/>
    <cellStyle name="Comma 7 3 2 2 3 2" xfId="12197" xr:uid="{00000000-0005-0000-0000-0000A02F0000}"/>
    <cellStyle name="Comma 7 3 2 2 4" xfId="12198" xr:uid="{00000000-0005-0000-0000-0000A12F0000}"/>
    <cellStyle name="Comma 7 3 2 3" xfId="12199" xr:uid="{00000000-0005-0000-0000-0000A22F0000}"/>
    <cellStyle name="Comma 7 3 2 3 2" xfId="12200" xr:uid="{00000000-0005-0000-0000-0000A32F0000}"/>
    <cellStyle name="Comma 7 3 2 4" xfId="12201" xr:uid="{00000000-0005-0000-0000-0000A42F0000}"/>
    <cellStyle name="Comma 7 3 2 4 2" xfId="12202" xr:uid="{00000000-0005-0000-0000-0000A52F0000}"/>
    <cellStyle name="Comma 7 3 2 5" xfId="12203" xr:uid="{00000000-0005-0000-0000-0000A62F0000}"/>
    <cellStyle name="Comma 7 3 2 5 2" xfId="12204" xr:uid="{00000000-0005-0000-0000-0000A72F0000}"/>
    <cellStyle name="Comma 7 3 2 6" xfId="12205" xr:uid="{00000000-0005-0000-0000-0000A82F0000}"/>
    <cellStyle name="Comma 7 3 2 6 2" xfId="12206" xr:uid="{00000000-0005-0000-0000-0000A92F0000}"/>
    <cellStyle name="Comma 7 3 2 7" xfId="12207" xr:uid="{00000000-0005-0000-0000-0000AA2F0000}"/>
    <cellStyle name="Comma 7 3 3" xfId="12208" xr:uid="{00000000-0005-0000-0000-0000AB2F0000}"/>
    <cellStyle name="Comma 7 3 3 2" xfId="12209" xr:uid="{00000000-0005-0000-0000-0000AC2F0000}"/>
    <cellStyle name="Comma 7 3 3 2 2" xfId="12210" xr:uid="{00000000-0005-0000-0000-0000AD2F0000}"/>
    <cellStyle name="Comma 7 3 3 3" xfId="12211" xr:uid="{00000000-0005-0000-0000-0000AE2F0000}"/>
    <cellStyle name="Comma 7 3 3 3 2" xfId="12212" xr:uid="{00000000-0005-0000-0000-0000AF2F0000}"/>
    <cellStyle name="Comma 7 3 3 4" xfId="12213" xr:uid="{00000000-0005-0000-0000-0000B02F0000}"/>
    <cellStyle name="Comma 7 3 3 4 2" xfId="12214" xr:uid="{00000000-0005-0000-0000-0000B12F0000}"/>
    <cellStyle name="Comma 7 3 3 5" xfId="12215" xr:uid="{00000000-0005-0000-0000-0000B22F0000}"/>
    <cellStyle name="Comma 7 3 3 5 2" xfId="12216" xr:uid="{00000000-0005-0000-0000-0000B32F0000}"/>
    <cellStyle name="Comma 7 3 3 6" xfId="12217" xr:uid="{00000000-0005-0000-0000-0000B42F0000}"/>
    <cellStyle name="Comma 7 3 4" xfId="12218" xr:uid="{00000000-0005-0000-0000-0000B52F0000}"/>
    <cellStyle name="Comma 7 3 4 2" xfId="12219" xr:uid="{00000000-0005-0000-0000-0000B62F0000}"/>
    <cellStyle name="Comma 7 3 4 2 2" xfId="12220" xr:uid="{00000000-0005-0000-0000-0000B72F0000}"/>
    <cellStyle name="Comma 7 3 4 3" xfId="12221" xr:uid="{00000000-0005-0000-0000-0000B82F0000}"/>
    <cellStyle name="Comma 7 3 5" xfId="12222" xr:uid="{00000000-0005-0000-0000-0000B92F0000}"/>
    <cellStyle name="Comma 7 3 5 2" xfId="12223" xr:uid="{00000000-0005-0000-0000-0000BA2F0000}"/>
    <cellStyle name="Comma 7 3 6" xfId="12224" xr:uid="{00000000-0005-0000-0000-0000BB2F0000}"/>
    <cellStyle name="Comma 7 3 6 2" xfId="12225" xr:uid="{00000000-0005-0000-0000-0000BC2F0000}"/>
    <cellStyle name="Comma 7 3 7" xfId="12226" xr:uid="{00000000-0005-0000-0000-0000BD2F0000}"/>
    <cellStyle name="Comma 7 3 7 2" xfId="12227" xr:uid="{00000000-0005-0000-0000-0000BE2F0000}"/>
    <cellStyle name="Comma 7 3 8" xfId="12228" xr:uid="{00000000-0005-0000-0000-0000BF2F0000}"/>
    <cellStyle name="Comma 7 4" xfId="12229" xr:uid="{00000000-0005-0000-0000-0000C02F0000}"/>
    <cellStyle name="Comma 7 4 2" xfId="12230" xr:uid="{00000000-0005-0000-0000-0000C12F0000}"/>
    <cellStyle name="Comma 7 4 2 2" xfId="12231" xr:uid="{00000000-0005-0000-0000-0000C22F0000}"/>
    <cellStyle name="Comma 7 4 2 2 2" xfId="12232" xr:uid="{00000000-0005-0000-0000-0000C32F0000}"/>
    <cellStyle name="Comma 7 4 2 2 2 2" xfId="12233" xr:uid="{00000000-0005-0000-0000-0000C42F0000}"/>
    <cellStyle name="Comma 7 4 2 2 3" xfId="12234" xr:uid="{00000000-0005-0000-0000-0000C52F0000}"/>
    <cellStyle name="Comma 7 4 2 2 3 2" xfId="12235" xr:uid="{00000000-0005-0000-0000-0000C62F0000}"/>
    <cellStyle name="Comma 7 4 2 2 4" xfId="12236" xr:uid="{00000000-0005-0000-0000-0000C72F0000}"/>
    <cellStyle name="Comma 7 4 2 3" xfId="12237" xr:uid="{00000000-0005-0000-0000-0000C82F0000}"/>
    <cellStyle name="Comma 7 4 2 3 2" xfId="12238" xr:uid="{00000000-0005-0000-0000-0000C92F0000}"/>
    <cellStyle name="Comma 7 4 2 4" xfId="12239" xr:uid="{00000000-0005-0000-0000-0000CA2F0000}"/>
    <cellStyle name="Comma 7 4 2 4 2" xfId="12240" xr:uid="{00000000-0005-0000-0000-0000CB2F0000}"/>
    <cellStyle name="Comma 7 4 2 5" xfId="12241" xr:uid="{00000000-0005-0000-0000-0000CC2F0000}"/>
    <cellStyle name="Comma 7 4 2 5 2" xfId="12242" xr:uid="{00000000-0005-0000-0000-0000CD2F0000}"/>
    <cellStyle name="Comma 7 4 2 6" xfId="12243" xr:uid="{00000000-0005-0000-0000-0000CE2F0000}"/>
    <cellStyle name="Comma 7 4 2 6 2" xfId="12244" xr:uid="{00000000-0005-0000-0000-0000CF2F0000}"/>
    <cellStyle name="Comma 7 4 2 7" xfId="12245" xr:uid="{00000000-0005-0000-0000-0000D02F0000}"/>
    <cellStyle name="Comma 7 4 3" xfId="12246" xr:uid="{00000000-0005-0000-0000-0000D12F0000}"/>
    <cellStyle name="Comma 7 4 3 2" xfId="12247" xr:uid="{00000000-0005-0000-0000-0000D22F0000}"/>
    <cellStyle name="Comma 7 4 3 2 2" xfId="12248" xr:uid="{00000000-0005-0000-0000-0000D32F0000}"/>
    <cellStyle name="Comma 7 4 3 3" xfId="12249" xr:uid="{00000000-0005-0000-0000-0000D42F0000}"/>
    <cellStyle name="Comma 7 4 3 3 2" xfId="12250" xr:uid="{00000000-0005-0000-0000-0000D52F0000}"/>
    <cellStyle name="Comma 7 4 3 4" xfId="12251" xr:uid="{00000000-0005-0000-0000-0000D62F0000}"/>
    <cellStyle name="Comma 7 4 3 4 2" xfId="12252" xr:uid="{00000000-0005-0000-0000-0000D72F0000}"/>
    <cellStyle name="Comma 7 4 3 5" xfId="12253" xr:uid="{00000000-0005-0000-0000-0000D82F0000}"/>
    <cellStyle name="Comma 7 4 3 5 2" xfId="12254" xr:uid="{00000000-0005-0000-0000-0000D92F0000}"/>
    <cellStyle name="Comma 7 4 3 6" xfId="12255" xr:uid="{00000000-0005-0000-0000-0000DA2F0000}"/>
    <cellStyle name="Comma 7 4 4" xfId="12256" xr:uid="{00000000-0005-0000-0000-0000DB2F0000}"/>
    <cellStyle name="Comma 7 4 4 2" xfId="12257" xr:uid="{00000000-0005-0000-0000-0000DC2F0000}"/>
    <cellStyle name="Comma 7 4 4 2 2" xfId="12258" xr:uid="{00000000-0005-0000-0000-0000DD2F0000}"/>
    <cellStyle name="Comma 7 4 4 3" xfId="12259" xr:uid="{00000000-0005-0000-0000-0000DE2F0000}"/>
    <cellStyle name="Comma 7 4 5" xfId="12260" xr:uid="{00000000-0005-0000-0000-0000DF2F0000}"/>
    <cellStyle name="Comma 7 4 5 2" xfId="12261" xr:uid="{00000000-0005-0000-0000-0000E02F0000}"/>
    <cellStyle name="Comma 7 4 6" xfId="12262" xr:uid="{00000000-0005-0000-0000-0000E12F0000}"/>
    <cellStyle name="Comma 7 4 6 2" xfId="12263" xr:uid="{00000000-0005-0000-0000-0000E22F0000}"/>
    <cellStyle name="Comma 7 4 7" xfId="12264" xr:uid="{00000000-0005-0000-0000-0000E32F0000}"/>
    <cellStyle name="Comma 7 4 7 2" xfId="12265" xr:uid="{00000000-0005-0000-0000-0000E42F0000}"/>
    <cellStyle name="Comma 7 4 8" xfId="12266" xr:uid="{00000000-0005-0000-0000-0000E52F0000}"/>
    <cellStyle name="Comma 7 5" xfId="12267" xr:uid="{00000000-0005-0000-0000-0000E62F0000}"/>
    <cellStyle name="Comma 7 5 2" xfId="12268" xr:uid="{00000000-0005-0000-0000-0000E72F0000}"/>
    <cellStyle name="Comma 7 5 2 2" xfId="12269" xr:uid="{00000000-0005-0000-0000-0000E82F0000}"/>
    <cellStyle name="Comma 7 5 2 2 2" xfId="12270" xr:uid="{00000000-0005-0000-0000-0000E92F0000}"/>
    <cellStyle name="Comma 7 5 2 3" xfId="12271" xr:uid="{00000000-0005-0000-0000-0000EA2F0000}"/>
    <cellStyle name="Comma 7 5 2 3 2" xfId="12272" xr:uid="{00000000-0005-0000-0000-0000EB2F0000}"/>
    <cellStyle name="Comma 7 5 2 4" xfId="12273" xr:uid="{00000000-0005-0000-0000-0000EC2F0000}"/>
    <cellStyle name="Comma 7 5 3" xfId="12274" xr:uid="{00000000-0005-0000-0000-0000ED2F0000}"/>
    <cellStyle name="Comma 7 5 3 2" xfId="12275" xr:uid="{00000000-0005-0000-0000-0000EE2F0000}"/>
    <cellStyle name="Comma 7 5 4" xfId="12276" xr:uid="{00000000-0005-0000-0000-0000EF2F0000}"/>
    <cellStyle name="Comma 7 5 4 2" xfId="12277" xr:uid="{00000000-0005-0000-0000-0000F02F0000}"/>
    <cellStyle name="Comma 7 5 5" xfId="12278" xr:uid="{00000000-0005-0000-0000-0000F12F0000}"/>
    <cellStyle name="Comma 7 5 5 2" xfId="12279" xr:uid="{00000000-0005-0000-0000-0000F22F0000}"/>
    <cellStyle name="Comma 7 5 6" xfId="12280" xr:uid="{00000000-0005-0000-0000-0000F32F0000}"/>
    <cellStyle name="Comma 7 5 6 2" xfId="12281" xr:uid="{00000000-0005-0000-0000-0000F42F0000}"/>
    <cellStyle name="Comma 7 5 7" xfId="12282" xr:uid="{00000000-0005-0000-0000-0000F52F0000}"/>
    <cellStyle name="Comma 7 6" xfId="12283" xr:uid="{00000000-0005-0000-0000-0000F62F0000}"/>
    <cellStyle name="Comma 7 6 2" xfId="12284" xr:uid="{00000000-0005-0000-0000-0000F72F0000}"/>
    <cellStyle name="Comma 7 6 2 2" xfId="12285" xr:uid="{00000000-0005-0000-0000-0000F82F0000}"/>
    <cellStyle name="Comma 7 6 3" xfId="12286" xr:uid="{00000000-0005-0000-0000-0000F92F0000}"/>
    <cellStyle name="Comma 7 6 3 2" xfId="12287" xr:uid="{00000000-0005-0000-0000-0000FA2F0000}"/>
    <cellStyle name="Comma 7 6 4" xfId="12288" xr:uid="{00000000-0005-0000-0000-0000FB2F0000}"/>
    <cellStyle name="Comma 7 6 4 2" xfId="12289" xr:uid="{00000000-0005-0000-0000-0000FC2F0000}"/>
    <cellStyle name="Comma 7 6 5" xfId="12290" xr:uid="{00000000-0005-0000-0000-0000FD2F0000}"/>
    <cellStyle name="Comma 7 6 5 2" xfId="12291" xr:uid="{00000000-0005-0000-0000-0000FE2F0000}"/>
    <cellStyle name="Comma 7 6 6" xfId="12292" xr:uid="{00000000-0005-0000-0000-0000FF2F0000}"/>
    <cellStyle name="Comma 7 7" xfId="12293" xr:uid="{00000000-0005-0000-0000-000000300000}"/>
    <cellStyle name="Comma 7 7 2" xfId="12294" xr:uid="{00000000-0005-0000-0000-000001300000}"/>
    <cellStyle name="Comma 7 7 2 2" xfId="12295" xr:uid="{00000000-0005-0000-0000-000002300000}"/>
    <cellStyle name="Comma 7 7 3" xfId="12296" xr:uid="{00000000-0005-0000-0000-000003300000}"/>
    <cellStyle name="Comma 7 8" xfId="12297" xr:uid="{00000000-0005-0000-0000-000004300000}"/>
    <cellStyle name="Comma 7 8 2" xfId="12298" xr:uid="{00000000-0005-0000-0000-000005300000}"/>
    <cellStyle name="Comma 7 9" xfId="12299" xr:uid="{00000000-0005-0000-0000-000006300000}"/>
    <cellStyle name="Comma 7 9 2" xfId="12300" xr:uid="{00000000-0005-0000-0000-000007300000}"/>
    <cellStyle name="Comma 8" xfId="12301" xr:uid="{00000000-0005-0000-0000-000008300000}"/>
    <cellStyle name="Comma 9" xfId="12302" xr:uid="{00000000-0005-0000-0000-000009300000}"/>
    <cellStyle name="Comma 9 2" xfId="12303" xr:uid="{00000000-0005-0000-0000-00000A300000}"/>
    <cellStyle name="Comma 9 2 2" xfId="12304" xr:uid="{00000000-0005-0000-0000-00000B300000}"/>
    <cellStyle name="Comma 9 2 2 2" xfId="12305" xr:uid="{00000000-0005-0000-0000-00000C300000}"/>
    <cellStyle name="Comma 9 2 2 2 2" xfId="12306" xr:uid="{00000000-0005-0000-0000-00000D300000}"/>
    <cellStyle name="Comma 9 2 2 2 2 2" xfId="12307" xr:uid="{00000000-0005-0000-0000-00000E300000}"/>
    <cellStyle name="Comma 9 2 2 2 3" xfId="12308" xr:uid="{00000000-0005-0000-0000-00000F300000}"/>
    <cellStyle name="Comma 9 2 2 2 3 2" xfId="12309" xr:uid="{00000000-0005-0000-0000-000010300000}"/>
    <cellStyle name="Comma 9 2 2 2 4" xfId="12310" xr:uid="{00000000-0005-0000-0000-000011300000}"/>
    <cellStyle name="Comma 9 2 2 3" xfId="12311" xr:uid="{00000000-0005-0000-0000-000012300000}"/>
    <cellStyle name="Comma 9 2 2 3 2" xfId="12312" xr:uid="{00000000-0005-0000-0000-000013300000}"/>
    <cellStyle name="Comma 9 2 2 4" xfId="12313" xr:uid="{00000000-0005-0000-0000-000014300000}"/>
    <cellStyle name="Comma 9 2 2 4 2" xfId="12314" xr:uid="{00000000-0005-0000-0000-000015300000}"/>
    <cellStyle name="Comma 9 2 2 5" xfId="12315" xr:uid="{00000000-0005-0000-0000-000016300000}"/>
    <cellStyle name="Comma 9 2 2 5 2" xfId="12316" xr:uid="{00000000-0005-0000-0000-000017300000}"/>
    <cellStyle name="Comma 9 2 2 6" xfId="12317" xr:uid="{00000000-0005-0000-0000-000018300000}"/>
    <cellStyle name="Comma 9 2 2 6 2" xfId="12318" xr:uid="{00000000-0005-0000-0000-000019300000}"/>
    <cellStyle name="Comma 9 2 2 7" xfId="12319" xr:uid="{00000000-0005-0000-0000-00001A300000}"/>
    <cellStyle name="Comma 9 2 3" xfId="12320" xr:uid="{00000000-0005-0000-0000-00001B300000}"/>
    <cellStyle name="Comma 9 2 3 2" xfId="12321" xr:uid="{00000000-0005-0000-0000-00001C300000}"/>
    <cellStyle name="Comma 9 2 3 2 2" xfId="12322" xr:uid="{00000000-0005-0000-0000-00001D300000}"/>
    <cellStyle name="Comma 9 2 3 3" xfId="12323" xr:uid="{00000000-0005-0000-0000-00001E300000}"/>
    <cellStyle name="Comma 9 2 3 3 2" xfId="12324" xr:uid="{00000000-0005-0000-0000-00001F300000}"/>
    <cellStyle name="Comma 9 2 3 4" xfId="12325" xr:uid="{00000000-0005-0000-0000-000020300000}"/>
    <cellStyle name="Comma 9 2 3 4 2" xfId="12326" xr:uid="{00000000-0005-0000-0000-000021300000}"/>
    <cellStyle name="Comma 9 2 3 5" xfId="12327" xr:uid="{00000000-0005-0000-0000-000022300000}"/>
    <cellStyle name="Comma 9 2 3 5 2" xfId="12328" xr:uid="{00000000-0005-0000-0000-000023300000}"/>
    <cellStyle name="Comma 9 2 3 6" xfId="12329" xr:uid="{00000000-0005-0000-0000-000024300000}"/>
    <cellStyle name="Comma 9 2 4" xfId="12330" xr:uid="{00000000-0005-0000-0000-000025300000}"/>
    <cellStyle name="Comma 9 2 4 2" xfId="12331" xr:uid="{00000000-0005-0000-0000-000026300000}"/>
    <cellStyle name="Comma 9 2 4 2 2" xfId="12332" xr:uid="{00000000-0005-0000-0000-000027300000}"/>
    <cellStyle name="Comma 9 2 4 3" xfId="12333" xr:uid="{00000000-0005-0000-0000-000028300000}"/>
    <cellStyle name="Comma 9 2 5" xfId="12334" xr:uid="{00000000-0005-0000-0000-000029300000}"/>
    <cellStyle name="Comma 9 2 5 2" xfId="12335" xr:uid="{00000000-0005-0000-0000-00002A300000}"/>
    <cellStyle name="Comma 9 2 6" xfId="12336" xr:uid="{00000000-0005-0000-0000-00002B300000}"/>
    <cellStyle name="Comma 9 2 6 2" xfId="12337" xr:uid="{00000000-0005-0000-0000-00002C300000}"/>
    <cellStyle name="Comma 9 2 7" xfId="12338" xr:uid="{00000000-0005-0000-0000-00002D300000}"/>
    <cellStyle name="Comma 9 2 7 2" xfId="12339" xr:uid="{00000000-0005-0000-0000-00002E300000}"/>
    <cellStyle name="Comma 9 2 8" xfId="12340" xr:uid="{00000000-0005-0000-0000-00002F300000}"/>
    <cellStyle name="Comma 9 3" xfId="12341" xr:uid="{00000000-0005-0000-0000-000030300000}"/>
    <cellStyle name="Comma 9 3 2" xfId="12342" xr:uid="{00000000-0005-0000-0000-000031300000}"/>
    <cellStyle name="Comma 9 3 2 2" xfId="12343" xr:uid="{00000000-0005-0000-0000-000032300000}"/>
    <cellStyle name="Comma 9 3 2 2 2" xfId="12344" xr:uid="{00000000-0005-0000-0000-000033300000}"/>
    <cellStyle name="Comma 9 3 2 3" xfId="12345" xr:uid="{00000000-0005-0000-0000-000034300000}"/>
    <cellStyle name="Comma 9 3 2 3 2" xfId="12346" xr:uid="{00000000-0005-0000-0000-000035300000}"/>
    <cellStyle name="Comma 9 3 2 4" xfId="12347" xr:uid="{00000000-0005-0000-0000-000036300000}"/>
    <cellStyle name="Comma 9 3 3" xfId="12348" xr:uid="{00000000-0005-0000-0000-000037300000}"/>
    <cellStyle name="Comma 9 3 3 2" xfId="12349" xr:uid="{00000000-0005-0000-0000-000038300000}"/>
    <cellStyle name="Comma 9 3 4" xfId="12350" xr:uid="{00000000-0005-0000-0000-000039300000}"/>
    <cellStyle name="Comma 9 3 4 2" xfId="12351" xr:uid="{00000000-0005-0000-0000-00003A300000}"/>
    <cellStyle name="Comma 9 3 5" xfId="12352" xr:uid="{00000000-0005-0000-0000-00003B300000}"/>
    <cellStyle name="Comma 9 3 5 2" xfId="12353" xr:uid="{00000000-0005-0000-0000-00003C300000}"/>
    <cellStyle name="Comma 9 3 6" xfId="12354" xr:uid="{00000000-0005-0000-0000-00003D300000}"/>
    <cellStyle name="Comma 9 3 6 2" xfId="12355" xr:uid="{00000000-0005-0000-0000-00003E300000}"/>
    <cellStyle name="Comma 9 3 7" xfId="12356" xr:uid="{00000000-0005-0000-0000-00003F300000}"/>
    <cellStyle name="Comma 9 4" xfId="12357" xr:uid="{00000000-0005-0000-0000-000040300000}"/>
    <cellStyle name="Comma 9 4 2" xfId="12358" xr:uid="{00000000-0005-0000-0000-000041300000}"/>
    <cellStyle name="Comma 9 4 2 2" xfId="12359" xr:uid="{00000000-0005-0000-0000-000042300000}"/>
    <cellStyle name="Comma 9 4 3" xfId="12360" xr:uid="{00000000-0005-0000-0000-000043300000}"/>
    <cellStyle name="Comma 9 4 3 2" xfId="12361" xr:uid="{00000000-0005-0000-0000-000044300000}"/>
    <cellStyle name="Comma 9 4 4" xfId="12362" xr:uid="{00000000-0005-0000-0000-000045300000}"/>
    <cellStyle name="Comma 9 4 4 2" xfId="12363" xr:uid="{00000000-0005-0000-0000-000046300000}"/>
    <cellStyle name="Comma 9 4 5" xfId="12364" xr:uid="{00000000-0005-0000-0000-000047300000}"/>
    <cellStyle name="Comma 9 4 5 2" xfId="12365" xr:uid="{00000000-0005-0000-0000-000048300000}"/>
    <cellStyle name="Comma 9 4 6" xfId="12366" xr:uid="{00000000-0005-0000-0000-000049300000}"/>
    <cellStyle name="Comma 9 5" xfId="12367" xr:uid="{00000000-0005-0000-0000-00004A300000}"/>
    <cellStyle name="Comma 9 5 2" xfId="12368" xr:uid="{00000000-0005-0000-0000-00004B300000}"/>
    <cellStyle name="Comma 9 5 2 2" xfId="12369" xr:uid="{00000000-0005-0000-0000-00004C300000}"/>
    <cellStyle name="Comma 9 5 3" xfId="12370" xr:uid="{00000000-0005-0000-0000-00004D300000}"/>
    <cellStyle name="Comma 9 6" xfId="12371" xr:uid="{00000000-0005-0000-0000-00004E300000}"/>
    <cellStyle name="Comma 9 6 2" xfId="12372" xr:uid="{00000000-0005-0000-0000-00004F300000}"/>
    <cellStyle name="Comma 9 7" xfId="12373" xr:uid="{00000000-0005-0000-0000-000050300000}"/>
    <cellStyle name="Comma 9 7 2" xfId="12374" xr:uid="{00000000-0005-0000-0000-000051300000}"/>
    <cellStyle name="Comma 9 8" xfId="12375" xr:uid="{00000000-0005-0000-0000-000052300000}"/>
    <cellStyle name="Comma 9 8 2" xfId="12376" xr:uid="{00000000-0005-0000-0000-000053300000}"/>
    <cellStyle name="Comma 9 9" xfId="12377" xr:uid="{00000000-0005-0000-0000-000054300000}"/>
    <cellStyle name="Currency 2" xfId="12378" xr:uid="{00000000-0005-0000-0000-000055300000}"/>
    <cellStyle name="Currency 3" xfId="12379" xr:uid="{00000000-0005-0000-0000-000056300000}"/>
    <cellStyle name="Error" xfId="12380" xr:uid="{00000000-0005-0000-0000-000057300000}"/>
    <cellStyle name="Excel Built-in 20% - Accent3" xfId="12381" xr:uid="{00000000-0005-0000-0000-000058300000}"/>
    <cellStyle name="Excel Built-in 40% - Accent6" xfId="12382" xr:uid="{00000000-0005-0000-0000-000059300000}"/>
    <cellStyle name="Excel Built-in 60% - Accent1" xfId="12383" xr:uid="{00000000-0005-0000-0000-00005A300000}"/>
    <cellStyle name="Excel Built-in 60% - Accent4" xfId="12384" xr:uid="{00000000-0005-0000-0000-00005B300000}"/>
    <cellStyle name="Excel Built-in Accent2" xfId="12385" xr:uid="{00000000-0005-0000-0000-00005C300000}"/>
    <cellStyle name="Excel Built-in Normal" xfId="12386" xr:uid="{00000000-0005-0000-0000-00005D300000}"/>
    <cellStyle name="Explanatory Text 2" xfId="12387" xr:uid="{00000000-0005-0000-0000-00005E300000}"/>
    <cellStyle name="Explanatory Text 2 2" xfId="12388" xr:uid="{00000000-0005-0000-0000-00005F300000}"/>
    <cellStyle name="Explanatory Text 2 2 2" xfId="12389" xr:uid="{00000000-0005-0000-0000-000060300000}"/>
    <cellStyle name="Explanatory Text 2 2 3" xfId="12390" xr:uid="{00000000-0005-0000-0000-000061300000}"/>
    <cellStyle name="Explanatory Text 2 3" xfId="12391" xr:uid="{00000000-0005-0000-0000-000062300000}"/>
    <cellStyle name="Explanatory Text 2 3 2" xfId="12392" xr:uid="{00000000-0005-0000-0000-000063300000}"/>
    <cellStyle name="Explanatory Text 2 4" xfId="12393" xr:uid="{00000000-0005-0000-0000-000064300000}"/>
    <cellStyle name="Explanatory Text 2 4 2" xfId="12394" xr:uid="{00000000-0005-0000-0000-000065300000}"/>
    <cellStyle name="Explanatory Text 3" xfId="12395" xr:uid="{00000000-0005-0000-0000-000066300000}"/>
    <cellStyle name="Explanatory Text 3 2" xfId="12396" xr:uid="{00000000-0005-0000-0000-000067300000}"/>
    <cellStyle name="Explanatory Text 3 2 2" xfId="12397" xr:uid="{00000000-0005-0000-0000-000068300000}"/>
    <cellStyle name="Explanatory Text 3 3" xfId="12398" xr:uid="{00000000-0005-0000-0000-000069300000}"/>
    <cellStyle name="Explanatory Text 4" xfId="12399" xr:uid="{00000000-0005-0000-0000-00006A300000}"/>
    <cellStyle name="Explanatory Text 4 2" xfId="12400" xr:uid="{00000000-0005-0000-0000-00006B300000}"/>
    <cellStyle name="Explanatory Text 5" xfId="12401" xr:uid="{00000000-0005-0000-0000-00006C300000}"/>
    <cellStyle name="Explanatory Text 6" xfId="12402" xr:uid="{00000000-0005-0000-0000-00006D300000}"/>
    <cellStyle name="Explanatory Text 7" xfId="12403" xr:uid="{00000000-0005-0000-0000-00006E300000}"/>
    <cellStyle name="Good 2" xfId="12404" xr:uid="{00000000-0005-0000-0000-00006F300000}"/>
    <cellStyle name="Good 2 2" xfId="12405" xr:uid="{00000000-0005-0000-0000-000070300000}"/>
    <cellStyle name="Good 2 2 2" xfId="12406" xr:uid="{00000000-0005-0000-0000-000071300000}"/>
    <cellStyle name="Good 2 2 3" xfId="12407" xr:uid="{00000000-0005-0000-0000-000072300000}"/>
    <cellStyle name="Good 2 3" xfId="12408" xr:uid="{00000000-0005-0000-0000-000073300000}"/>
    <cellStyle name="Good 2 3 2" xfId="12409" xr:uid="{00000000-0005-0000-0000-000074300000}"/>
    <cellStyle name="Good 2 4" xfId="12410" xr:uid="{00000000-0005-0000-0000-000075300000}"/>
    <cellStyle name="Good 2 4 2" xfId="12411" xr:uid="{00000000-0005-0000-0000-000076300000}"/>
    <cellStyle name="Good 3" xfId="12412" xr:uid="{00000000-0005-0000-0000-000077300000}"/>
    <cellStyle name="Good 3 2" xfId="12413" xr:uid="{00000000-0005-0000-0000-000078300000}"/>
    <cellStyle name="Good 3 2 2" xfId="12414" xr:uid="{00000000-0005-0000-0000-000079300000}"/>
    <cellStyle name="Good 3 3" xfId="12415" xr:uid="{00000000-0005-0000-0000-00007A300000}"/>
    <cellStyle name="Good 3 3 2" xfId="12416" xr:uid="{00000000-0005-0000-0000-00007B300000}"/>
    <cellStyle name="Good 4" xfId="12417" xr:uid="{00000000-0005-0000-0000-00007C300000}"/>
    <cellStyle name="Good 4 2" xfId="12418" xr:uid="{00000000-0005-0000-0000-00007D300000}"/>
    <cellStyle name="Good 5" xfId="12419" xr:uid="{00000000-0005-0000-0000-00007E300000}"/>
    <cellStyle name="Good 6" xfId="12420" xr:uid="{00000000-0005-0000-0000-00007F300000}"/>
    <cellStyle name="Good 7" xfId="12421" xr:uid="{00000000-0005-0000-0000-000080300000}"/>
    <cellStyle name="Heading 1 2" xfId="12422" xr:uid="{00000000-0005-0000-0000-000081300000}"/>
    <cellStyle name="Heading 1 2 2" xfId="12423" xr:uid="{00000000-0005-0000-0000-000082300000}"/>
    <cellStyle name="Heading 1 2 2 2" xfId="12424" xr:uid="{00000000-0005-0000-0000-000083300000}"/>
    <cellStyle name="Heading 1 2 2 3" xfId="12425" xr:uid="{00000000-0005-0000-0000-000084300000}"/>
    <cellStyle name="Heading 1 2 3" xfId="12426" xr:uid="{00000000-0005-0000-0000-000085300000}"/>
    <cellStyle name="Heading 1 2 3 2" xfId="12427" xr:uid="{00000000-0005-0000-0000-000086300000}"/>
    <cellStyle name="Heading 1 2 4" xfId="12428" xr:uid="{00000000-0005-0000-0000-000087300000}"/>
    <cellStyle name="Heading 1 3" xfId="12429" xr:uid="{00000000-0005-0000-0000-000088300000}"/>
    <cellStyle name="Heading 1 3 2" xfId="12430" xr:uid="{00000000-0005-0000-0000-000089300000}"/>
    <cellStyle name="Heading 1 3 2 2" xfId="12431" xr:uid="{00000000-0005-0000-0000-00008A300000}"/>
    <cellStyle name="Heading 1 3 2 3" xfId="12432" xr:uid="{00000000-0005-0000-0000-00008B300000}"/>
    <cellStyle name="Heading 1 3 3" xfId="12433" xr:uid="{00000000-0005-0000-0000-00008C300000}"/>
    <cellStyle name="Heading 1 4" xfId="12434" xr:uid="{00000000-0005-0000-0000-00008D300000}"/>
    <cellStyle name="Heading 1 4 2" xfId="12435" xr:uid="{00000000-0005-0000-0000-00008E300000}"/>
    <cellStyle name="Heading 1 5" xfId="12436" xr:uid="{00000000-0005-0000-0000-00008F300000}"/>
    <cellStyle name="Heading 1 6" xfId="12437" xr:uid="{00000000-0005-0000-0000-000090300000}"/>
    <cellStyle name="Heading 2 2" xfId="12438" xr:uid="{00000000-0005-0000-0000-000091300000}"/>
    <cellStyle name="Heading 2 2 2" xfId="12439" xr:uid="{00000000-0005-0000-0000-000092300000}"/>
    <cellStyle name="Heading 2 2 2 2" xfId="12440" xr:uid="{00000000-0005-0000-0000-000093300000}"/>
    <cellStyle name="Heading 2 2 2 3" xfId="12441" xr:uid="{00000000-0005-0000-0000-000094300000}"/>
    <cellStyle name="Heading 2 2 3" xfId="12442" xr:uid="{00000000-0005-0000-0000-000095300000}"/>
    <cellStyle name="Heading 2 2 3 2" xfId="12443" xr:uid="{00000000-0005-0000-0000-000096300000}"/>
    <cellStyle name="Heading 2 2 4" xfId="12444" xr:uid="{00000000-0005-0000-0000-000097300000}"/>
    <cellStyle name="Heading 2 3" xfId="12445" xr:uid="{00000000-0005-0000-0000-000098300000}"/>
    <cellStyle name="Heading 2 3 2" xfId="12446" xr:uid="{00000000-0005-0000-0000-000099300000}"/>
    <cellStyle name="Heading 2 3 2 2" xfId="12447" xr:uid="{00000000-0005-0000-0000-00009A300000}"/>
    <cellStyle name="Heading 2 3 2 3" xfId="12448" xr:uid="{00000000-0005-0000-0000-00009B300000}"/>
    <cellStyle name="Heading 2 3 3" xfId="12449" xr:uid="{00000000-0005-0000-0000-00009C300000}"/>
    <cellStyle name="Heading 2 4" xfId="12450" xr:uid="{00000000-0005-0000-0000-00009D300000}"/>
    <cellStyle name="Heading 2 4 2" xfId="12451" xr:uid="{00000000-0005-0000-0000-00009E300000}"/>
    <cellStyle name="Heading 2 5" xfId="12452" xr:uid="{00000000-0005-0000-0000-00009F300000}"/>
    <cellStyle name="Heading 2 6" xfId="12453" xr:uid="{00000000-0005-0000-0000-0000A0300000}"/>
    <cellStyle name="Heading 3 2" xfId="12454" xr:uid="{00000000-0005-0000-0000-0000A1300000}"/>
    <cellStyle name="Heading 3 2 2" xfId="12455" xr:uid="{00000000-0005-0000-0000-0000A2300000}"/>
    <cellStyle name="Heading 3 2 2 2" xfId="12456" xr:uid="{00000000-0005-0000-0000-0000A3300000}"/>
    <cellStyle name="Heading 3 2 2 3" xfId="12457" xr:uid="{00000000-0005-0000-0000-0000A4300000}"/>
    <cellStyle name="Heading 3 2 3" xfId="12458" xr:uid="{00000000-0005-0000-0000-0000A5300000}"/>
    <cellStyle name="Heading 3 2 3 2" xfId="12459" xr:uid="{00000000-0005-0000-0000-0000A6300000}"/>
    <cellStyle name="Heading 3 2 4" xfId="12460" xr:uid="{00000000-0005-0000-0000-0000A7300000}"/>
    <cellStyle name="Heading 3 3" xfId="12461" xr:uid="{00000000-0005-0000-0000-0000A8300000}"/>
    <cellStyle name="Heading 3 3 2" xfId="12462" xr:uid="{00000000-0005-0000-0000-0000A9300000}"/>
    <cellStyle name="Heading 3 3 2 2" xfId="12463" xr:uid="{00000000-0005-0000-0000-0000AA300000}"/>
    <cellStyle name="Heading 3 3 2 3" xfId="12464" xr:uid="{00000000-0005-0000-0000-0000AB300000}"/>
    <cellStyle name="Heading 3 3 3" xfId="12465" xr:uid="{00000000-0005-0000-0000-0000AC300000}"/>
    <cellStyle name="Heading 3 4" xfId="12466" xr:uid="{00000000-0005-0000-0000-0000AD300000}"/>
    <cellStyle name="Heading 3 4 2" xfId="12467" xr:uid="{00000000-0005-0000-0000-0000AE300000}"/>
    <cellStyle name="Heading 3 5" xfId="12468" xr:uid="{00000000-0005-0000-0000-0000AF300000}"/>
    <cellStyle name="Heading 3 6" xfId="12469" xr:uid="{00000000-0005-0000-0000-0000B0300000}"/>
    <cellStyle name="Heading 4 2" xfId="12470" xr:uid="{00000000-0005-0000-0000-0000B1300000}"/>
    <cellStyle name="Heading 4 2 2" xfId="12471" xr:uid="{00000000-0005-0000-0000-0000B2300000}"/>
    <cellStyle name="Heading 4 2 2 2" xfId="12472" xr:uid="{00000000-0005-0000-0000-0000B3300000}"/>
    <cellStyle name="Heading 4 2 2 3" xfId="12473" xr:uid="{00000000-0005-0000-0000-0000B4300000}"/>
    <cellStyle name="Heading 4 2 3" xfId="12474" xr:uid="{00000000-0005-0000-0000-0000B5300000}"/>
    <cellStyle name="Heading 4 2 3 2" xfId="12475" xr:uid="{00000000-0005-0000-0000-0000B6300000}"/>
    <cellStyle name="Heading 4 2 4" xfId="12476" xr:uid="{00000000-0005-0000-0000-0000B7300000}"/>
    <cellStyle name="Heading 4 3" xfId="12477" xr:uid="{00000000-0005-0000-0000-0000B8300000}"/>
    <cellStyle name="Heading 4 3 2" xfId="12478" xr:uid="{00000000-0005-0000-0000-0000B9300000}"/>
    <cellStyle name="Heading 4 3 2 2" xfId="12479" xr:uid="{00000000-0005-0000-0000-0000BA300000}"/>
    <cellStyle name="Heading 4 3 2 3" xfId="12480" xr:uid="{00000000-0005-0000-0000-0000BB300000}"/>
    <cellStyle name="Heading 4 3 3" xfId="12481" xr:uid="{00000000-0005-0000-0000-0000BC300000}"/>
    <cellStyle name="Heading 4 4" xfId="12482" xr:uid="{00000000-0005-0000-0000-0000BD300000}"/>
    <cellStyle name="Heading 4 4 2" xfId="12483" xr:uid="{00000000-0005-0000-0000-0000BE300000}"/>
    <cellStyle name="Heading 4 5" xfId="12484" xr:uid="{00000000-0005-0000-0000-0000BF300000}"/>
    <cellStyle name="Heading 4 6" xfId="12485" xr:uid="{00000000-0005-0000-0000-0000C0300000}"/>
    <cellStyle name="Hyperlink 2" xfId="12486" xr:uid="{00000000-0005-0000-0000-0000C1300000}"/>
    <cellStyle name="Input 2" xfId="12487" xr:uid="{00000000-0005-0000-0000-0000C2300000}"/>
    <cellStyle name="Input 2 2" xfId="12488" xr:uid="{00000000-0005-0000-0000-0000C3300000}"/>
    <cellStyle name="Input 2 2 2" xfId="12489" xr:uid="{00000000-0005-0000-0000-0000C4300000}"/>
    <cellStyle name="Input 2 2 3" xfId="12490" xr:uid="{00000000-0005-0000-0000-0000C5300000}"/>
    <cellStyle name="Input 2 2 4" xfId="12491" xr:uid="{00000000-0005-0000-0000-0000C6300000}"/>
    <cellStyle name="Input 2 2 4 2" xfId="12492" xr:uid="{00000000-0005-0000-0000-0000C7300000}"/>
    <cellStyle name="Input 2 2 5" xfId="12493" xr:uid="{00000000-0005-0000-0000-0000C8300000}"/>
    <cellStyle name="Input 2 2 5 2" xfId="12494" xr:uid="{00000000-0005-0000-0000-0000C9300000}"/>
    <cellStyle name="Input 2 2 6" xfId="12495" xr:uid="{00000000-0005-0000-0000-0000CA300000}"/>
    <cellStyle name="Input 2 3" xfId="12496" xr:uid="{00000000-0005-0000-0000-0000CB300000}"/>
    <cellStyle name="Input 2 3 2" xfId="12497" xr:uid="{00000000-0005-0000-0000-0000CC300000}"/>
    <cellStyle name="Input 2 3 2 2" xfId="12498" xr:uid="{00000000-0005-0000-0000-0000CD300000}"/>
    <cellStyle name="Input 2 3 2 2 2" xfId="12499" xr:uid="{00000000-0005-0000-0000-0000CE300000}"/>
    <cellStyle name="Input 2 3 2 3" xfId="12500" xr:uid="{00000000-0005-0000-0000-0000CF300000}"/>
    <cellStyle name="Input 2 3 2 4" xfId="12501" xr:uid="{00000000-0005-0000-0000-0000D0300000}"/>
    <cellStyle name="Input 2 3 2 5" xfId="12502" xr:uid="{00000000-0005-0000-0000-0000D1300000}"/>
    <cellStyle name="Input 2 3 2 6" xfId="12503" xr:uid="{00000000-0005-0000-0000-0000D2300000}"/>
    <cellStyle name="Input 2 4" xfId="12504" xr:uid="{00000000-0005-0000-0000-0000D3300000}"/>
    <cellStyle name="Input 2 4 2" xfId="12505" xr:uid="{00000000-0005-0000-0000-0000D4300000}"/>
    <cellStyle name="Input 2 4 2 2" xfId="12506" xr:uid="{00000000-0005-0000-0000-0000D5300000}"/>
    <cellStyle name="Input 2 4 3" xfId="12507" xr:uid="{00000000-0005-0000-0000-0000D6300000}"/>
    <cellStyle name="Input 2 4 4" xfId="12508" xr:uid="{00000000-0005-0000-0000-0000D7300000}"/>
    <cellStyle name="Input 2 4 5" xfId="12509" xr:uid="{00000000-0005-0000-0000-0000D8300000}"/>
    <cellStyle name="Input 2 4 6" xfId="12510" xr:uid="{00000000-0005-0000-0000-0000D9300000}"/>
    <cellStyle name="Input 2 5" xfId="12511" xr:uid="{00000000-0005-0000-0000-0000DA300000}"/>
    <cellStyle name="Input 2 5 2" xfId="12512" xr:uid="{00000000-0005-0000-0000-0000DB300000}"/>
    <cellStyle name="Input 2 6" xfId="12513" xr:uid="{00000000-0005-0000-0000-0000DC300000}"/>
    <cellStyle name="Input 2 6 2" xfId="12514" xr:uid="{00000000-0005-0000-0000-0000DD300000}"/>
    <cellStyle name="Input 2 6 3" xfId="12515" xr:uid="{00000000-0005-0000-0000-0000DE300000}"/>
    <cellStyle name="Input 3" xfId="12516" xr:uid="{00000000-0005-0000-0000-0000DF300000}"/>
    <cellStyle name="Input 3 2" xfId="12517" xr:uid="{00000000-0005-0000-0000-0000E0300000}"/>
    <cellStyle name="Input 3 2 2" xfId="12518" xr:uid="{00000000-0005-0000-0000-0000E1300000}"/>
    <cellStyle name="Input 3 3" xfId="12519" xr:uid="{00000000-0005-0000-0000-0000E2300000}"/>
    <cellStyle name="Input 3 3 2" xfId="12520" xr:uid="{00000000-0005-0000-0000-0000E3300000}"/>
    <cellStyle name="Input 4" xfId="12521" xr:uid="{00000000-0005-0000-0000-0000E4300000}"/>
    <cellStyle name="Input 4 2" xfId="12522" xr:uid="{00000000-0005-0000-0000-0000E5300000}"/>
    <cellStyle name="Input 5" xfId="12523" xr:uid="{00000000-0005-0000-0000-0000E6300000}"/>
    <cellStyle name="Input 6" xfId="12524" xr:uid="{00000000-0005-0000-0000-0000E7300000}"/>
    <cellStyle name="Input 7" xfId="12525" xr:uid="{00000000-0005-0000-0000-0000E8300000}"/>
    <cellStyle name="Linked Cell 2" xfId="12526" xr:uid="{00000000-0005-0000-0000-0000E9300000}"/>
    <cellStyle name="Linked Cell 2 2" xfId="12527" xr:uid="{00000000-0005-0000-0000-0000EA300000}"/>
    <cellStyle name="Linked Cell 2 2 2" xfId="12528" xr:uid="{00000000-0005-0000-0000-0000EB300000}"/>
    <cellStyle name="Linked Cell 2 2 3" xfId="12529" xr:uid="{00000000-0005-0000-0000-0000EC300000}"/>
    <cellStyle name="Linked Cell 2 3" xfId="12530" xr:uid="{00000000-0005-0000-0000-0000ED300000}"/>
    <cellStyle name="Linked Cell 2 3 2" xfId="12531" xr:uid="{00000000-0005-0000-0000-0000EE300000}"/>
    <cellStyle name="Linked Cell 2 4" xfId="12532" xr:uid="{00000000-0005-0000-0000-0000EF300000}"/>
    <cellStyle name="Linked Cell 2 4 2" xfId="12533" xr:uid="{00000000-0005-0000-0000-0000F0300000}"/>
    <cellStyle name="Linked Cell 3" xfId="12534" xr:uid="{00000000-0005-0000-0000-0000F1300000}"/>
    <cellStyle name="Linked Cell 3 2" xfId="12535" xr:uid="{00000000-0005-0000-0000-0000F2300000}"/>
    <cellStyle name="Linked Cell 3 2 2" xfId="12536" xr:uid="{00000000-0005-0000-0000-0000F3300000}"/>
    <cellStyle name="Linked Cell 3 3" xfId="12537" xr:uid="{00000000-0005-0000-0000-0000F4300000}"/>
    <cellStyle name="Linked Cell 3 3 2" xfId="12538" xr:uid="{00000000-0005-0000-0000-0000F5300000}"/>
    <cellStyle name="Linked Cell 4" xfId="12539" xr:uid="{00000000-0005-0000-0000-0000F6300000}"/>
    <cellStyle name="Linked Cell 4 2" xfId="12540" xr:uid="{00000000-0005-0000-0000-0000F7300000}"/>
    <cellStyle name="Linked Cell 5" xfId="12541" xr:uid="{00000000-0005-0000-0000-0000F8300000}"/>
    <cellStyle name="Linked Cell 6" xfId="12542" xr:uid="{00000000-0005-0000-0000-0000F9300000}"/>
    <cellStyle name="Linked Cell 7" xfId="12543" xr:uid="{00000000-0005-0000-0000-0000FA300000}"/>
    <cellStyle name="Neutral 2" xfId="12544" xr:uid="{00000000-0005-0000-0000-0000FB300000}"/>
    <cellStyle name="Neutral 2 2" xfId="12545" xr:uid="{00000000-0005-0000-0000-0000FC300000}"/>
    <cellStyle name="Neutral 2 2 2" xfId="12546" xr:uid="{00000000-0005-0000-0000-0000FD300000}"/>
    <cellStyle name="Neutral 2 2 3" xfId="12547" xr:uid="{00000000-0005-0000-0000-0000FE300000}"/>
    <cellStyle name="Neutral 2 3" xfId="12548" xr:uid="{00000000-0005-0000-0000-0000FF300000}"/>
    <cellStyle name="Neutral 2 3 2" xfId="12549" xr:uid="{00000000-0005-0000-0000-000000310000}"/>
    <cellStyle name="Neutral 2 4" xfId="12550" xr:uid="{00000000-0005-0000-0000-000001310000}"/>
    <cellStyle name="Neutral 2 4 2" xfId="12551" xr:uid="{00000000-0005-0000-0000-000002310000}"/>
    <cellStyle name="Neutral 3" xfId="12552" xr:uid="{00000000-0005-0000-0000-000003310000}"/>
    <cellStyle name="Neutral 3 2" xfId="12553" xr:uid="{00000000-0005-0000-0000-000004310000}"/>
    <cellStyle name="Neutral 3 2 2" xfId="12554" xr:uid="{00000000-0005-0000-0000-000005310000}"/>
    <cellStyle name="Neutral 3 3" xfId="12555" xr:uid="{00000000-0005-0000-0000-000006310000}"/>
    <cellStyle name="Neutral 3 3 2" xfId="12556" xr:uid="{00000000-0005-0000-0000-000007310000}"/>
    <cellStyle name="Neutral 4" xfId="12557" xr:uid="{00000000-0005-0000-0000-000008310000}"/>
    <cellStyle name="Neutral 4 2" xfId="12558" xr:uid="{00000000-0005-0000-0000-000009310000}"/>
    <cellStyle name="Neutral 5" xfId="12559" xr:uid="{00000000-0005-0000-0000-00000A310000}"/>
    <cellStyle name="Neutral 6" xfId="12560" xr:uid="{00000000-0005-0000-0000-00000B310000}"/>
    <cellStyle name="Neutral 7" xfId="12561" xr:uid="{00000000-0005-0000-0000-00000C310000}"/>
    <cellStyle name="NJS" xfId="12562" xr:uid="{00000000-0005-0000-0000-00000D310000}"/>
    <cellStyle name="Normal" xfId="0" builtinId="0"/>
    <cellStyle name="Normal 10" xfId="12563" xr:uid="{00000000-0005-0000-0000-00000F310000}"/>
    <cellStyle name="Normal 10 2" xfId="12564" xr:uid="{00000000-0005-0000-0000-000010310000}"/>
    <cellStyle name="Normal 10 3" xfId="12565" xr:uid="{00000000-0005-0000-0000-000011310000}"/>
    <cellStyle name="Normal 11" xfId="12566" xr:uid="{00000000-0005-0000-0000-000012310000}"/>
    <cellStyle name="Normal 11 2" xfId="12567" xr:uid="{00000000-0005-0000-0000-000013310000}"/>
    <cellStyle name="Normal 11 2 2" xfId="12568" xr:uid="{00000000-0005-0000-0000-000014310000}"/>
    <cellStyle name="Normal 11 3" xfId="12569" xr:uid="{00000000-0005-0000-0000-000015310000}"/>
    <cellStyle name="Normal 12" xfId="12570" xr:uid="{00000000-0005-0000-0000-000016310000}"/>
    <cellStyle name="Normal 12 2" xfId="12571" xr:uid="{00000000-0005-0000-0000-000017310000}"/>
    <cellStyle name="Normal 12 2 2" xfId="12572" xr:uid="{00000000-0005-0000-0000-000018310000}"/>
    <cellStyle name="Normal 12 2 2 2" xfId="12573" xr:uid="{00000000-0005-0000-0000-000019310000}"/>
    <cellStyle name="Normal 12 2 2 2 2" xfId="12574" xr:uid="{00000000-0005-0000-0000-00001A310000}"/>
    <cellStyle name="Normal 12 2 2 3" xfId="12575" xr:uid="{00000000-0005-0000-0000-00001B310000}"/>
    <cellStyle name="Normal 12 2 3" xfId="12576" xr:uid="{00000000-0005-0000-0000-00001C310000}"/>
    <cellStyle name="Normal 12 2 3 2" xfId="12577" xr:uid="{00000000-0005-0000-0000-00001D310000}"/>
    <cellStyle name="Normal 12 2 4" xfId="12578" xr:uid="{00000000-0005-0000-0000-00001E310000}"/>
    <cellStyle name="Normal 12 2 4 2" xfId="12579" xr:uid="{00000000-0005-0000-0000-00001F310000}"/>
    <cellStyle name="Normal 12 3" xfId="12580" xr:uid="{00000000-0005-0000-0000-000020310000}"/>
    <cellStyle name="Normal 13" xfId="12581" xr:uid="{00000000-0005-0000-0000-000021310000}"/>
    <cellStyle name="Normal 13 10" xfId="12582" xr:uid="{00000000-0005-0000-0000-000022310000}"/>
    <cellStyle name="Normal 13 10 2" xfId="12583" xr:uid="{00000000-0005-0000-0000-000023310000}"/>
    <cellStyle name="Normal 13 11" xfId="12584" xr:uid="{00000000-0005-0000-0000-000024310000}"/>
    <cellStyle name="Normal 13 11 2" xfId="12585" xr:uid="{00000000-0005-0000-0000-000025310000}"/>
    <cellStyle name="Normal 13 12" xfId="12586" xr:uid="{00000000-0005-0000-0000-000026310000}"/>
    <cellStyle name="Normal 13 12 2" xfId="12587" xr:uid="{00000000-0005-0000-0000-000027310000}"/>
    <cellStyle name="Normal 13 2" xfId="12588" xr:uid="{00000000-0005-0000-0000-000028310000}"/>
    <cellStyle name="Normal 13 2 10" xfId="12589" xr:uid="{00000000-0005-0000-0000-000029310000}"/>
    <cellStyle name="Normal 13 2 10 2" xfId="12590" xr:uid="{00000000-0005-0000-0000-00002A310000}"/>
    <cellStyle name="Normal 13 2 11" xfId="12591" xr:uid="{00000000-0005-0000-0000-00002B310000}"/>
    <cellStyle name="Normal 13 2 2" xfId="12592" xr:uid="{00000000-0005-0000-0000-00002C310000}"/>
    <cellStyle name="Normal 13 2 2 10" xfId="12593" xr:uid="{00000000-0005-0000-0000-00002D310000}"/>
    <cellStyle name="Normal 13 2 2 2" xfId="12594" xr:uid="{00000000-0005-0000-0000-00002E310000}"/>
    <cellStyle name="Normal 13 2 2 2 2" xfId="12595" xr:uid="{00000000-0005-0000-0000-00002F310000}"/>
    <cellStyle name="Normal 13 2 2 2 2 2" xfId="12596" xr:uid="{00000000-0005-0000-0000-000030310000}"/>
    <cellStyle name="Normal 13 2 2 2 2 2 2" xfId="12597" xr:uid="{00000000-0005-0000-0000-000031310000}"/>
    <cellStyle name="Normal 13 2 2 2 2 2 2 2" xfId="12598" xr:uid="{00000000-0005-0000-0000-000032310000}"/>
    <cellStyle name="Normal 13 2 2 2 2 2 3" xfId="12599" xr:uid="{00000000-0005-0000-0000-000033310000}"/>
    <cellStyle name="Normal 13 2 2 2 2 2 3 2" xfId="12600" xr:uid="{00000000-0005-0000-0000-000034310000}"/>
    <cellStyle name="Normal 13 2 2 2 2 2 4" xfId="12601" xr:uid="{00000000-0005-0000-0000-000035310000}"/>
    <cellStyle name="Normal 13 2 2 2 2 3" xfId="12602" xr:uid="{00000000-0005-0000-0000-000036310000}"/>
    <cellStyle name="Normal 13 2 2 2 2 3 2" xfId="12603" xr:uid="{00000000-0005-0000-0000-000037310000}"/>
    <cellStyle name="Normal 13 2 2 2 2 4" xfId="12604" xr:uid="{00000000-0005-0000-0000-000038310000}"/>
    <cellStyle name="Normal 13 2 2 2 2 4 2" xfId="12605" xr:uid="{00000000-0005-0000-0000-000039310000}"/>
    <cellStyle name="Normal 13 2 2 2 2 5" xfId="12606" xr:uid="{00000000-0005-0000-0000-00003A310000}"/>
    <cellStyle name="Normal 13 2 2 2 2 5 2" xfId="12607" xr:uid="{00000000-0005-0000-0000-00003B310000}"/>
    <cellStyle name="Normal 13 2 2 2 2 6" xfId="12608" xr:uid="{00000000-0005-0000-0000-00003C310000}"/>
    <cellStyle name="Normal 13 2 2 2 2 6 2" xfId="12609" xr:uid="{00000000-0005-0000-0000-00003D310000}"/>
    <cellStyle name="Normal 13 2 2 2 2 7" xfId="12610" xr:uid="{00000000-0005-0000-0000-00003E310000}"/>
    <cellStyle name="Normal 13 2 2 2 3" xfId="12611" xr:uid="{00000000-0005-0000-0000-00003F310000}"/>
    <cellStyle name="Normal 13 2 2 2 3 2" xfId="12612" xr:uid="{00000000-0005-0000-0000-000040310000}"/>
    <cellStyle name="Normal 13 2 2 2 3 2 2" xfId="12613" xr:uid="{00000000-0005-0000-0000-000041310000}"/>
    <cellStyle name="Normal 13 2 2 2 3 3" xfId="12614" xr:uid="{00000000-0005-0000-0000-000042310000}"/>
    <cellStyle name="Normal 13 2 2 2 3 3 2" xfId="12615" xr:uid="{00000000-0005-0000-0000-000043310000}"/>
    <cellStyle name="Normal 13 2 2 2 3 4" xfId="12616" xr:uid="{00000000-0005-0000-0000-000044310000}"/>
    <cellStyle name="Normal 13 2 2 2 3 4 2" xfId="12617" xr:uid="{00000000-0005-0000-0000-000045310000}"/>
    <cellStyle name="Normal 13 2 2 2 3 5" xfId="12618" xr:uid="{00000000-0005-0000-0000-000046310000}"/>
    <cellStyle name="Normal 13 2 2 2 3 5 2" xfId="12619" xr:uid="{00000000-0005-0000-0000-000047310000}"/>
    <cellStyle name="Normal 13 2 2 2 3 6" xfId="12620" xr:uid="{00000000-0005-0000-0000-000048310000}"/>
    <cellStyle name="Normal 13 2 2 2 4" xfId="12621" xr:uid="{00000000-0005-0000-0000-000049310000}"/>
    <cellStyle name="Normal 13 2 2 2 4 2" xfId="12622" xr:uid="{00000000-0005-0000-0000-00004A310000}"/>
    <cellStyle name="Normal 13 2 2 2 4 2 2" xfId="12623" xr:uid="{00000000-0005-0000-0000-00004B310000}"/>
    <cellStyle name="Normal 13 2 2 2 4 3" xfId="12624" xr:uid="{00000000-0005-0000-0000-00004C310000}"/>
    <cellStyle name="Normal 13 2 2 2 5" xfId="12625" xr:uid="{00000000-0005-0000-0000-00004D310000}"/>
    <cellStyle name="Normal 13 2 2 2 5 2" xfId="12626" xr:uid="{00000000-0005-0000-0000-00004E310000}"/>
    <cellStyle name="Normal 13 2 2 2 6" xfId="12627" xr:uid="{00000000-0005-0000-0000-00004F310000}"/>
    <cellStyle name="Normal 13 2 2 2 6 2" xfId="12628" xr:uid="{00000000-0005-0000-0000-000050310000}"/>
    <cellStyle name="Normal 13 2 2 2 7" xfId="12629" xr:uid="{00000000-0005-0000-0000-000051310000}"/>
    <cellStyle name="Normal 13 2 2 2 7 2" xfId="12630" xr:uid="{00000000-0005-0000-0000-000052310000}"/>
    <cellStyle name="Normal 13 2 2 2 8" xfId="12631" xr:uid="{00000000-0005-0000-0000-000053310000}"/>
    <cellStyle name="Normal 13 2 2 3" xfId="12632" xr:uid="{00000000-0005-0000-0000-000054310000}"/>
    <cellStyle name="Normal 13 2 2 3 2" xfId="12633" xr:uid="{00000000-0005-0000-0000-000055310000}"/>
    <cellStyle name="Normal 13 2 2 3 2 2" xfId="12634" xr:uid="{00000000-0005-0000-0000-000056310000}"/>
    <cellStyle name="Normal 13 2 2 3 2 2 2" xfId="12635" xr:uid="{00000000-0005-0000-0000-000057310000}"/>
    <cellStyle name="Normal 13 2 2 3 2 2 2 2" xfId="12636" xr:uid="{00000000-0005-0000-0000-000058310000}"/>
    <cellStyle name="Normal 13 2 2 3 2 2 3" xfId="12637" xr:uid="{00000000-0005-0000-0000-000059310000}"/>
    <cellStyle name="Normal 13 2 2 3 2 2 3 2" xfId="12638" xr:uid="{00000000-0005-0000-0000-00005A310000}"/>
    <cellStyle name="Normal 13 2 2 3 2 2 4" xfId="12639" xr:uid="{00000000-0005-0000-0000-00005B310000}"/>
    <cellStyle name="Normal 13 2 2 3 2 3" xfId="12640" xr:uid="{00000000-0005-0000-0000-00005C310000}"/>
    <cellStyle name="Normal 13 2 2 3 2 3 2" xfId="12641" xr:uid="{00000000-0005-0000-0000-00005D310000}"/>
    <cellStyle name="Normal 13 2 2 3 2 4" xfId="12642" xr:uid="{00000000-0005-0000-0000-00005E310000}"/>
    <cellStyle name="Normal 13 2 2 3 2 4 2" xfId="12643" xr:uid="{00000000-0005-0000-0000-00005F310000}"/>
    <cellStyle name="Normal 13 2 2 3 2 5" xfId="12644" xr:uid="{00000000-0005-0000-0000-000060310000}"/>
    <cellStyle name="Normal 13 2 2 3 2 5 2" xfId="12645" xr:uid="{00000000-0005-0000-0000-000061310000}"/>
    <cellStyle name="Normal 13 2 2 3 2 6" xfId="12646" xr:uid="{00000000-0005-0000-0000-000062310000}"/>
    <cellStyle name="Normal 13 2 2 3 2 6 2" xfId="12647" xr:uid="{00000000-0005-0000-0000-000063310000}"/>
    <cellStyle name="Normal 13 2 2 3 2 7" xfId="12648" xr:uid="{00000000-0005-0000-0000-000064310000}"/>
    <cellStyle name="Normal 13 2 2 3 3" xfId="12649" xr:uid="{00000000-0005-0000-0000-000065310000}"/>
    <cellStyle name="Normal 13 2 2 3 3 2" xfId="12650" xr:uid="{00000000-0005-0000-0000-000066310000}"/>
    <cellStyle name="Normal 13 2 2 3 3 2 2" xfId="12651" xr:uid="{00000000-0005-0000-0000-000067310000}"/>
    <cellStyle name="Normal 13 2 2 3 3 3" xfId="12652" xr:uid="{00000000-0005-0000-0000-000068310000}"/>
    <cellStyle name="Normal 13 2 2 3 3 3 2" xfId="12653" xr:uid="{00000000-0005-0000-0000-000069310000}"/>
    <cellStyle name="Normal 13 2 2 3 3 4" xfId="12654" xr:uid="{00000000-0005-0000-0000-00006A310000}"/>
    <cellStyle name="Normal 13 2 2 3 3 4 2" xfId="12655" xr:uid="{00000000-0005-0000-0000-00006B310000}"/>
    <cellStyle name="Normal 13 2 2 3 3 5" xfId="12656" xr:uid="{00000000-0005-0000-0000-00006C310000}"/>
    <cellStyle name="Normal 13 2 2 3 3 5 2" xfId="12657" xr:uid="{00000000-0005-0000-0000-00006D310000}"/>
    <cellStyle name="Normal 13 2 2 3 3 6" xfId="12658" xr:uid="{00000000-0005-0000-0000-00006E310000}"/>
    <cellStyle name="Normal 13 2 2 3 4" xfId="12659" xr:uid="{00000000-0005-0000-0000-00006F310000}"/>
    <cellStyle name="Normal 13 2 2 3 4 2" xfId="12660" xr:uid="{00000000-0005-0000-0000-000070310000}"/>
    <cellStyle name="Normal 13 2 2 3 4 2 2" xfId="12661" xr:uid="{00000000-0005-0000-0000-000071310000}"/>
    <cellStyle name="Normal 13 2 2 3 4 3" xfId="12662" xr:uid="{00000000-0005-0000-0000-000072310000}"/>
    <cellStyle name="Normal 13 2 2 3 5" xfId="12663" xr:uid="{00000000-0005-0000-0000-000073310000}"/>
    <cellStyle name="Normal 13 2 2 3 5 2" xfId="12664" xr:uid="{00000000-0005-0000-0000-000074310000}"/>
    <cellStyle name="Normal 13 2 2 3 6" xfId="12665" xr:uid="{00000000-0005-0000-0000-000075310000}"/>
    <cellStyle name="Normal 13 2 2 3 6 2" xfId="12666" xr:uid="{00000000-0005-0000-0000-000076310000}"/>
    <cellStyle name="Normal 13 2 2 3 7" xfId="12667" xr:uid="{00000000-0005-0000-0000-000077310000}"/>
    <cellStyle name="Normal 13 2 2 3 7 2" xfId="12668" xr:uid="{00000000-0005-0000-0000-000078310000}"/>
    <cellStyle name="Normal 13 2 2 3 8" xfId="12669" xr:uid="{00000000-0005-0000-0000-000079310000}"/>
    <cellStyle name="Normal 13 2 2 4" xfId="12670" xr:uid="{00000000-0005-0000-0000-00007A310000}"/>
    <cellStyle name="Normal 13 2 2 4 2" xfId="12671" xr:uid="{00000000-0005-0000-0000-00007B310000}"/>
    <cellStyle name="Normal 13 2 2 4 2 2" xfId="12672" xr:uid="{00000000-0005-0000-0000-00007C310000}"/>
    <cellStyle name="Normal 13 2 2 4 2 2 2" xfId="12673" xr:uid="{00000000-0005-0000-0000-00007D310000}"/>
    <cellStyle name="Normal 13 2 2 4 2 3" xfId="12674" xr:uid="{00000000-0005-0000-0000-00007E310000}"/>
    <cellStyle name="Normal 13 2 2 4 2 3 2" xfId="12675" xr:uid="{00000000-0005-0000-0000-00007F310000}"/>
    <cellStyle name="Normal 13 2 2 4 2 4" xfId="12676" xr:uid="{00000000-0005-0000-0000-000080310000}"/>
    <cellStyle name="Normal 13 2 2 4 3" xfId="12677" xr:uid="{00000000-0005-0000-0000-000081310000}"/>
    <cellStyle name="Normal 13 2 2 4 3 2" xfId="12678" xr:uid="{00000000-0005-0000-0000-000082310000}"/>
    <cellStyle name="Normal 13 2 2 4 4" xfId="12679" xr:uid="{00000000-0005-0000-0000-000083310000}"/>
    <cellStyle name="Normal 13 2 2 4 4 2" xfId="12680" xr:uid="{00000000-0005-0000-0000-000084310000}"/>
    <cellStyle name="Normal 13 2 2 4 5" xfId="12681" xr:uid="{00000000-0005-0000-0000-000085310000}"/>
    <cellStyle name="Normal 13 2 2 4 5 2" xfId="12682" xr:uid="{00000000-0005-0000-0000-000086310000}"/>
    <cellStyle name="Normal 13 2 2 4 6" xfId="12683" xr:uid="{00000000-0005-0000-0000-000087310000}"/>
    <cellStyle name="Normal 13 2 2 4 6 2" xfId="12684" xr:uid="{00000000-0005-0000-0000-000088310000}"/>
    <cellStyle name="Normal 13 2 2 4 7" xfId="12685" xr:uid="{00000000-0005-0000-0000-000089310000}"/>
    <cellStyle name="Normal 13 2 2 5" xfId="12686" xr:uid="{00000000-0005-0000-0000-00008A310000}"/>
    <cellStyle name="Normal 13 2 2 5 2" xfId="12687" xr:uid="{00000000-0005-0000-0000-00008B310000}"/>
    <cellStyle name="Normal 13 2 2 5 2 2" xfId="12688" xr:uid="{00000000-0005-0000-0000-00008C310000}"/>
    <cellStyle name="Normal 13 2 2 5 3" xfId="12689" xr:uid="{00000000-0005-0000-0000-00008D310000}"/>
    <cellStyle name="Normal 13 2 2 5 3 2" xfId="12690" xr:uid="{00000000-0005-0000-0000-00008E310000}"/>
    <cellStyle name="Normal 13 2 2 5 4" xfId="12691" xr:uid="{00000000-0005-0000-0000-00008F310000}"/>
    <cellStyle name="Normal 13 2 2 5 4 2" xfId="12692" xr:uid="{00000000-0005-0000-0000-000090310000}"/>
    <cellStyle name="Normal 13 2 2 5 5" xfId="12693" xr:uid="{00000000-0005-0000-0000-000091310000}"/>
    <cellStyle name="Normal 13 2 2 5 5 2" xfId="12694" xr:uid="{00000000-0005-0000-0000-000092310000}"/>
    <cellStyle name="Normal 13 2 2 5 6" xfId="12695" xr:uid="{00000000-0005-0000-0000-000093310000}"/>
    <cellStyle name="Normal 13 2 2 6" xfId="12696" xr:uid="{00000000-0005-0000-0000-000094310000}"/>
    <cellStyle name="Normal 13 2 2 6 2" xfId="12697" xr:uid="{00000000-0005-0000-0000-000095310000}"/>
    <cellStyle name="Normal 13 2 2 6 2 2" xfId="12698" xr:uid="{00000000-0005-0000-0000-000096310000}"/>
    <cellStyle name="Normal 13 2 2 6 3" xfId="12699" xr:uid="{00000000-0005-0000-0000-000097310000}"/>
    <cellStyle name="Normal 13 2 2 7" xfId="12700" xr:uid="{00000000-0005-0000-0000-000098310000}"/>
    <cellStyle name="Normal 13 2 2 7 2" xfId="12701" xr:uid="{00000000-0005-0000-0000-000099310000}"/>
    <cellStyle name="Normal 13 2 2 8" xfId="12702" xr:uid="{00000000-0005-0000-0000-00009A310000}"/>
    <cellStyle name="Normal 13 2 2 8 2" xfId="12703" xr:uid="{00000000-0005-0000-0000-00009B310000}"/>
    <cellStyle name="Normal 13 2 2 9" xfId="12704" xr:uid="{00000000-0005-0000-0000-00009C310000}"/>
    <cellStyle name="Normal 13 2 2 9 2" xfId="12705" xr:uid="{00000000-0005-0000-0000-00009D310000}"/>
    <cellStyle name="Normal 13 2 3" xfId="12706" xr:uid="{00000000-0005-0000-0000-00009E310000}"/>
    <cellStyle name="Normal 13 2 3 2" xfId="12707" xr:uid="{00000000-0005-0000-0000-00009F310000}"/>
    <cellStyle name="Normal 13 2 3 2 2" xfId="12708" xr:uid="{00000000-0005-0000-0000-0000A0310000}"/>
    <cellStyle name="Normal 13 2 3 2 2 2" xfId="12709" xr:uid="{00000000-0005-0000-0000-0000A1310000}"/>
    <cellStyle name="Normal 13 2 3 2 2 2 2" xfId="12710" xr:uid="{00000000-0005-0000-0000-0000A2310000}"/>
    <cellStyle name="Normal 13 2 3 2 2 3" xfId="12711" xr:uid="{00000000-0005-0000-0000-0000A3310000}"/>
    <cellStyle name="Normal 13 2 3 2 2 3 2" xfId="12712" xr:uid="{00000000-0005-0000-0000-0000A4310000}"/>
    <cellStyle name="Normal 13 2 3 2 2 4" xfId="12713" xr:uid="{00000000-0005-0000-0000-0000A5310000}"/>
    <cellStyle name="Normal 13 2 3 2 3" xfId="12714" xr:uid="{00000000-0005-0000-0000-0000A6310000}"/>
    <cellStyle name="Normal 13 2 3 2 3 2" xfId="12715" xr:uid="{00000000-0005-0000-0000-0000A7310000}"/>
    <cellStyle name="Normal 13 2 3 2 4" xfId="12716" xr:uid="{00000000-0005-0000-0000-0000A8310000}"/>
    <cellStyle name="Normal 13 2 3 2 4 2" xfId="12717" xr:uid="{00000000-0005-0000-0000-0000A9310000}"/>
    <cellStyle name="Normal 13 2 3 2 5" xfId="12718" xr:uid="{00000000-0005-0000-0000-0000AA310000}"/>
    <cellStyle name="Normal 13 2 3 2 5 2" xfId="12719" xr:uid="{00000000-0005-0000-0000-0000AB310000}"/>
    <cellStyle name="Normal 13 2 3 2 6" xfId="12720" xr:uid="{00000000-0005-0000-0000-0000AC310000}"/>
    <cellStyle name="Normal 13 2 3 2 6 2" xfId="12721" xr:uid="{00000000-0005-0000-0000-0000AD310000}"/>
    <cellStyle name="Normal 13 2 3 2 7" xfId="12722" xr:uid="{00000000-0005-0000-0000-0000AE310000}"/>
    <cellStyle name="Normal 13 2 3 3" xfId="12723" xr:uid="{00000000-0005-0000-0000-0000AF310000}"/>
    <cellStyle name="Normal 13 2 3 3 2" xfId="12724" xr:uid="{00000000-0005-0000-0000-0000B0310000}"/>
    <cellStyle name="Normal 13 2 3 3 2 2" xfId="12725" xr:uid="{00000000-0005-0000-0000-0000B1310000}"/>
    <cellStyle name="Normal 13 2 3 3 3" xfId="12726" xr:uid="{00000000-0005-0000-0000-0000B2310000}"/>
    <cellStyle name="Normal 13 2 3 3 3 2" xfId="12727" xr:uid="{00000000-0005-0000-0000-0000B3310000}"/>
    <cellStyle name="Normal 13 2 3 3 4" xfId="12728" xr:uid="{00000000-0005-0000-0000-0000B4310000}"/>
    <cellStyle name="Normal 13 2 3 3 4 2" xfId="12729" xr:uid="{00000000-0005-0000-0000-0000B5310000}"/>
    <cellStyle name="Normal 13 2 3 3 5" xfId="12730" xr:uid="{00000000-0005-0000-0000-0000B6310000}"/>
    <cellStyle name="Normal 13 2 3 3 5 2" xfId="12731" xr:uid="{00000000-0005-0000-0000-0000B7310000}"/>
    <cellStyle name="Normal 13 2 3 3 6" xfId="12732" xr:uid="{00000000-0005-0000-0000-0000B8310000}"/>
    <cellStyle name="Normal 13 2 3 4" xfId="12733" xr:uid="{00000000-0005-0000-0000-0000B9310000}"/>
    <cellStyle name="Normal 13 2 3 4 2" xfId="12734" xr:uid="{00000000-0005-0000-0000-0000BA310000}"/>
    <cellStyle name="Normal 13 2 3 4 2 2" xfId="12735" xr:uid="{00000000-0005-0000-0000-0000BB310000}"/>
    <cellStyle name="Normal 13 2 3 4 3" xfId="12736" xr:uid="{00000000-0005-0000-0000-0000BC310000}"/>
    <cellStyle name="Normal 13 2 3 5" xfId="12737" xr:uid="{00000000-0005-0000-0000-0000BD310000}"/>
    <cellStyle name="Normal 13 2 3 5 2" xfId="12738" xr:uid="{00000000-0005-0000-0000-0000BE310000}"/>
    <cellStyle name="Normal 13 2 3 6" xfId="12739" xr:uid="{00000000-0005-0000-0000-0000BF310000}"/>
    <cellStyle name="Normal 13 2 3 6 2" xfId="12740" xr:uid="{00000000-0005-0000-0000-0000C0310000}"/>
    <cellStyle name="Normal 13 2 3 7" xfId="12741" xr:uid="{00000000-0005-0000-0000-0000C1310000}"/>
    <cellStyle name="Normal 13 2 3 7 2" xfId="12742" xr:uid="{00000000-0005-0000-0000-0000C2310000}"/>
    <cellStyle name="Normal 13 2 3 8" xfId="12743" xr:uid="{00000000-0005-0000-0000-0000C3310000}"/>
    <cellStyle name="Normal 13 2 4" xfId="12744" xr:uid="{00000000-0005-0000-0000-0000C4310000}"/>
    <cellStyle name="Normal 13 2 4 2" xfId="12745" xr:uid="{00000000-0005-0000-0000-0000C5310000}"/>
    <cellStyle name="Normal 13 2 4 2 2" xfId="12746" xr:uid="{00000000-0005-0000-0000-0000C6310000}"/>
    <cellStyle name="Normal 13 2 4 2 2 2" xfId="12747" xr:uid="{00000000-0005-0000-0000-0000C7310000}"/>
    <cellStyle name="Normal 13 2 4 2 2 2 2" xfId="12748" xr:uid="{00000000-0005-0000-0000-0000C8310000}"/>
    <cellStyle name="Normal 13 2 4 2 2 3" xfId="12749" xr:uid="{00000000-0005-0000-0000-0000C9310000}"/>
    <cellStyle name="Normal 13 2 4 2 2 3 2" xfId="12750" xr:uid="{00000000-0005-0000-0000-0000CA310000}"/>
    <cellStyle name="Normal 13 2 4 2 2 4" xfId="12751" xr:uid="{00000000-0005-0000-0000-0000CB310000}"/>
    <cellStyle name="Normal 13 2 4 2 3" xfId="12752" xr:uid="{00000000-0005-0000-0000-0000CC310000}"/>
    <cellStyle name="Normal 13 2 4 2 3 2" xfId="12753" xr:uid="{00000000-0005-0000-0000-0000CD310000}"/>
    <cellStyle name="Normal 13 2 4 2 4" xfId="12754" xr:uid="{00000000-0005-0000-0000-0000CE310000}"/>
    <cellStyle name="Normal 13 2 4 2 4 2" xfId="12755" xr:uid="{00000000-0005-0000-0000-0000CF310000}"/>
    <cellStyle name="Normal 13 2 4 2 5" xfId="12756" xr:uid="{00000000-0005-0000-0000-0000D0310000}"/>
    <cellStyle name="Normal 13 2 4 2 5 2" xfId="12757" xr:uid="{00000000-0005-0000-0000-0000D1310000}"/>
    <cellStyle name="Normal 13 2 4 2 6" xfId="12758" xr:uid="{00000000-0005-0000-0000-0000D2310000}"/>
    <cellStyle name="Normal 13 2 4 2 6 2" xfId="12759" xr:uid="{00000000-0005-0000-0000-0000D3310000}"/>
    <cellStyle name="Normal 13 2 4 2 7" xfId="12760" xr:uid="{00000000-0005-0000-0000-0000D4310000}"/>
    <cellStyle name="Normal 13 2 4 3" xfId="12761" xr:uid="{00000000-0005-0000-0000-0000D5310000}"/>
    <cellStyle name="Normal 13 2 4 3 2" xfId="12762" xr:uid="{00000000-0005-0000-0000-0000D6310000}"/>
    <cellStyle name="Normal 13 2 4 3 2 2" xfId="12763" xr:uid="{00000000-0005-0000-0000-0000D7310000}"/>
    <cellStyle name="Normal 13 2 4 3 3" xfId="12764" xr:uid="{00000000-0005-0000-0000-0000D8310000}"/>
    <cellStyle name="Normal 13 2 4 3 3 2" xfId="12765" xr:uid="{00000000-0005-0000-0000-0000D9310000}"/>
    <cellStyle name="Normal 13 2 4 3 4" xfId="12766" xr:uid="{00000000-0005-0000-0000-0000DA310000}"/>
    <cellStyle name="Normal 13 2 4 3 4 2" xfId="12767" xr:uid="{00000000-0005-0000-0000-0000DB310000}"/>
    <cellStyle name="Normal 13 2 4 3 5" xfId="12768" xr:uid="{00000000-0005-0000-0000-0000DC310000}"/>
    <cellStyle name="Normal 13 2 4 3 5 2" xfId="12769" xr:uid="{00000000-0005-0000-0000-0000DD310000}"/>
    <cellStyle name="Normal 13 2 4 3 6" xfId="12770" xr:uid="{00000000-0005-0000-0000-0000DE310000}"/>
    <cellStyle name="Normal 13 2 4 4" xfId="12771" xr:uid="{00000000-0005-0000-0000-0000DF310000}"/>
    <cellStyle name="Normal 13 2 4 4 2" xfId="12772" xr:uid="{00000000-0005-0000-0000-0000E0310000}"/>
    <cellStyle name="Normal 13 2 4 4 2 2" xfId="12773" xr:uid="{00000000-0005-0000-0000-0000E1310000}"/>
    <cellStyle name="Normal 13 2 4 4 3" xfId="12774" xr:uid="{00000000-0005-0000-0000-0000E2310000}"/>
    <cellStyle name="Normal 13 2 4 5" xfId="12775" xr:uid="{00000000-0005-0000-0000-0000E3310000}"/>
    <cellStyle name="Normal 13 2 4 5 2" xfId="12776" xr:uid="{00000000-0005-0000-0000-0000E4310000}"/>
    <cellStyle name="Normal 13 2 4 6" xfId="12777" xr:uid="{00000000-0005-0000-0000-0000E5310000}"/>
    <cellStyle name="Normal 13 2 4 6 2" xfId="12778" xr:uid="{00000000-0005-0000-0000-0000E6310000}"/>
    <cellStyle name="Normal 13 2 4 7" xfId="12779" xr:uid="{00000000-0005-0000-0000-0000E7310000}"/>
    <cellStyle name="Normal 13 2 4 7 2" xfId="12780" xr:uid="{00000000-0005-0000-0000-0000E8310000}"/>
    <cellStyle name="Normal 13 2 4 8" xfId="12781" xr:uid="{00000000-0005-0000-0000-0000E9310000}"/>
    <cellStyle name="Normal 13 2 5" xfId="12782" xr:uid="{00000000-0005-0000-0000-0000EA310000}"/>
    <cellStyle name="Normal 13 2 5 2" xfId="12783" xr:uid="{00000000-0005-0000-0000-0000EB310000}"/>
    <cellStyle name="Normal 13 2 5 2 2" xfId="12784" xr:uid="{00000000-0005-0000-0000-0000EC310000}"/>
    <cellStyle name="Normal 13 2 5 2 2 2" xfId="12785" xr:uid="{00000000-0005-0000-0000-0000ED310000}"/>
    <cellStyle name="Normal 13 2 5 2 3" xfId="12786" xr:uid="{00000000-0005-0000-0000-0000EE310000}"/>
    <cellStyle name="Normal 13 2 5 2 3 2" xfId="12787" xr:uid="{00000000-0005-0000-0000-0000EF310000}"/>
    <cellStyle name="Normal 13 2 5 2 4" xfId="12788" xr:uid="{00000000-0005-0000-0000-0000F0310000}"/>
    <cellStyle name="Normal 13 2 5 3" xfId="12789" xr:uid="{00000000-0005-0000-0000-0000F1310000}"/>
    <cellStyle name="Normal 13 2 5 3 2" xfId="12790" xr:uid="{00000000-0005-0000-0000-0000F2310000}"/>
    <cellStyle name="Normal 13 2 5 4" xfId="12791" xr:uid="{00000000-0005-0000-0000-0000F3310000}"/>
    <cellStyle name="Normal 13 2 5 4 2" xfId="12792" xr:uid="{00000000-0005-0000-0000-0000F4310000}"/>
    <cellStyle name="Normal 13 2 5 5" xfId="12793" xr:uid="{00000000-0005-0000-0000-0000F5310000}"/>
    <cellStyle name="Normal 13 2 5 5 2" xfId="12794" xr:uid="{00000000-0005-0000-0000-0000F6310000}"/>
    <cellStyle name="Normal 13 2 5 6" xfId="12795" xr:uid="{00000000-0005-0000-0000-0000F7310000}"/>
    <cellStyle name="Normal 13 2 5 6 2" xfId="12796" xr:uid="{00000000-0005-0000-0000-0000F8310000}"/>
    <cellStyle name="Normal 13 2 5 7" xfId="12797" xr:uid="{00000000-0005-0000-0000-0000F9310000}"/>
    <cellStyle name="Normal 13 2 6" xfId="12798" xr:uid="{00000000-0005-0000-0000-0000FA310000}"/>
    <cellStyle name="Normal 13 2 6 2" xfId="12799" xr:uid="{00000000-0005-0000-0000-0000FB310000}"/>
    <cellStyle name="Normal 13 2 6 2 2" xfId="12800" xr:uid="{00000000-0005-0000-0000-0000FC310000}"/>
    <cellStyle name="Normal 13 2 6 3" xfId="12801" xr:uid="{00000000-0005-0000-0000-0000FD310000}"/>
    <cellStyle name="Normal 13 2 6 3 2" xfId="12802" xr:uid="{00000000-0005-0000-0000-0000FE310000}"/>
    <cellStyle name="Normal 13 2 6 4" xfId="12803" xr:uid="{00000000-0005-0000-0000-0000FF310000}"/>
    <cellStyle name="Normal 13 2 6 4 2" xfId="12804" xr:uid="{00000000-0005-0000-0000-000000320000}"/>
    <cellStyle name="Normal 13 2 6 5" xfId="12805" xr:uid="{00000000-0005-0000-0000-000001320000}"/>
    <cellStyle name="Normal 13 2 6 5 2" xfId="12806" xr:uid="{00000000-0005-0000-0000-000002320000}"/>
    <cellStyle name="Normal 13 2 6 6" xfId="12807" xr:uid="{00000000-0005-0000-0000-000003320000}"/>
    <cellStyle name="Normal 13 2 7" xfId="12808" xr:uid="{00000000-0005-0000-0000-000004320000}"/>
    <cellStyle name="Normal 13 2 7 2" xfId="12809" xr:uid="{00000000-0005-0000-0000-000005320000}"/>
    <cellStyle name="Normal 13 2 7 2 2" xfId="12810" xr:uid="{00000000-0005-0000-0000-000006320000}"/>
    <cellStyle name="Normal 13 2 7 3" xfId="12811" xr:uid="{00000000-0005-0000-0000-000007320000}"/>
    <cellStyle name="Normal 13 2 8" xfId="12812" xr:uid="{00000000-0005-0000-0000-000008320000}"/>
    <cellStyle name="Normal 13 2 8 2" xfId="12813" xr:uid="{00000000-0005-0000-0000-000009320000}"/>
    <cellStyle name="Normal 13 2 9" xfId="12814" xr:uid="{00000000-0005-0000-0000-00000A320000}"/>
    <cellStyle name="Normal 13 2 9 2" xfId="12815" xr:uid="{00000000-0005-0000-0000-00000B320000}"/>
    <cellStyle name="Normal 13 3" xfId="12816" xr:uid="{00000000-0005-0000-0000-00000C320000}"/>
    <cellStyle name="Normal 13 3 10" xfId="12817" xr:uid="{00000000-0005-0000-0000-00000D320000}"/>
    <cellStyle name="Normal 13 3 2" xfId="12818" xr:uid="{00000000-0005-0000-0000-00000E320000}"/>
    <cellStyle name="Normal 13 3 2 2" xfId="12819" xr:uid="{00000000-0005-0000-0000-00000F320000}"/>
    <cellStyle name="Normal 13 3 2 2 2" xfId="12820" xr:uid="{00000000-0005-0000-0000-000010320000}"/>
    <cellStyle name="Normal 13 3 2 2 2 2" xfId="12821" xr:uid="{00000000-0005-0000-0000-000011320000}"/>
    <cellStyle name="Normal 13 3 2 2 2 2 2" xfId="12822" xr:uid="{00000000-0005-0000-0000-000012320000}"/>
    <cellStyle name="Normal 13 3 2 2 2 3" xfId="12823" xr:uid="{00000000-0005-0000-0000-000013320000}"/>
    <cellStyle name="Normal 13 3 2 2 2 3 2" xfId="12824" xr:uid="{00000000-0005-0000-0000-000014320000}"/>
    <cellStyle name="Normal 13 3 2 2 2 4" xfId="12825" xr:uid="{00000000-0005-0000-0000-000015320000}"/>
    <cellStyle name="Normal 13 3 2 2 3" xfId="12826" xr:uid="{00000000-0005-0000-0000-000016320000}"/>
    <cellStyle name="Normal 13 3 2 2 3 2" xfId="12827" xr:uid="{00000000-0005-0000-0000-000017320000}"/>
    <cellStyle name="Normal 13 3 2 2 4" xfId="12828" xr:uid="{00000000-0005-0000-0000-000018320000}"/>
    <cellStyle name="Normal 13 3 2 2 4 2" xfId="12829" xr:uid="{00000000-0005-0000-0000-000019320000}"/>
    <cellStyle name="Normal 13 3 2 2 5" xfId="12830" xr:uid="{00000000-0005-0000-0000-00001A320000}"/>
    <cellStyle name="Normal 13 3 2 2 5 2" xfId="12831" xr:uid="{00000000-0005-0000-0000-00001B320000}"/>
    <cellStyle name="Normal 13 3 2 2 6" xfId="12832" xr:uid="{00000000-0005-0000-0000-00001C320000}"/>
    <cellStyle name="Normal 13 3 2 2 6 2" xfId="12833" xr:uid="{00000000-0005-0000-0000-00001D320000}"/>
    <cellStyle name="Normal 13 3 2 2 7" xfId="12834" xr:uid="{00000000-0005-0000-0000-00001E320000}"/>
    <cellStyle name="Normal 13 3 2 3" xfId="12835" xr:uid="{00000000-0005-0000-0000-00001F320000}"/>
    <cellStyle name="Normal 13 3 2 3 2" xfId="12836" xr:uid="{00000000-0005-0000-0000-000020320000}"/>
    <cellStyle name="Normal 13 3 2 3 2 2" xfId="12837" xr:uid="{00000000-0005-0000-0000-000021320000}"/>
    <cellStyle name="Normal 13 3 2 3 3" xfId="12838" xr:uid="{00000000-0005-0000-0000-000022320000}"/>
    <cellStyle name="Normal 13 3 2 3 3 2" xfId="12839" xr:uid="{00000000-0005-0000-0000-000023320000}"/>
    <cellStyle name="Normal 13 3 2 3 4" xfId="12840" xr:uid="{00000000-0005-0000-0000-000024320000}"/>
    <cellStyle name="Normal 13 3 2 3 4 2" xfId="12841" xr:uid="{00000000-0005-0000-0000-000025320000}"/>
    <cellStyle name="Normal 13 3 2 3 5" xfId="12842" xr:uid="{00000000-0005-0000-0000-000026320000}"/>
    <cellStyle name="Normal 13 3 2 3 5 2" xfId="12843" xr:uid="{00000000-0005-0000-0000-000027320000}"/>
    <cellStyle name="Normal 13 3 2 3 6" xfId="12844" xr:uid="{00000000-0005-0000-0000-000028320000}"/>
    <cellStyle name="Normal 13 3 2 4" xfId="12845" xr:uid="{00000000-0005-0000-0000-000029320000}"/>
    <cellStyle name="Normal 13 3 2 4 2" xfId="12846" xr:uid="{00000000-0005-0000-0000-00002A320000}"/>
    <cellStyle name="Normal 13 3 2 4 2 2" xfId="12847" xr:uid="{00000000-0005-0000-0000-00002B320000}"/>
    <cellStyle name="Normal 13 3 2 4 3" xfId="12848" xr:uid="{00000000-0005-0000-0000-00002C320000}"/>
    <cellStyle name="Normal 13 3 2 5" xfId="12849" xr:uid="{00000000-0005-0000-0000-00002D320000}"/>
    <cellStyle name="Normal 13 3 2 5 2" xfId="12850" xr:uid="{00000000-0005-0000-0000-00002E320000}"/>
    <cellStyle name="Normal 13 3 2 6" xfId="12851" xr:uid="{00000000-0005-0000-0000-00002F320000}"/>
    <cellStyle name="Normal 13 3 2 6 2" xfId="12852" xr:uid="{00000000-0005-0000-0000-000030320000}"/>
    <cellStyle name="Normal 13 3 2 7" xfId="12853" xr:uid="{00000000-0005-0000-0000-000031320000}"/>
    <cellStyle name="Normal 13 3 2 7 2" xfId="12854" xr:uid="{00000000-0005-0000-0000-000032320000}"/>
    <cellStyle name="Normal 13 3 2 8" xfId="12855" xr:uid="{00000000-0005-0000-0000-000033320000}"/>
    <cellStyle name="Normal 13 3 3" xfId="12856" xr:uid="{00000000-0005-0000-0000-000034320000}"/>
    <cellStyle name="Normal 13 3 3 2" xfId="12857" xr:uid="{00000000-0005-0000-0000-000035320000}"/>
    <cellStyle name="Normal 13 3 3 2 2" xfId="12858" xr:uid="{00000000-0005-0000-0000-000036320000}"/>
    <cellStyle name="Normal 13 3 3 2 2 2" xfId="12859" xr:uid="{00000000-0005-0000-0000-000037320000}"/>
    <cellStyle name="Normal 13 3 3 2 2 2 2" xfId="12860" xr:uid="{00000000-0005-0000-0000-000038320000}"/>
    <cellStyle name="Normal 13 3 3 2 2 3" xfId="12861" xr:uid="{00000000-0005-0000-0000-000039320000}"/>
    <cellStyle name="Normal 13 3 3 2 2 3 2" xfId="12862" xr:uid="{00000000-0005-0000-0000-00003A320000}"/>
    <cellStyle name="Normal 13 3 3 2 2 4" xfId="12863" xr:uid="{00000000-0005-0000-0000-00003B320000}"/>
    <cellStyle name="Normal 13 3 3 2 3" xfId="12864" xr:uid="{00000000-0005-0000-0000-00003C320000}"/>
    <cellStyle name="Normal 13 3 3 2 3 2" xfId="12865" xr:uid="{00000000-0005-0000-0000-00003D320000}"/>
    <cellStyle name="Normal 13 3 3 2 4" xfId="12866" xr:uid="{00000000-0005-0000-0000-00003E320000}"/>
    <cellStyle name="Normal 13 3 3 2 4 2" xfId="12867" xr:uid="{00000000-0005-0000-0000-00003F320000}"/>
    <cellStyle name="Normal 13 3 3 2 5" xfId="12868" xr:uid="{00000000-0005-0000-0000-000040320000}"/>
    <cellStyle name="Normal 13 3 3 2 5 2" xfId="12869" xr:uid="{00000000-0005-0000-0000-000041320000}"/>
    <cellStyle name="Normal 13 3 3 2 6" xfId="12870" xr:uid="{00000000-0005-0000-0000-000042320000}"/>
    <cellStyle name="Normal 13 3 3 2 6 2" xfId="12871" xr:uid="{00000000-0005-0000-0000-000043320000}"/>
    <cellStyle name="Normal 13 3 3 2 7" xfId="12872" xr:uid="{00000000-0005-0000-0000-000044320000}"/>
    <cellStyle name="Normal 13 3 3 3" xfId="12873" xr:uid="{00000000-0005-0000-0000-000045320000}"/>
    <cellStyle name="Normal 13 3 3 3 2" xfId="12874" xr:uid="{00000000-0005-0000-0000-000046320000}"/>
    <cellStyle name="Normal 13 3 3 3 2 2" xfId="12875" xr:uid="{00000000-0005-0000-0000-000047320000}"/>
    <cellStyle name="Normal 13 3 3 3 3" xfId="12876" xr:uid="{00000000-0005-0000-0000-000048320000}"/>
    <cellStyle name="Normal 13 3 3 3 3 2" xfId="12877" xr:uid="{00000000-0005-0000-0000-000049320000}"/>
    <cellStyle name="Normal 13 3 3 3 4" xfId="12878" xr:uid="{00000000-0005-0000-0000-00004A320000}"/>
    <cellStyle name="Normal 13 3 3 3 4 2" xfId="12879" xr:uid="{00000000-0005-0000-0000-00004B320000}"/>
    <cellStyle name="Normal 13 3 3 3 5" xfId="12880" xr:uid="{00000000-0005-0000-0000-00004C320000}"/>
    <cellStyle name="Normal 13 3 3 3 5 2" xfId="12881" xr:uid="{00000000-0005-0000-0000-00004D320000}"/>
    <cellStyle name="Normal 13 3 3 3 6" xfId="12882" xr:uid="{00000000-0005-0000-0000-00004E320000}"/>
    <cellStyle name="Normal 13 3 3 4" xfId="12883" xr:uid="{00000000-0005-0000-0000-00004F320000}"/>
    <cellStyle name="Normal 13 3 3 4 2" xfId="12884" xr:uid="{00000000-0005-0000-0000-000050320000}"/>
    <cellStyle name="Normal 13 3 3 4 2 2" xfId="12885" xr:uid="{00000000-0005-0000-0000-000051320000}"/>
    <cellStyle name="Normal 13 3 3 4 3" xfId="12886" xr:uid="{00000000-0005-0000-0000-000052320000}"/>
    <cellStyle name="Normal 13 3 3 5" xfId="12887" xr:uid="{00000000-0005-0000-0000-000053320000}"/>
    <cellStyle name="Normal 13 3 3 5 2" xfId="12888" xr:uid="{00000000-0005-0000-0000-000054320000}"/>
    <cellStyle name="Normal 13 3 3 6" xfId="12889" xr:uid="{00000000-0005-0000-0000-000055320000}"/>
    <cellStyle name="Normal 13 3 3 6 2" xfId="12890" xr:uid="{00000000-0005-0000-0000-000056320000}"/>
    <cellStyle name="Normal 13 3 3 7" xfId="12891" xr:uid="{00000000-0005-0000-0000-000057320000}"/>
    <cellStyle name="Normal 13 3 3 7 2" xfId="12892" xr:uid="{00000000-0005-0000-0000-000058320000}"/>
    <cellStyle name="Normal 13 3 3 8" xfId="12893" xr:uid="{00000000-0005-0000-0000-000059320000}"/>
    <cellStyle name="Normal 13 3 4" xfId="12894" xr:uid="{00000000-0005-0000-0000-00005A320000}"/>
    <cellStyle name="Normal 13 3 4 2" xfId="12895" xr:uid="{00000000-0005-0000-0000-00005B320000}"/>
    <cellStyle name="Normal 13 3 4 2 2" xfId="12896" xr:uid="{00000000-0005-0000-0000-00005C320000}"/>
    <cellStyle name="Normal 13 3 4 2 2 2" xfId="12897" xr:uid="{00000000-0005-0000-0000-00005D320000}"/>
    <cellStyle name="Normal 13 3 4 2 3" xfId="12898" xr:uid="{00000000-0005-0000-0000-00005E320000}"/>
    <cellStyle name="Normal 13 3 4 2 3 2" xfId="12899" xr:uid="{00000000-0005-0000-0000-00005F320000}"/>
    <cellStyle name="Normal 13 3 4 2 4" xfId="12900" xr:uid="{00000000-0005-0000-0000-000060320000}"/>
    <cellStyle name="Normal 13 3 4 3" xfId="12901" xr:uid="{00000000-0005-0000-0000-000061320000}"/>
    <cellStyle name="Normal 13 3 4 3 2" xfId="12902" xr:uid="{00000000-0005-0000-0000-000062320000}"/>
    <cellStyle name="Normal 13 3 4 4" xfId="12903" xr:uid="{00000000-0005-0000-0000-000063320000}"/>
    <cellStyle name="Normal 13 3 4 4 2" xfId="12904" xr:uid="{00000000-0005-0000-0000-000064320000}"/>
    <cellStyle name="Normal 13 3 4 5" xfId="12905" xr:uid="{00000000-0005-0000-0000-000065320000}"/>
    <cellStyle name="Normal 13 3 4 5 2" xfId="12906" xr:uid="{00000000-0005-0000-0000-000066320000}"/>
    <cellStyle name="Normal 13 3 4 6" xfId="12907" xr:uid="{00000000-0005-0000-0000-000067320000}"/>
    <cellStyle name="Normal 13 3 4 6 2" xfId="12908" xr:uid="{00000000-0005-0000-0000-000068320000}"/>
    <cellStyle name="Normal 13 3 4 7" xfId="12909" xr:uid="{00000000-0005-0000-0000-000069320000}"/>
    <cellStyle name="Normal 13 3 5" xfId="12910" xr:uid="{00000000-0005-0000-0000-00006A320000}"/>
    <cellStyle name="Normal 13 3 5 2" xfId="12911" xr:uid="{00000000-0005-0000-0000-00006B320000}"/>
    <cellStyle name="Normal 13 3 5 2 2" xfId="12912" xr:uid="{00000000-0005-0000-0000-00006C320000}"/>
    <cellStyle name="Normal 13 3 5 3" xfId="12913" xr:uid="{00000000-0005-0000-0000-00006D320000}"/>
    <cellStyle name="Normal 13 3 5 3 2" xfId="12914" xr:uid="{00000000-0005-0000-0000-00006E320000}"/>
    <cellStyle name="Normal 13 3 5 4" xfId="12915" xr:uid="{00000000-0005-0000-0000-00006F320000}"/>
    <cellStyle name="Normal 13 3 5 4 2" xfId="12916" xr:uid="{00000000-0005-0000-0000-000070320000}"/>
    <cellStyle name="Normal 13 3 5 5" xfId="12917" xr:uid="{00000000-0005-0000-0000-000071320000}"/>
    <cellStyle name="Normal 13 3 5 5 2" xfId="12918" xr:uid="{00000000-0005-0000-0000-000072320000}"/>
    <cellStyle name="Normal 13 3 5 6" xfId="12919" xr:uid="{00000000-0005-0000-0000-000073320000}"/>
    <cellStyle name="Normal 13 3 6" xfId="12920" xr:uid="{00000000-0005-0000-0000-000074320000}"/>
    <cellStyle name="Normal 13 3 6 2" xfId="12921" xr:uid="{00000000-0005-0000-0000-000075320000}"/>
    <cellStyle name="Normal 13 3 6 2 2" xfId="12922" xr:uid="{00000000-0005-0000-0000-000076320000}"/>
    <cellStyle name="Normal 13 3 6 3" xfId="12923" xr:uid="{00000000-0005-0000-0000-000077320000}"/>
    <cellStyle name="Normal 13 3 7" xfId="12924" xr:uid="{00000000-0005-0000-0000-000078320000}"/>
    <cellStyle name="Normal 13 3 7 2" xfId="12925" xr:uid="{00000000-0005-0000-0000-000079320000}"/>
    <cellStyle name="Normal 13 3 8" xfId="12926" xr:uid="{00000000-0005-0000-0000-00007A320000}"/>
    <cellStyle name="Normal 13 3 8 2" xfId="12927" xr:uid="{00000000-0005-0000-0000-00007B320000}"/>
    <cellStyle name="Normal 13 3 9" xfId="12928" xr:uid="{00000000-0005-0000-0000-00007C320000}"/>
    <cellStyle name="Normal 13 3 9 2" xfId="12929" xr:uid="{00000000-0005-0000-0000-00007D320000}"/>
    <cellStyle name="Normal 13 4" xfId="12930" xr:uid="{00000000-0005-0000-0000-00007E320000}"/>
    <cellStyle name="Normal 13 4 2" xfId="12931" xr:uid="{00000000-0005-0000-0000-00007F320000}"/>
    <cellStyle name="Normal 13 4 2 2" xfId="12932" xr:uid="{00000000-0005-0000-0000-000080320000}"/>
    <cellStyle name="Normal 13 4 2 2 2" xfId="12933" xr:uid="{00000000-0005-0000-0000-000081320000}"/>
    <cellStyle name="Normal 13 4 2 2 2 2" xfId="12934" xr:uid="{00000000-0005-0000-0000-000082320000}"/>
    <cellStyle name="Normal 13 4 2 2 3" xfId="12935" xr:uid="{00000000-0005-0000-0000-000083320000}"/>
    <cellStyle name="Normal 13 4 2 2 3 2" xfId="12936" xr:uid="{00000000-0005-0000-0000-000084320000}"/>
    <cellStyle name="Normal 13 4 2 2 4" xfId="12937" xr:uid="{00000000-0005-0000-0000-000085320000}"/>
    <cellStyle name="Normal 13 4 2 3" xfId="12938" xr:uid="{00000000-0005-0000-0000-000086320000}"/>
    <cellStyle name="Normal 13 4 2 3 2" xfId="12939" xr:uid="{00000000-0005-0000-0000-000087320000}"/>
    <cellStyle name="Normal 13 4 2 4" xfId="12940" xr:uid="{00000000-0005-0000-0000-000088320000}"/>
    <cellStyle name="Normal 13 4 2 4 2" xfId="12941" xr:uid="{00000000-0005-0000-0000-000089320000}"/>
    <cellStyle name="Normal 13 4 2 5" xfId="12942" xr:uid="{00000000-0005-0000-0000-00008A320000}"/>
    <cellStyle name="Normal 13 4 2 5 2" xfId="12943" xr:uid="{00000000-0005-0000-0000-00008B320000}"/>
    <cellStyle name="Normal 13 4 2 6" xfId="12944" xr:uid="{00000000-0005-0000-0000-00008C320000}"/>
    <cellStyle name="Normal 13 4 2 6 2" xfId="12945" xr:uid="{00000000-0005-0000-0000-00008D320000}"/>
    <cellStyle name="Normal 13 4 2 7" xfId="12946" xr:uid="{00000000-0005-0000-0000-00008E320000}"/>
    <cellStyle name="Normal 13 4 3" xfId="12947" xr:uid="{00000000-0005-0000-0000-00008F320000}"/>
    <cellStyle name="Normal 13 4 3 2" xfId="12948" xr:uid="{00000000-0005-0000-0000-000090320000}"/>
    <cellStyle name="Normal 13 4 3 2 2" xfId="12949" xr:uid="{00000000-0005-0000-0000-000091320000}"/>
    <cellStyle name="Normal 13 4 3 3" xfId="12950" xr:uid="{00000000-0005-0000-0000-000092320000}"/>
    <cellStyle name="Normal 13 4 3 3 2" xfId="12951" xr:uid="{00000000-0005-0000-0000-000093320000}"/>
    <cellStyle name="Normal 13 4 3 4" xfId="12952" xr:uid="{00000000-0005-0000-0000-000094320000}"/>
    <cellStyle name="Normal 13 4 3 4 2" xfId="12953" xr:uid="{00000000-0005-0000-0000-000095320000}"/>
    <cellStyle name="Normal 13 4 3 5" xfId="12954" xr:uid="{00000000-0005-0000-0000-000096320000}"/>
    <cellStyle name="Normal 13 4 3 5 2" xfId="12955" xr:uid="{00000000-0005-0000-0000-000097320000}"/>
    <cellStyle name="Normal 13 4 3 6" xfId="12956" xr:uid="{00000000-0005-0000-0000-000098320000}"/>
    <cellStyle name="Normal 13 4 4" xfId="12957" xr:uid="{00000000-0005-0000-0000-000099320000}"/>
    <cellStyle name="Normal 13 4 4 2" xfId="12958" xr:uid="{00000000-0005-0000-0000-00009A320000}"/>
    <cellStyle name="Normal 13 4 4 2 2" xfId="12959" xr:uid="{00000000-0005-0000-0000-00009B320000}"/>
    <cellStyle name="Normal 13 4 4 3" xfId="12960" xr:uid="{00000000-0005-0000-0000-00009C320000}"/>
    <cellStyle name="Normal 13 4 5" xfId="12961" xr:uid="{00000000-0005-0000-0000-00009D320000}"/>
    <cellStyle name="Normal 13 4 5 2" xfId="12962" xr:uid="{00000000-0005-0000-0000-00009E320000}"/>
    <cellStyle name="Normal 13 4 6" xfId="12963" xr:uid="{00000000-0005-0000-0000-00009F320000}"/>
    <cellStyle name="Normal 13 4 6 2" xfId="12964" xr:uid="{00000000-0005-0000-0000-0000A0320000}"/>
    <cellStyle name="Normal 13 4 7" xfId="12965" xr:uid="{00000000-0005-0000-0000-0000A1320000}"/>
    <cellStyle name="Normal 13 4 7 2" xfId="12966" xr:uid="{00000000-0005-0000-0000-0000A2320000}"/>
    <cellStyle name="Normal 13 4 8" xfId="12967" xr:uid="{00000000-0005-0000-0000-0000A3320000}"/>
    <cellStyle name="Normal 13 5" xfId="12968" xr:uid="{00000000-0005-0000-0000-0000A4320000}"/>
    <cellStyle name="Normal 13 5 2" xfId="12969" xr:uid="{00000000-0005-0000-0000-0000A5320000}"/>
    <cellStyle name="Normal 13 5 2 2" xfId="12970" xr:uid="{00000000-0005-0000-0000-0000A6320000}"/>
    <cellStyle name="Normal 13 5 2 2 2" xfId="12971" xr:uid="{00000000-0005-0000-0000-0000A7320000}"/>
    <cellStyle name="Normal 13 5 2 2 2 2" xfId="12972" xr:uid="{00000000-0005-0000-0000-0000A8320000}"/>
    <cellStyle name="Normal 13 5 2 2 3" xfId="12973" xr:uid="{00000000-0005-0000-0000-0000A9320000}"/>
    <cellStyle name="Normal 13 5 2 2 3 2" xfId="12974" xr:uid="{00000000-0005-0000-0000-0000AA320000}"/>
    <cellStyle name="Normal 13 5 2 2 4" xfId="12975" xr:uid="{00000000-0005-0000-0000-0000AB320000}"/>
    <cellStyle name="Normal 13 5 2 3" xfId="12976" xr:uid="{00000000-0005-0000-0000-0000AC320000}"/>
    <cellStyle name="Normal 13 5 2 3 2" xfId="12977" xr:uid="{00000000-0005-0000-0000-0000AD320000}"/>
    <cellStyle name="Normal 13 5 2 4" xfId="12978" xr:uid="{00000000-0005-0000-0000-0000AE320000}"/>
    <cellStyle name="Normal 13 5 2 4 2" xfId="12979" xr:uid="{00000000-0005-0000-0000-0000AF320000}"/>
    <cellStyle name="Normal 13 5 2 5" xfId="12980" xr:uid="{00000000-0005-0000-0000-0000B0320000}"/>
    <cellStyle name="Normal 13 5 2 5 2" xfId="12981" xr:uid="{00000000-0005-0000-0000-0000B1320000}"/>
    <cellStyle name="Normal 13 5 2 6" xfId="12982" xr:uid="{00000000-0005-0000-0000-0000B2320000}"/>
    <cellStyle name="Normal 13 5 2 6 2" xfId="12983" xr:uid="{00000000-0005-0000-0000-0000B3320000}"/>
    <cellStyle name="Normal 13 5 2 7" xfId="12984" xr:uid="{00000000-0005-0000-0000-0000B4320000}"/>
    <cellStyle name="Normal 13 5 3" xfId="12985" xr:uid="{00000000-0005-0000-0000-0000B5320000}"/>
    <cellStyle name="Normal 13 5 3 2" xfId="12986" xr:uid="{00000000-0005-0000-0000-0000B6320000}"/>
    <cellStyle name="Normal 13 5 3 2 2" xfId="12987" xr:uid="{00000000-0005-0000-0000-0000B7320000}"/>
    <cellStyle name="Normal 13 5 3 3" xfId="12988" xr:uid="{00000000-0005-0000-0000-0000B8320000}"/>
    <cellStyle name="Normal 13 5 3 3 2" xfId="12989" xr:uid="{00000000-0005-0000-0000-0000B9320000}"/>
    <cellStyle name="Normal 13 5 3 4" xfId="12990" xr:uid="{00000000-0005-0000-0000-0000BA320000}"/>
    <cellStyle name="Normal 13 5 3 4 2" xfId="12991" xr:uid="{00000000-0005-0000-0000-0000BB320000}"/>
    <cellStyle name="Normal 13 5 3 5" xfId="12992" xr:uid="{00000000-0005-0000-0000-0000BC320000}"/>
    <cellStyle name="Normal 13 5 3 5 2" xfId="12993" xr:uid="{00000000-0005-0000-0000-0000BD320000}"/>
    <cellStyle name="Normal 13 5 3 6" xfId="12994" xr:uid="{00000000-0005-0000-0000-0000BE320000}"/>
    <cellStyle name="Normal 13 5 4" xfId="12995" xr:uid="{00000000-0005-0000-0000-0000BF320000}"/>
    <cellStyle name="Normal 13 5 4 2" xfId="12996" xr:uid="{00000000-0005-0000-0000-0000C0320000}"/>
    <cellStyle name="Normal 13 5 4 2 2" xfId="12997" xr:uid="{00000000-0005-0000-0000-0000C1320000}"/>
    <cellStyle name="Normal 13 5 4 3" xfId="12998" xr:uid="{00000000-0005-0000-0000-0000C2320000}"/>
    <cellStyle name="Normal 13 5 5" xfId="12999" xr:uid="{00000000-0005-0000-0000-0000C3320000}"/>
    <cellStyle name="Normal 13 5 5 2" xfId="13000" xr:uid="{00000000-0005-0000-0000-0000C4320000}"/>
    <cellStyle name="Normal 13 5 6" xfId="13001" xr:uid="{00000000-0005-0000-0000-0000C5320000}"/>
    <cellStyle name="Normal 13 5 6 2" xfId="13002" xr:uid="{00000000-0005-0000-0000-0000C6320000}"/>
    <cellStyle name="Normal 13 5 7" xfId="13003" xr:uid="{00000000-0005-0000-0000-0000C7320000}"/>
    <cellStyle name="Normal 13 5 7 2" xfId="13004" xr:uid="{00000000-0005-0000-0000-0000C8320000}"/>
    <cellStyle name="Normal 13 5 8" xfId="13005" xr:uid="{00000000-0005-0000-0000-0000C9320000}"/>
    <cellStyle name="Normal 13 6" xfId="13006" xr:uid="{00000000-0005-0000-0000-0000CA320000}"/>
    <cellStyle name="Normal 13 6 2" xfId="13007" xr:uid="{00000000-0005-0000-0000-0000CB320000}"/>
    <cellStyle name="Normal 13 6 2 2" xfId="13008" xr:uid="{00000000-0005-0000-0000-0000CC320000}"/>
    <cellStyle name="Normal 13 6 2 2 2" xfId="13009" xr:uid="{00000000-0005-0000-0000-0000CD320000}"/>
    <cellStyle name="Normal 13 6 2 3" xfId="13010" xr:uid="{00000000-0005-0000-0000-0000CE320000}"/>
    <cellStyle name="Normal 13 6 2 3 2" xfId="13011" xr:uid="{00000000-0005-0000-0000-0000CF320000}"/>
    <cellStyle name="Normal 13 6 2 4" xfId="13012" xr:uid="{00000000-0005-0000-0000-0000D0320000}"/>
    <cellStyle name="Normal 13 6 3" xfId="13013" xr:uid="{00000000-0005-0000-0000-0000D1320000}"/>
    <cellStyle name="Normal 13 6 3 2" xfId="13014" xr:uid="{00000000-0005-0000-0000-0000D2320000}"/>
    <cellStyle name="Normal 13 6 4" xfId="13015" xr:uid="{00000000-0005-0000-0000-0000D3320000}"/>
    <cellStyle name="Normal 13 6 4 2" xfId="13016" xr:uid="{00000000-0005-0000-0000-0000D4320000}"/>
    <cellStyle name="Normal 13 6 5" xfId="13017" xr:uid="{00000000-0005-0000-0000-0000D5320000}"/>
    <cellStyle name="Normal 13 6 5 2" xfId="13018" xr:uid="{00000000-0005-0000-0000-0000D6320000}"/>
    <cellStyle name="Normal 13 6 6" xfId="13019" xr:uid="{00000000-0005-0000-0000-0000D7320000}"/>
    <cellStyle name="Normal 13 6 6 2" xfId="13020" xr:uid="{00000000-0005-0000-0000-0000D8320000}"/>
    <cellStyle name="Normal 13 6 7" xfId="13021" xr:uid="{00000000-0005-0000-0000-0000D9320000}"/>
    <cellStyle name="Normal 13 7" xfId="13022" xr:uid="{00000000-0005-0000-0000-0000DA320000}"/>
    <cellStyle name="Normal 13 7 2" xfId="13023" xr:uid="{00000000-0005-0000-0000-0000DB320000}"/>
    <cellStyle name="Normal 13 7 2 2" xfId="13024" xr:uid="{00000000-0005-0000-0000-0000DC320000}"/>
    <cellStyle name="Normal 13 7 3" xfId="13025" xr:uid="{00000000-0005-0000-0000-0000DD320000}"/>
    <cellStyle name="Normal 13 7 4" xfId="13026" xr:uid="{00000000-0005-0000-0000-0000DE320000}"/>
    <cellStyle name="Normal 13 7 4 2" xfId="13027" xr:uid="{00000000-0005-0000-0000-0000DF320000}"/>
    <cellStyle name="Normal 13 7 5" xfId="13028" xr:uid="{00000000-0005-0000-0000-0000E0320000}"/>
    <cellStyle name="Normal 13 7 5 2" xfId="13029" xr:uid="{00000000-0005-0000-0000-0000E1320000}"/>
    <cellStyle name="Normal 13 7 6" xfId="13030" xr:uid="{00000000-0005-0000-0000-0000E2320000}"/>
    <cellStyle name="Normal 13 8" xfId="13031" xr:uid="{00000000-0005-0000-0000-0000E3320000}"/>
    <cellStyle name="Normal 13 8 2" xfId="13032" xr:uid="{00000000-0005-0000-0000-0000E4320000}"/>
    <cellStyle name="Normal 13 8 2 2" xfId="13033" xr:uid="{00000000-0005-0000-0000-0000E5320000}"/>
    <cellStyle name="Normal 13 8 3" xfId="13034" xr:uid="{00000000-0005-0000-0000-0000E6320000}"/>
    <cellStyle name="Normal 13 8 3 2" xfId="13035" xr:uid="{00000000-0005-0000-0000-0000E7320000}"/>
    <cellStyle name="Normal 13 8 4" xfId="13036" xr:uid="{00000000-0005-0000-0000-0000E8320000}"/>
    <cellStyle name="Normal 13 9" xfId="13037" xr:uid="{00000000-0005-0000-0000-0000E9320000}"/>
    <cellStyle name="Normal 13 9 2" xfId="13038" xr:uid="{00000000-0005-0000-0000-0000EA320000}"/>
    <cellStyle name="Normal 13 9 2 2" xfId="13039" xr:uid="{00000000-0005-0000-0000-0000EB320000}"/>
    <cellStyle name="Normal 13 9 3" xfId="13040" xr:uid="{00000000-0005-0000-0000-0000EC320000}"/>
    <cellStyle name="Normal 14" xfId="13041" xr:uid="{00000000-0005-0000-0000-0000ED320000}"/>
    <cellStyle name="Normal 14 2" xfId="13042" xr:uid="{00000000-0005-0000-0000-0000EE320000}"/>
    <cellStyle name="Normal 14 3" xfId="13043" xr:uid="{00000000-0005-0000-0000-0000EF320000}"/>
    <cellStyle name="Normal 15" xfId="13044" xr:uid="{00000000-0005-0000-0000-0000F0320000}"/>
    <cellStyle name="Normal 15 10" xfId="13045" xr:uid="{00000000-0005-0000-0000-0000F1320000}"/>
    <cellStyle name="Normal 15 10 2" xfId="13046" xr:uid="{00000000-0005-0000-0000-0000F2320000}"/>
    <cellStyle name="Normal 15 11" xfId="13047" xr:uid="{00000000-0005-0000-0000-0000F3320000}"/>
    <cellStyle name="Normal 15 11 2" xfId="13048" xr:uid="{00000000-0005-0000-0000-0000F4320000}"/>
    <cellStyle name="Normal 15 12" xfId="13049" xr:uid="{00000000-0005-0000-0000-0000F5320000}"/>
    <cellStyle name="Normal 15 12 2" xfId="13050" xr:uid="{00000000-0005-0000-0000-0000F6320000}"/>
    <cellStyle name="Normal 15 13" xfId="13051" xr:uid="{00000000-0005-0000-0000-0000F7320000}"/>
    <cellStyle name="Normal 15 2" xfId="13052" xr:uid="{00000000-0005-0000-0000-0000F8320000}"/>
    <cellStyle name="Normal 15 2 10" xfId="13053" xr:uid="{00000000-0005-0000-0000-0000F9320000}"/>
    <cellStyle name="Normal 15 2 10 2" xfId="13054" xr:uid="{00000000-0005-0000-0000-0000FA320000}"/>
    <cellStyle name="Normal 15 2 11" xfId="13055" xr:uid="{00000000-0005-0000-0000-0000FB320000}"/>
    <cellStyle name="Normal 15 2 2" xfId="13056" xr:uid="{00000000-0005-0000-0000-0000FC320000}"/>
    <cellStyle name="Normal 15 2 2 10" xfId="13057" xr:uid="{00000000-0005-0000-0000-0000FD320000}"/>
    <cellStyle name="Normal 15 2 2 2" xfId="13058" xr:uid="{00000000-0005-0000-0000-0000FE320000}"/>
    <cellStyle name="Normal 15 2 2 2 2" xfId="13059" xr:uid="{00000000-0005-0000-0000-0000FF320000}"/>
    <cellStyle name="Normal 15 2 2 2 2 2" xfId="13060" xr:uid="{00000000-0005-0000-0000-000000330000}"/>
    <cellStyle name="Normal 15 2 2 2 2 2 2" xfId="13061" xr:uid="{00000000-0005-0000-0000-000001330000}"/>
    <cellStyle name="Normal 15 2 2 2 2 2 2 2" xfId="13062" xr:uid="{00000000-0005-0000-0000-000002330000}"/>
    <cellStyle name="Normal 15 2 2 2 2 2 3" xfId="13063" xr:uid="{00000000-0005-0000-0000-000003330000}"/>
    <cellStyle name="Normal 15 2 2 2 2 2 3 2" xfId="13064" xr:uid="{00000000-0005-0000-0000-000004330000}"/>
    <cellStyle name="Normal 15 2 2 2 2 2 4" xfId="13065" xr:uid="{00000000-0005-0000-0000-000005330000}"/>
    <cellStyle name="Normal 15 2 2 2 2 3" xfId="13066" xr:uid="{00000000-0005-0000-0000-000006330000}"/>
    <cellStyle name="Normal 15 2 2 2 2 3 2" xfId="13067" xr:uid="{00000000-0005-0000-0000-000007330000}"/>
    <cellStyle name="Normal 15 2 2 2 2 4" xfId="13068" xr:uid="{00000000-0005-0000-0000-000008330000}"/>
    <cellStyle name="Normal 15 2 2 2 2 4 2" xfId="13069" xr:uid="{00000000-0005-0000-0000-000009330000}"/>
    <cellStyle name="Normal 15 2 2 2 2 5" xfId="13070" xr:uid="{00000000-0005-0000-0000-00000A330000}"/>
    <cellStyle name="Normal 15 2 2 2 2 5 2" xfId="13071" xr:uid="{00000000-0005-0000-0000-00000B330000}"/>
    <cellStyle name="Normal 15 2 2 2 2 6" xfId="13072" xr:uid="{00000000-0005-0000-0000-00000C330000}"/>
    <cellStyle name="Normal 15 2 2 2 2 6 2" xfId="13073" xr:uid="{00000000-0005-0000-0000-00000D330000}"/>
    <cellStyle name="Normal 15 2 2 2 2 7" xfId="13074" xr:uid="{00000000-0005-0000-0000-00000E330000}"/>
    <cellStyle name="Normal 15 2 2 2 3" xfId="13075" xr:uid="{00000000-0005-0000-0000-00000F330000}"/>
    <cellStyle name="Normal 15 2 2 2 3 2" xfId="13076" xr:uid="{00000000-0005-0000-0000-000010330000}"/>
    <cellStyle name="Normal 15 2 2 2 3 2 2" xfId="13077" xr:uid="{00000000-0005-0000-0000-000011330000}"/>
    <cellStyle name="Normal 15 2 2 2 3 3" xfId="13078" xr:uid="{00000000-0005-0000-0000-000012330000}"/>
    <cellStyle name="Normal 15 2 2 2 3 3 2" xfId="13079" xr:uid="{00000000-0005-0000-0000-000013330000}"/>
    <cellStyle name="Normal 15 2 2 2 3 4" xfId="13080" xr:uid="{00000000-0005-0000-0000-000014330000}"/>
    <cellStyle name="Normal 15 2 2 2 3 4 2" xfId="13081" xr:uid="{00000000-0005-0000-0000-000015330000}"/>
    <cellStyle name="Normal 15 2 2 2 3 5" xfId="13082" xr:uid="{00000000-0005-0000-0000-000016330000}"/>
    <cellStyle name="Normal 15 2 2 2 3 5 2" xfId="13083" xr:uid="{00000000-0005-0000-0000-000017330000}"/>
    <cellStyle name="Normal 15 2 2 2 3 6" xfId="13084" xr:uid="{00000000-0005-0000-0000-000018330000}"/>
    <cellStyle name="Normal 15 2 2 2 4" xfId="13085" xr:uid="{00000000-0005-0000-0000-000019330000}"/>
    <cellStyle name="Normal 15 2 2 2 4 2" xfId="13086" xr:uid="{00000000-0005-0000-0000-00001A330000}"/>
    <cellStyle name="Normal 15 2 2 2 4 2 2" xfId="13087" xr:uid="{00000000-0005-0000-0000-00001B330000}"/>
    <cellStyle name="Normal 15 2 2 2 4 3" xfId="13088" xr:uid="{00000000-0005-0000-0000-00001C330000}"/>
    <cellStyle name="Normal 15 2 2 2 5" xfId="13089" xr:uid="{00000000-0005-0000-0000-00001D330000}"/>
    <cellStyle name="Normal 15 2 2 2 5 2" xfId="13090" xr:uid="{00000000-0005-0000-0000-00001E330000}"/>
    <cellStyle name="Normal 15 2 2 2 6" xfId="13091" xr:uid="{00000000-0005-0000-0000-00001F330000}"/>
    <cellStyle name="Normal 15 2 2 2 6 2" xfId="13092" xr:uid="{00000000-0005-0000-0000-000020330000}"/>
    <cellStyle name="Normal 15 2 2 2 7" xfId="13093" xr:uid="{00000000-0005-0000-0000-000021330000}"/>
    <cellStyle name="Normal 15 2 2 2 7 2" xfId="13094" xr:uid="{00000000-0005-0000-0000-000022330000}"/>
    <cellStyle name="Normal 15 2 2 2 8" xfId="13095" xr:uid="{00000000-0005-0000-0000-000023330000}"/>
    <cellStyle name="Normal 15 2 2 3" xfId="13096" xr:uid="{00000000-0005-0000-0000-000024330000}"/>
    <cellStyle name="Normal 15 2 2 3 2" xfId="13097" xr:uid="{00000000-0005-0000-0000-000025330000}"/>
    <cellStyle name="Normal 15 2 2 3 2 2" xfId="13098" xr:uid="{00000000-0005-0000-0000-000026330000}"/>
    <cellStyle name="Normal 15 2 2 3 2 2 2" xfId="13099" xr:uid="{00000000-0005-0000-0000-000027330000}"/>
    <cellStyle name="Normal 15 2 2 3 2 2 2 2" xfId="13100" xr:uid="{00000000-0005-0000-0000-000028330000}"/>
    <cellStyle name="Normal 15 2 2 3 2 2 3" xfId="13101" xr:uid="{00000000-0005-0000-0000-000029330000}"/>
    <cellStyle name="Normal 15 2 2 3 2 2 3 2" xfId="13102" xr:uid="{00000000-0005-0000-0000-00002A330000}"/>
    <cellStyle name="Normal 15 2 2 3 2 2 4" xfId="13103" xr:uid="{00000000-0005-0000-0000-00002B330000}"/>
    <cellStyle name="Normal 15 2 2 3 2 3" xfId="13104" xr:uid="{00000000-0005-0000-0000-00002C330000}"/>
    <cellStyle name="Normal 15 2 2 3 2 3 2" xfId="13105" xr:uid="{00000000-0005-0000-0000-00002D330000}"/>
    <cellStyle name="Normal 15 2 2 3 2 4" xfId="13106" xr:uid="{00000000-0005-0000-0000-00002E330000}"/>
    <cellStyle name="Normal 15 2 2 3 2 4 2" xfId="13107" xr:uid="{00000000-0005-0000-0000-00002F330000}"/>
    <cellStyle name="Normal 15 2 2 3 2 5" xfId="13108" xr:uid="{00000000-0005-0000-0000-000030330000}"/>
    <cellStyle name="Normal 15 2 2 3 2 5 2" xfId="13109" xr:uid="{00000000-0005-0000-0000-000031330000}"/>
    <cellStyle name="Normal 15 2 2 3 2 6" xfId="13110" xr:uid="{00000000-0005-0000-0000-000032330000}"/>
    <cellStyle name="Normal 15 2 2 3 2 6 2" xfId="13111" xr:uid="{00000000-0005-0000-0000-000033330000}"/>
    <cellStyle name="Normal 15 2 2 3 2 7" xfId="13112" xr:uid="{00000000-0005-0000-0000-000034330000}"/>
    <cellStyle name="Normal 15 2 2 3 3" xfId="13113" xr:uid="{00000000-0005-0000-0000-000035330000}"/>
    <cellStyle name="Normal 15 2 2 3 3 2" xfId="13114" xr:uid="{00000000-0005-0000-0000-000036330000}"/>
    <cellStyle name="Normal 15 2 2 3 3 2 2" xfId="13115" xr:uid="{00000000-0005-0000-0000-000037330000}"/>
    <cellStyle name="Normal 15 2 2 3 3 3" xfId="13116" xr:uid="{00000000-0005-0000-0000-000038330000}"/>
    <cellStyle name="Normal 15 2 2 3 3 3 2" xfId="13117" xr:uid="{00000000-0005-0000-0000-000039330000}"/>
    <cellStyle name="Normal 15 2 2 3 3 4" xfId="13118" xr:uid="{00000000-0005-0000-0000-00003A330000}"/>
    <cellStyle name="Normal 15 2 2 3 3 4 2" xfId="13119" xr:uid="{00000000-0005-0000-0000-00003B330000}"/>
    <cellStyle name="Normal 15 2 2 3 3 5" xfId="13120" xr:uid="{00000000-0005-0000-0000-00003C330000}"/>
    <cellStyle name="Normal 15 2 2 3 3 5 2" xfId="13121" xr:uid="{00000000-0005-0000-0000-00003D330000}"/>
    <cellStyle name="Normal 15 2 2 3 3 6" xfId="13122" xr:uid="{00000000-0005-0000-0000-00003E330000}"/>
    <cellStyle name="Normal 15 2 2 3 4" xfId="13123" xr:uid="{00000000-0005-0000-0000-00003F330000}"/>
    <cellStyle name="Normal 15 2 2 3 4 2" xfId="13124" xr:uid="{00000000-0005-0000-0000-000040330000}"/>
    <cellStyle name="Normal 15 2 2 3 4 2 2" xfId="13125" xr:uid="{00000000-0005-0000-0000-000041330000}"/>
    <cellStyle name="Normal 15 2 2 3 4 3" xfId="13126" xr:uid="{00000000-0005-0000-0000-000042330000}"/>
    <cellStyle name="Normal 15 2 2 3 5" xfId="13127" xr:uid="{00000000-0005-0000-0000-000043330000}"/>
    <cellStyle name="Normal 15 2 2 3 5 2" xfId="13128" xr:uid="{00000000-0005-0000-0000-000044330000}"/>
    <cellStyle name="Normal 15 2 2 3 6" xfId="13129" xr:uid="{00000000-0005-0000-0000-000045330000}"/>
    <cellStyle name="Normal 15 2 2 3 6 2" xfId="13130" xr:uid="{00000000-0005-0000-0000-000046330000}"/>
    <cellStyle name="Normal 15 2 2 3 7" xfId="13131" xr:uid="{00000000-0005-0000-0000-000047330000}"/>
    <cellStyle name="Normal 15 2 2 3 7 2" xfId="13132" xr:uid="{00000000-0005-0000-0000-000048330000}"/>
    <cellStyle name="Normal 15 2 2 3 8" xfId="13133" xr:uid="{00000000-0005-0000-0000-000049330000}"/>
    <cellStyle name="Normal 15 2 2 4" xfId="13134" xr:uid="{00000000-0005-0000-0000-00004A330000}"/>
    <cellStyle name="Normal 15 2 2 4 2" xfId="13135" xr:uid="{00000000-0005-0000-0000-00004B330000}"/>
    <cellStyle name="Normal 15 2 2 4 2 2" xfId="13136" xr:uid="{00000000-0005-0000-0000-00004C330000}"/>
    <cellStyle name="Normal 15 2 2 4 2 2 2" xfId="13137" xr:uid="{00000000-0005-0000-0000-00004D330000}"/>
    <cellStyle name="Normal 15 2 2 4 2 3" xfId="13138" xr:uid="{00000000-0005-0000-0000-00004E330000}"/>
    <cellStyle name="Normal 15 2 2 4 2 3 2" xfId="13139" xr:uid="{00000000-0005-0000-0000-00004F330000}"/>
    <cellStyle name="Normal 15 2 2 4 2 4" xfId="13140" xr:uid="{00000000-0005-0000-0000-000050330000}"/>
    <cellStyle name="Normal 15 2 2 4 3" xfId="13141" xr:uid="{00000000-0005-0000-0000-000051330000}"/>
    <cellStyle name="Normal 15 2 2 4 3 2" xfId="13142" xr:uid="{00000000-0005-0000-0000-000052330000}"/>
    <cellStyle name="Normal 15 2 2 4 4" xfId="13143" xr:uid="{00000000-0005-0000-0000-000053330000}"/>
    <cellStyle name="Normal 15 2 2 4 4 2" xfId="13144" xr:uid="{00000000-0005-0000-0000-000054330000}"/>
    <cellStyle name="Normal 15 2 2 4 5" xfId="13145" xr:uid="{00000000-0005-0000-0000-000055330000}"/>
    <cellStyle name="Normal 15 2 2 4 5 2" xfId="13146" xr:uid="{00000000-0005-0000-0000-000056330000}"/>
    <cellStyle name="Normal 15 2 2 4 6" xfId="13147" xr:uid="{00000000-0005-0000-0000-000057330000}"/>
    <cellStyle name="Normal 15 2 2 4 6 2" xfId="13148" xr:uid="{00000000-0005-0000-0000-000058330000}"/>
    <cellStyle name="Normal 15 2 2 4 7" xfId="13149" xr:uid="{00000000-0005-0000-0000-000059330000}"/>
    <cellStyle name="Normal 15 2 2 5" xfId="13150" xr:uid="{00000000-0005-0000-0000-00005A330000}"/>
    <cellStyle name="Normal 15 2 2 5 2" xfId="13151" xr:uid="{00000000-0005-0000-0000-00005B330000}"/>
    <cellStyle name="Normal 15 2 2 5 2 2" xfId="13152" xr:uid="{00000000-0005-0000-0000-00005C330000}"/>
    <cellStyle name="Normal 15 2 2 5 3" xfId="13153" xr:uid="{00000000-0005-0000-0000-00005D330000}"/>
    <cellStyle name="Normal 15 2 2 5 3 2" xfId="13154" xr:uid="{00000000-0005-0000-0000-00005E330000}"/>
    <cellStyle name="Normal 15 2 2 5 4" xfId="13155" xr:uid="{00000000-0005-0000-0000-00005F330000}"/>
    <cellStyle name="Normal 15 2 2 5 4 2" xfId="13156" xr:uid="{00000000-0005-0000-0000-000060330000}"/>
    <cellStyle name="Normal 15 2 2 5 5" xfId="13157" xr:uid="{00000000-0005-0000-0000-000061330000}"/>
    <cellStyle name="Normal 15 2 2 5 5 2" xfId="13158" xr:uid="{00000000-0005-0000-0000-000062330000}"/>
    <cellStyle name="Normal 15 2 2 5 6" xfId="13159" xr:uid="{00000000-0005-0000-0000-000063330000}"/>
    <cellStyle name="Normal 15 2 2 6" xfId="13160" xr:uid="{00000000-0005-0000-0000-000064330000}"/>
    <cellStyle name="Normal 15 2 2 6 2" xfId="13161" xr:uid="{00000000-0005-0000-0000-000065330000}"/>
    <cellStyle name="Normal 15 2 2 6 2 2" xfId="13162" xr:uid="{00000000-0005-0000-0000-000066330000}"/>
    <cellStyle name="Normal 15 2 2 6 3" xfId="13163" xr:uid="{00000000-0005-0000-0000-000067330000}"/>
    <cellStyle name="Normal 15 2 2 7" xfId="13164" xr:uid="{00000000-0005-0000-0000-000068330000}"/>
    <cellStyle name="Normal 15 2 2 7 2" xfId="13165" xr:uid="{00000000-0005-0000-0000-000069330000}"/>
    <cellStyle name="Normal 15 2 2 8" xfId="13166" xr:uid="{00000000-0005-0000-0000-00006A330000}"/>
    <cellStyle name="Normal 15 2 2 8 2" xfId="13167" xr:uid="{00000000-0005-0000-0000-00006B330000}"/>
    <cellStyle name="Normal 15 2 2 9" xfId="13168" xr:uid="{00000000-0005-0000-0000-00006C330000}"/>
    <cellStyle name="Normal 15 2 2 9 2" xfId="13169" xr:uid="{00000000-0005-0000-0000-00006D330000}"/>
    <cellStyle name="Normal 15 2 3" xfId="13170" xr:uid="{00000000-0005-0000-0000-00006E330000}"/>
    <cellStyle name="Normal 15 2 3 2" xfId="13171" xr:uid="{00000000-0005-0000-0000-00006F330000}"/>
    <cellStyle name="Normal 15 2 3 2 2" xfId="13172" xr:uid="{00000000-0005-0000-0000-000070330000}"/>
    <cellStyle name="Normal 15 2 3 2 2 2" xfId="13173" xr:uid="{00000000-0005-0000-0000-000071330000}"/>
    <cellStyle name="Normal 15 2 3 2 2 2 2" xfId="13174" xr:uid="{00000000-0005-0000-0000-000072330000}"/>
    <cellStyle name="Normal 15 2 3 2 2 3" xfId="13175" xr:uid="{00000000-0005-0000-0000-000073330000}"/>
    <cellStyle name="Normal 15 2 3 2 2 3 2" xfId="13176" xr:uid="{00000000-0005-0000-0000-000074330000}"/>
    <cellStyle name="Normal 15 2 3 2 2 4" xfId="13177" xr:uid="{00000000-0005-0000-0000-000075330000}"/>
    <cellStyle name="Normal 15 2 3 2 3" xfId="13178" xr:uid="{00000000-0005-0000-0000-000076330000}"/>
    <cellStyle name="Normal 15 2 3 2 3 2" xfId="13179" xr:uid="{00000000-0005-0000-0000-000077330000}"/>
    <cellStyle name="Normal 15 2 3 2 4" xfId="13180" xr:uid="{00000000-0005-0000-0000-000078330000}"/>
    <cellStyle name="Normal 15 2 3 2 4 2" xfId="13181" xr:uid="{00000000-0005-0000-0000-000079330000}"/>
    <cellStyle name="Normal 15 2 3 2 5" xfId="13182" xr:uid="{00000000-0005-0000-0000-00007A330000}"/>
    <cellStyle name="Normal 15 2 3 2 5 2" xfId="13183" xr:uid="{00000000-0005-0000-0000-00007B330000}"/>
    <cellStyle name="Normal 15 2 3 2 6" xfId="13184" xr:uid="{00000000-0005-0000-0000-00007C330000}"/>
    <cellStyle name="Normal 15 2 3 2 6 2" xfId="13185" xr:uid="{00000000-0005-0000-0000-00007D330000}"/>
    <cellStyle name="Normal 15 2 3 2 7" xfId="13186" xr:uid="{00000000-0005-0000-0000-00007E330000}"/>
    <cellStyle name="Normal 15 2 3 3" xfId="13187" xr:uid="{00000000-0005-0000-0000-00007F330000}"/>
    <cellStyle name="Normal 15 2 3 3 2" xfId="13188" xr:uid="{00000000-0005-0000-0000-000080330000}"/>
    <cellStyle name="Normal 15 2 3 3 2 2" xfId="13189" xr:uid="{00000000-0005-0000-0000-000081330000}"/>
    <cellStyle name="Normal 15 2 3 3 3" xfId="13190" xr:uid="{00000000-0005-0000-0000-000082330000}"/>
    <cellStyle name="Normal 15 2 3 3 3 2" xfId="13191" xr:uid="{00000000-0005-0000-0000-000083330000}"/>
    <cellStyle name="Normal 15 2 3 3 4" xfId="13192" xr:uid="{00000000-0005-0000-0000-000084330000}"/>
    <cellStyle name="Normal 15 2 3 3 4 2" xfId="13193" xr:uid="{00000000-0005-0000-0000-000085330000}"/>
    <cellStyle name="Normal 15 2 3 3 5" xfId="13194" xr:uid="{00000000-0005-0000-0000-000086330000}"/>
    <cellStyle name="Normal 15 2 3 3 5 2" xfId="13195" xr:uid="{00000000-0005-0000-0000-000087330000}"/>
    <cellStyle name="Normal 15 2 3 3 6" xfId="13196" xr:uid="{00000000-0005-0000-0000-000088330000}"/>
    <cellStyle name="Normal 15 2 3 4" xfId="13197" xr:uid="{00000000-0005-0000-0000-000089330000}"/>
    <cellStyle name="Normal 15 2 3 4 2" xfId="13198" xr:uid="{00000000-0005-0000-0000-00008A330000}"/>
    <cellStyle name="Normal 15 2 3 4 2 2" xfId="13199" xr:uid="{00000000-0005-0000-0000-00008B330000}"/>
    <cellStyle name="Normal 15 2 3 4 3" xfId="13200" xr:uid="{00000000-0005-0000-0000-00008C330000}"/>
    <cellStyle name="Normal 15 2 3 5" xfId="13201" xr:uid="{00000000-0005-0000-0000-00008D330000}"/>
    <cellStyle name="Normal 15 2 3 5 2" xfId="13202" xr:uid="{00000000-0005-0000-0000-00008E330000}"/>
    <cellStyle name="Normal 15 2 3 6" xfId="13203" xr:uid="{00000000-0005-0000-0000-00008F330000}"/>
    <cellStyle name="Normal 15 2 3 6 2" xfId="13204" xr:uid="{00000000-0005-0000-0000-000090330000}"/>
    <cellStyle name="Normal 15 2 3 7" xfId="13205" xr:uid="{00000000-0005-0000-0000-000091330000}"/>
    <cellStyle name="Normal 15 2 3 7 2" xfId="13206" xr:uid="{00000000-0005-0000-0000-000092330000}"/>
    <cellStyle name="Normal 15 2 3 8" xfId="13207" xr:uid="{00000000-0005-0000-0000-000093330000}"/>
    <cellStyle name="Normal 15 2 4" xfId="13208" xr:uid="{00000000-0005-0000-0000-000094330000}"/>
    <cellStyle name="Normal 15 2 4 2" xfId="13209" xr:uid="{00000000-0005-0000-0000-000095330000}"/>
    <cellStyle name="Normal 15 2 4 2 2" xfId="13210" xr:uid="{00000000-0005-0000-0000-000096330000}"/>
    <cellStyle name="Normal 15 2 4 2 2 2" xfId="13211" xr:uid="{00000000-0005-0000-0000-000097330000}"/>
    <cellStyle name="Normal 15 2 4 2 2 2 2" xfId="13212" xr:uid="{00000000-0005-0000-0000-000098330000}"/>
    <cellStyle name="Normal 15 2 4 2 2 3" xfId="13213" xr:uid="{00000000-0005-0000-0000-000099330000}"/>
    <cellStyle name="Normal 15 2 4 2 2 3 2" xfId="13214" xr:uid="{00000000-0005-0000-0000-00009A330000}"/>
    <cellStyle name="Normal 15 2 4 2 2 4" xfId="13215" xr:uid="{00000000-0005-0000-0000-00009B330000}"/>
    <cellStyle name="Normal 15 2 4 2 3" xfId="13216" xr:uid="{00000000-0005-0000-0000-00009C330000}"/>
    <cellStyle name="Normal 15 2 4 2 3 2" xfId="13217" xr:uid="{00000000-0005-0000-0000-00009D330000}"/>
    <cellStyle name="Normal 15 2 4 2 4" xfId="13218" xr:uid="{00000000-0005-0000-0000-00009E330000}"/>
    <cellStyle name="Normal 15 2 4 2 4 2" xfId="13219" xr:uid="{00000000-0005-0000-0000-00009F330000}"/>
    <cellStyle name="Normal 15 2 4 2 5" xfId="13220" xr:uid="{00000000-0005-0000-0000-0000A0330000}"/>
    <cellStyle name="Normal 15 2 4 2 5 2" xfId="13221" xr:uid="{00000000-0005-0000-0000-0000A1330000}"/>
    <cellStyle name="Normal 15 2 4 2 6" xfId="13222" xr:uid="{00000000-0005-0000-0000-0000A2330000}"/>
    <cellStyle name="Normal 15 2 4 2 6 2" xfId="13223" xr:uid="{00000000-0005-0000-0000-0000A3330000}"/>
    <cellStyle name="Normal 15 2 4 2 7" xfId="13224" xr:uid="{00000000-0005-0000-0000-0000A4330000}"/>
    <cellStyle name="Normal 15 2 4 3" xfId="13225" xr:uid="{00000000-0005-0000-0000-0000A5330000}"/>
    <cellStyle name="Normal 15 2 4 3 2" xfId="13226" xr:uid="{00000000-0005-0000-0000-0000A6330000}"/>
    <cellStyle name="Normal 15 2 4 3 2 2" xfId="13227" xr:uid="{00000000-0005-0000-0000-0000A7330000}"/>
    <cellStyle name="Normal 15 2 4 3 3" xfId="13228" xr:uid="{00000000-0005-0000-0000-0000A8330000}"/>
    <cellStyle name="Normal 15 2 4 3 3 2" xfId="13229" xr:uid="{00000000-0005-0000-0000-0000A9330000}"/>
    <cellStyle name="Normal 15 2 4 3 4" xfId="13230" xr:uid="{00000000-0005-0000-0000-0000AA330000}"/>
    <cellStyle name="Normal 15 2 4 3 4 2" xfId="13231" xr:uid="{00000000-0005-0000-0000-0000AB330000}"/>
    <cellStyle name="Normal 15 2 4 3 5" xfId="13232" xr:uid="{00000000-0005-0000-0000-0000AC330000}"/>
    <cellStyle name="Normal 15 2 4 3 5 2" xfId="13233" xr:uid="{00000000-0005-0000-0000-0000AD330000}"/>
    <cellStyle name="Normal 15 2 4 3 6" xfId="13234" xr:uid="{00000000-0005-0000-0000-0000AE330000}"/>
    <cellStyle name="Normal 15 2 4 4" xfId="13235" xr:uid="{00000000-0005-0000-0000-0000AF330000}"/>
    <cellStyle name="Normal 15 2 4 4 2" xfId="13236" xr:uid="{00000000-0005-0000-0000-0000B0330000}"/>
    <cellStyle name="Normal 15 2 4 4 2 2" xfId="13237" xr:uid="{00000000-0005-0000-0000-0000B1330000}"/>
    <cellStyle name="Normal 15 2 4 4 3" xfId="13238" xr:uid="{00000000-0005-0000-0000-0000B2330000}"/>
    <cellStyle name="Normal 15 2 4 5" xfId="13239" xr:uid="{00000000-0005-0000-0000-0000B3330000}"/>
    <cellStyle name="Normal 15 2 4 5 2" xfId="13240" xr:uid="{00000000-0005-0000-0000-0000B4330000}"/>
    <cellStyle name="Normal 15 2 4 6" xfId="13241" xr:uid="{00000000-0005-0000-0000-0000B5330000}"/>
    <cellStyle name="Normal 15 2 4 6 2" xfId="13242" xr:uid="{00000000-0005-0000-0000-0000B6330000}"/>
    <cellStyle name="Normal 15 2 4 7" xfId="13243" xr:uid="{00000000-0005-0000-0000-0000B7330000}"/>
    <cellStyle name="Normal 15 2 4 7 2" xfId="13244" xr:uid="{00000000-0005-0000-0000-0000B8330000}"/>
    <cellStyle name="Normal 15 2 4 8" xfId="13245" xr:uid="{00000000-0005-0000-0000-0000B9330000}"/>
    <cellStyle name="Normal 15 2 5" xfId="13246" xr:uid="{00000000-0005-0000-0000-0000BA330000}"/>
    <cellStyle name="Normal 15 2 5 2" xfId="13247" xr:uid="{00000000-0005-0000-0000-0000BB330000}"/>
    <cellStyle name="Normal 15 2 5 2 2" xfId="13248" xr:uid="{00000000-0005-0000-0000-0000BC330000}"/>
    <cellStyle name="Normal 15 2 5 2 2 2" xfId="13249" xr:uid="{00000000-0005-0000-0000-0000BD330000}"/>
    <cellStyle name="Normal 15 2 5 2 3" xfId="13250" xr:uid="{00000000-0005-0000-0000-0000BE330000}"/>
    <cellStyle name="Normal 15 2 5 2 3 2" xfId="13251" xr:uid="{00000000-0005-0000-0000-0000BF330000}"/>
    <cellStyle name="Normal 15 2 5 2 4" xfId="13252" xr:uid="{00000000-0005-0000-0000-0000C0330000}"/>
    <cellStyle name="Normal 15 2 5 3" xfId="13253" xr:uid="{00000000-0005-0000-0000-0000C1330000}"/>
    <cellStyle name="Normal 15 2 5 3 2" xfId="13254" xr:uid="{00000000-0005-0000-0000-0000C2330000}"/>
    <cellStyle name="Normal 15 2 5 4" xfId="13255" xr:uid="{00000000-0005-0000-0000-0000C3330000}"/>
    <cellStyle name="Normal 15 2 5 4 2" xfId="13256" xr:uid="{00000000-0005-0000-0000-0000C4330000}"/>
    <cellStyle name="Normal 15 2 5 5" xfId="13257" xr:uid="{00000000-0005-0000-0000-0000C5330000}"/>
    <cellStyle name="Normal 15 2 5 5 2" xfId="13258" xr:uid="{00000000-0005-0000-0000-0000C6330000}"/>
    <cellStyle name="Normal 15 2 5 6" xfId="13259" xr:uid="{00000000-0005-0000-0000-0000C7330000}"/>
    <cellStyle name="Normal 15 2 5 6 2" xfId="13260" xr:uid="{00000000-0005-0000-0000-0000C8330000}"/>
    <cellStyle name="Normal 15 2 5 7" xfId="13261" xr:uid="{00000000-0005-0000-0000-0000C9330000}"/>
    <cellStyle name="Normal 15 2 6" xfId="13262" xr:uid="{00000000-0005-0000-0000-0000CA330000}"/>
    <cellStyle name="Normal 15 2 6 2" xfId="13263" xr:uid="{00000000-0005-0000-0000-0000CB330000}"/>
    <cellStyle name="Normal 15 2 6 2 2" xfId="13264" xr:uid="{00000000-0005-0000-0000-0000CC330000}"/>
    <cellStyle name="Normal 15 2 6 3" xfId="13265" xr:uid="{00000000-0005-0000-0000-0000CD330000}"/>
    <cellStyle name="Normal 15 2 6 3 2" xfId="13266" xr:uid="{00000000-0005-0000-0000-0000CE330000}"/>
    <cellStyle name="Normal 15 2 6 4" xfId="13267" xr:uid="{00000000-0005-0000-0000-0000CF330000}"/>
    <cellStyle name="Normal 15 2 6 4 2" xfId="13268" xr:uid="{00000000-0005-0000-0000-0000D0330000}"/>
    <cellStyle name="Normal 15 2 6 5" xfId="13269" xr:uid="{00000000-0005-0000-0000-0000D1330000}"/>
    <cellStyle name="Normal 15 2 6 5 2" xfId="13270" xr:uid="{00000000-0005-0000-0000-0000D2330000}"/>
    <cellStyle name="Normal 15 2 6 6" xfId="13271" xr:uid="{00000000-0005-0000-0000-0000D3330000}"/>
    <cellStyle name="Normal 15 2 7" xfId="13272" xr:uid="{00000000-0005-0000-0000-0000D4330000}"/>
    <cellStyle name="Normal 15 2 7 2" xfId="13273" xr:uid="{00000000-0005-0000-0000-0000D5330000}"/>
    <cellStyle name="Normal 15 2 7 2 2" xfId="13274" xr:uid="{00000000-0005-0000-0000-0000D6330000}"/>
    <cellStyle name="Normal 15 2 7 3" xfId="13275" xr:uid="{00000000-0005-0000-0000-0000D7330000}"/>
    <cellStyle name="Normal 15 2 8" xfId="13276" xr:uid="{00000000-0005-0000-0000-0000D8330000}"/>
    <cellStyle name="Normal 15 2 8 2" xfId="13277" xr:uid="{00000000-0005-0000-0000-0000D9330000}"/>
    <cellStyle name="Normal 15 2 9" xfId="13278" xr:uid="{00000000-0005-0000-0000-0000DA330000}"/>
    <cellStyle name="Normal 15 2 9 2" xfId="13279" xr:uid="{00000000-0005-0000-0000-0000DB330000}"/>
    <cellStyle name="Normal 15 3" xfId="13280" xr:uid="{00000000-0005-0000-0000-0000DC330000}"/>
    <cellStyle name="Normal 15 3 10" xfId="13281" xr:uid="{00000000-0005-0000-0000-0000DD330000}"/>
    <cellStyle name="Normal 15 3 2" xfId="13282" xr:uid="{00000000-0005-0000-0000-0000DE330000}"/>
    <cellStyle name="Normal 15 3 2 2" xfId="13283" xr:uid="{00000000-0005-0000-0000-0000DF330000}"/>
    <cellStyle name="Normal 15 3 2 2 2" xfId="13284" xr:uid="{00000000-0005-0000-0000-0000E0330000}"/>
    <cellStyle name="Normal 15 3 2 2 2 2" xfId="13285" xr:uid="{00000000-0005-0000-0000-0000E1330000}"/>
    <cellStyle name="Normal 15 3 2 2 2 2 2" xfId="13286" xr:uid="{00000000-0005-0000-0000-0000E2330000}"/>
    <cellStyle name="Normal 15 3 2 2 2 3" xfId="13287" xr:uid="{00000000-0005-0000-0000-0000E3330000}"/>
    <cellStyle name="Normal 15 3 2 2 2 3 2" xfId="13288" xr:uid="{00000000-0005-0000-0000-0000E4330000}"/>
    <cellStyle name="Normal 15 3 2 2 2 4" xfId="13289" xr:uid="{00000000-0005-0000-0000-0000E5330000}"/>
    <cellStyle name="Normal 15 3 2 2 3" xfId="13290" xr:uid="{00000000-0005-0000-0000-0000E6330000}"/>
    <cellStyle name="Normal 15 3 2 2 3 2" xfId="13291" xr:uid="{00000000-0005-0000-0000-0000E7330000}"/>
    <cellStyle name="Normal 15 3 2 2 4" xfId="13292" xr:uid="{00000000-0005-0000-0000-0000E8330000}"/>
    <cellStyle name="Normal 15 3 2 2 4 2" xfId="13293" xr:uid="{00000000-0005-0000-0000-0000E9330000}"/>
    <cellStyle name="Normal 15 3 2 2 5" xfId="13294" xr:uid="{00000000-0005-0000-0000-0000EA330000}"/>
    <cellStyle name="Normal 15 3 2 2 5 2" xfId="13295" xr:uid="{00000000-0005-0000-0000-0000EB330000}"/>
    <cellStyle name="Normal 15 3 2 2 6" xfId="13296" xr:uid="{00000000-0005-0000-0000-0000EC330000}"/>
    <cellStyle name="Normal 15 3 2 2 6 2" xfId="13297" xr:uid="{00000000-0005-0000-0000-0000ED330000}"/>
    <cellStyle name="Normal 15 3 2 2 7" xfId="13298" xr:uid="{00000000-0005-0000-0000-0000EE330000}"/>
    <cellStyle name="Normal 15 3 2 3" xfId="13299" xr:uid="{00000000-0005-0000-0000-0000EF330000}"/>
    <cellStyle name="Normal 15 3 2 3 2" xfId="13300" xr:uid="{00000000-0005-0000-0000-0000F0330000}"/>
    <cellStyle name="Normal 15 3 2 3 2 2" xfId="13301" xr:uid="{00000000-0005-0000-0000-0000F1330000}"/>
    <cellStyle name="Normal 15 3 2 3 3" xfId="13302" xr:uid="{00000000-0005-0000-0000-0000F2330000}"/>
    <cellStyle name="Normal 15 3 2 3 3 2" xfId="13303" xr:uid="{00000000-0005-0000-0000-0000F3330000}"/>
    <cellStyle name="Normal 15 3 2 3 4" xfId="13304" xr:uid="{00000000-0005-0000-0000-0000F4330000}"/>
    <cellStyle name="Normal 15 3 2 3 4 2" xfId="13305" xr:uid="{00000000-0005-0000-0000-0000F5330000}"/>
    <cellStyle name="Normal 15 3 2 3 5" xfId="13306" xr:uid="{00000000-0005-0000-0000-0000F6330000}"/>
    <cellStyle name="Normal 15 3 2 3 5 2" xfId="13307" xr:uid="{00000000-0005-0000-0000-0000F7330000}"/>
    <cellStyle name="Normal 15 3 2 3 6" xfId="13308" xr:uid="{00000000-0005-0000-0000-0000F8330000}"/>
    <cellStyle name="Normal 15 3 2 4" xfId="13309" xr:uid="{00000000-0005-0000-0000-0000F9330000}"/>
    <cellStyle name="Normal 15 3 2 4 2" xfId="13310" xr:uid="{00000000-0005-0000-0000-0000FA330000}"/>
    <cellStyle name="Normal 15 3 2 4 2 2" xfId="13311" xr:uid="{00000000-0005-0000-0000-0000FB330000}"/>
    <cellStyle name="Normal 15 3 2 4 3" xfId="13312" xr:uid="{00000000-0005-0000-0000-0000FC330000}"/>
    <cellStyle name="Normal 15 3 2 5" xfId="13313" xr:uid="{00000000-0005-0000-0000-0000FD330000}"/>
    <cellStyle name="Normal 15 3 2 5 2" xfId="13314" xr:uid="{00000000-0005-0000-0000-0000FE330000}"/>
    <cellStyle name="Normal 15 3 2 6" xfId="13315" xr:uid="{00000000-0005-0000-0000-0000FF330000}"/>
    <cellStyle name="Normal 15 3 2 6 2" xfId="13316" xr:uid="{00000000-0005-0000-0000-000000340000}"/>
    <cellStyle name="Normal 15 3 2 7" xfId="13317" xr:uid="{00000000-0005-0000-0000-000001340000}"/>
    <cellStyle name="Normal 15 3 2 7 2" xfId="13318" xr:uid="{00000000-0005-0000-0000-000002340000}"/>
    <cellStyle name="Normal 15 3 2 8" xfId="13319" xr:uid="{00000000-0005-0000-0000-000003340000}"/>
    <cellStyle name="Normal 15 3 3" xfId="13320" xr:uid="{00000000-0005-0000-0000-000004340000}"/>
    <cellStyle name="Normal 15 3 3 2" xfId="13321" xr:uid="{00000000-0005-0000-0000-000005340000}"/>
    <cellStyle name="Normal 15 3 3 2 2" xfId="13322" xr:uid="{00000000-0005-0000-0000-000006340000}"/>
    <cellStyle name="Normal 15 3 3 2 2 2" xfId="13323" xr:uid="{00000000-0005-0000-0000-000007340000}"/>
    <cellStyle name="Normal 15 3 3 2 2 2 2" xfId="13324" xr:uid="{00000000-0005-0000-0000-000008340000}"/>
    <cellStyle name="Normal 15 3 3 2 2 3" xfId="13325" xr:uid="{00000000-0005-0000-0000-000009340000}"/>
    <cellStyle name="Normal 15 3 3 2 2 3 2" xfId="13326" xr:uid="{00000000-0005-0000-0000-00000A340000}"/>
    <cellStyle name="Normal 15 3 3 2 2 4" xfId="13327" xr:uid="{00000000-0005-0000-0000-00000B340000}"/>
    <cellStyle name="Normal 15 3 3 2 3" xfId="13328" xr:uid="{00000000-0005-0000-0000-00000C340000}"/>
    <cellStyle name="Normal 15 3 3 2 3 2" xfId="13329" xr:uid="{00000000-0005-0000-0000-00000D340000}"/>
    <cellStyle name="Normal 15 3 3 2 4" xfId="13330" xr:uid="{00000000-0005-0000-0000-00000E340000}"/>
    <cellStyle name="Normal 15 3 3 2 4 2" xfId="13331" xr:uid="{00000000-0005-0000-0000-00000F340000}"/>
    <cellStyle name="Normal 15 3 3 2 5" xfId="13332" xr:uid="{00000000-0005-0000-0000-000010340000}"/>
    <cellStyle name="Normal 15 3 3 2 5 2" xfId="13333" xr:uid="{00000000-0005-0000-0000-000011340000}"/>
    <cellStyle name="Normal 15 3 3 2 6" xfId="13334" xr:uid="{00000000-0005-0000-0000-000012340000}"/>
    <cellStyle name="Normal 15 3 3 2 6 2" xfId="13335" xr:uid="{00000000-0005-0000-0000-000013340000}"/>
    <cellStyle name="Normal 15 3 3 2 7" xfId="13336" xr:uid="{00000000-0005-0000-0000-000014340000}"/>
    <cellStyle name="Normal 15 3 3 3" xfId="13337" xr:uid="{00000000-0005-0000-0000-000015340000}"/>
    <cellStyle name="Normal 15 3 3 3 2" xfId="13338" xr:uid="{00000000-0005-0000-0000-000016340000}"/>
    <cellStyle name="Normal 15 3 3 3 2 2" xfId="13339" xr:uid="{00000000-0005-0000-0000-000017340000}"/>
    <cellStyle name="Normal 15 3 3 3 3" xfId="13340" xr:uid="{00000000-0005-0000-0000-000018340000}"/>
    <cellStyle name="Normal 15 3 3 3 3 2" xfId="13341" xr:uid="{00000000-0005-0000-0000-000019340000}"/>
    <cellStyle name="Normal 15 3 3 3 4" xfId="13342" xr:uid="{00000000-0005-0000-0000-00001A340000}"/>
    <cellStyle name="Normal 15 3 3 3 4 2" xfId="13343" xr:uid="{00000000-0005-0000-0000-00001B340000}"/>
    <cellStyle name="Normal 15 3 3 3 5" xfId="13344" xr:uid="{00000000-0005-0000-0000-00001C340000}"/>
    <cellStyle name="Normal 15 3 3 3 5 2" xfId="13345" xr:uid="{00000000-0005-0000-0000-00001D340000}"/>
    <cellStyle name="Normal 15 3 3 3 6" xfId="13346" xr:uid="{00000000-0005-0000-0000-00001E340000}"/>
    <cellStyle name="Normal 15 3 3 4" xfId="13347" xr:uid="{00000000-0005-0000-0000-00001F340000}"/>
    <cellStyle name="Normal 15 3 3 4 2" xfId="13348" xr:uid="{00000000-0005-0000-0000-000020340000}"/>
    <cellStyle name="Normal 15 3 3 4 2 2" xfId="13349" xr:uid="{00000000-0005-0000-0000-000021340000}"/>
    <cellStyle name="Normal 15 3 3 4 3" xfId="13350" xr:uid="{00000000-0005-0000-0000-000022340000}"/>
    <cellStyle name="Normal 15 3 3 5" xfId="13351" xr:uid="{00000000-0005-0000-0000-000023340000}"/>
    <cellStyle name="Normal 15 3 3 5 2" xfId="13352" xr:uid="{00000000-0005-0000-0000-000024340000}"/>
    <cellStyle name="Normal 15 3 3 6" xfId="13353" xr:uid="{00000000-0005-0000-0000-000025340000}"/>
    <cellStyle name="Normal 15 3 3 6 2" xfId="13354" xr:uid="{00000000-0005-0000-0000-000026340000}"/>
    <cellStyle name="Normal 15 3 3 7" xfId="13355" xr:uid="{00000000-0005-0000-0000-000027340000}"/>
    <cellStyle name="Normal 15 3 3 7 2" xfId="13356" xr:uid="{00000000-0005-0000-0000-000028340000}"/>
    <cellStyle name="Normal 15 3 3 8" xfId="13357" xr:uid="{00000000-0005-0000-0000-000029340000}"/>
    <cellStyle name="Normal 15 3 4" xfId="13358" xr:uid="{00000000-0005-0000-0000-00002A340000}"/>
    <cellStyle name="Normal 15 3 4 2" xfId="13359" xr:uid="{00000000-0005-0000-0000-00002B340000}"/>
    <cellStyle name="Normal 15 3 4 2 2" xfId="13360" xr:uid="{00000000-0005-0000-0000-00002C340000}"/>
    <cellStyle name="Normal 15 3 4 2 2 2" xfId="13361" xr:uid="{00000000-0005-0000-0000-00002D340000}"/>
    <cellStyle name="Normal 15 3 4 2 3" xfId="13362" xr:uid="{00000000-0005-0000-0000-00002E340000}"/>
    <cellStyle name="Normal 15 3 4 2 3 2" xfId="13363" xr:uid="{00000000-0005-0000-0000-00002F340000}"/>
    <cellStyle name="Normal 15 3 4 2 4" xfId="13364" xr:uid="{00000000-0005-0000-0000-000030340000}"/>
    <cellStyle name="Normal 15 3 4 3" xfId="13365" xr:uid="{00000000-0005-0000-0000-000031340000}"/>
    <cellStyle name="Normal 15 3 4 3 2" xfId="13366" xr:uid="{00000000-0005-0000-0000-000032340000}"/>
    <cellStyle name="Normal 15 3 4 4" xfId="13367" xr:uid="{00000000-0005-0000-0000-000033340000}"/>
    <cellStyle name="Normal 15 3 4 4 2" xfId="13368" xr:uid="{00000000-0005-0000-0000-000034340000}"/>
    <cellStyle name="Normal 15 3 4 5" xfId="13369" xr:uid="{00000000-0005-0000-0000-000035340000}"/>
    <cellStyle name="Normal 15 3 4 5 2" xfId="13370" xr:uid="{00000000-0005-0000-0000-000036340000}"/>
    <cellStyle name="Normal 15 3 4 6" xfId="13371" xr:uid="{00000000-0005-0000-0000-000037340000}"/>
    <cellStyle name="Normal 15 3 4 6 2" xfId="13372" xr:uid="{00000000-0005-0000-0000-000038340000}"/>
    <cellStyle name="Normal 15 3 4 7" xfId="13373" xr:uid="{00000000-0005-0000-0000-000039340000}"/>
    <cellStyle name="Normal 15 3 5" xfId="13374" xr:uid="{00000000-0005-0000-0000-00003A340000}"/>
    <cellStyle name="Normal 15 3 5 2" xfId="13375" xr:uid="{00000000-0005-0000-0000-00003B340000}"/>
    <cellStyle name="Normal 15 3 5 2 2" xfId="13376" xr:uid="{00000000-0005-0000-0000-00003C340000}"/>
    <cellStyle name="Normal 15 3 5 3" xfId="13377" xr:uid="{00000000-0005-0000-0000-00003D340000}"/>
    <cellStyle name="Normal 15 3 5 3 2" xfId="13378" xr:uid="{00000000-0005-0000-0000-00003E340000}"/>
    <cellStyle name="Normal 15 3 5 4" xfId="13379" xr:uid="{00000000-0005-0000-0000-00003F340000}"/>
    <cellStyle name="Normal 15 3 5 4 2" xfId="13380" xr:uid="{00000000-0005-0000-0000-000040340000}"/>
    <cellStyle name="Normal 15 3 5 5" xfId="13381" xr:uid="{00000000-0005-0000-0000-000041340000}"/>
    <cellStyle name="Normal 15 3 5 5 2" xfId="13382" xr:uid="{00000000-0005-0000-0000-000042340000}"/>
    <cellStyle name="Normal 15 3 5 6" xfId="13383" xr:uid="{00000000-0005-0000-0000-000043340000}"/>
    <cellStyle name="Normal 15 3 6" xfId="13384" xr:uid="{00000000-0005-0000-0000-000044340000}"/>
    <cellStyle name="Normal 15 3 6 2" xfId="13385" xr:uid="{00000000-0005-0000-0000-000045340000}"/>
    <cellStyle name="Normal 15 3 6 2 2" xfId="13386" xr:uid="{00000000-0005-0000-0000-000046340000}"/>
    <cellStyle name="Normal 15 3 6 3" xfId="13387" xr:uid="{00000000-0005-0000-0000-000047340000}"/>
    <cellStyle name="Normal 15 3 7" xfId="13388" xr:uid="{00000000-0005-0000-0000-000048340000}"/>
    <cellStyle name="Normal 15 3 7 2" xfId="13389" xr:uid="{00000000-0005-0000-0000-000049340000}"/>
    <cellStyle name="Normal 15 3 8" xfId="13390" xr:uid="{00000000-0005-0000-0000-00004A340000}"/>
    <cellStyle name="Normal 15 3 8 2" xfId="13391" xr:uid="{00000000-0005-0000-0000-00004B340000}"/>
    <cellStyle name="Normal 15 3 9" xfId="13392" xr:uid="{00000000-0005-0000-0000-00004C340000}"/>
    <cellStyle name="Normal 15 3 9 2" xfId="13393" xr:uid="{00000000-0005-0000-0000-00004D340000}"/>
    <cellStyle name="Normal 15 4" xfId="13394" xr:uid="{00000000-0005-0000-0000-00004E340000}"/>
    <cellStyle name="Normal 15 4 2" xfId="13395" xr:uid="{00000000-0005-0000-0000-00004F340000}"/>
    <cellStyle name="Normal 15 4 2 2" xfId="13396" xr:uid="{00000000-0005-0000-0000-000050340000}"/>
    <cellStyle name="Normal 15 4 2 2 2" xfId="13397" xr:uid="{00000000-0005-0000-0000-000051340000}"/>
    <cellStyle name="Normal 15 4 2 2 2 2" xfId="13398" xr:uid="{00000000-0005-0000-0000-000052340000}"/>
    <cellStyle name="Normal 15 4 2 2 3" xfId="13399" xr:uid="{00000000-0005-0000-0000-000053340000}"/>
    <cellStyle name="Normal 15 4 2 2 3 2" xfId="13400" xr:uid="{00000000-0005-0000-0000-000054340000}"/>
    <cellStyle name="Normal 15 4 2 2 4" xfId="13401" xr:uid="{00000000-0005-0000-0000-000055340000}"/>
    <cellStyle name="Normal 15 4 2 3" xfId="13402" xr:uid="{00000000-0005-0000-0000-000056340000}"/>
    <cellStyle name="Normal 15 4 2 3 2" xfId="13403" xr:uid="{00000000-0005-0000-0000-000057340000}"/>
    <cellStyle name="Normal 15 4 2 4" xfId="13404" xr:uid="{00000000-0005-0000-0000-000058340000}"/>
    <cellStyle name="Normal 15 4 2 4 2" xfId="13405" xr:uid="{00000000-0005-0000-0000-000059340000}"/>
    <cellStyle name="Normal 15 4 2 5" xfId="13406" xr:uid="{00000000-0005-0000-0000-00005A340000}"/>
    <cellStyle name="Normal 15 4 2 5 2" xfId="13407" xr:uid="{00000000-0005-0000-0000-00005B340000}"/>
    <cellStyle name="Normal 15 4 2 6" xfId="13408" xr:uid="{00000000-0005-0000-0000-00005C340000}"/>
    <cellStyle name="Normal 15 4 2 6 2" xfId="13409" xr:uid="{00000000-0005-0000-0000-00005D340000}"/>
    <cellStyle name="Normal 15 4 2 7" xfId="13410" xr:uid="{00000000-0005-0000-0000-00005E340000}"/>
    <cellStyle name="Normal 15 4 3" xfId="13411" xr:uid="{00000000-0005-0000-0000-00005F340000}"/>
    <cellStyle name="Normal 15 4 3 2" xfId="13412" xr:uid="{00000000-0005-0000-0000-000060340000}"/>
    <cellStyle name="Normal 15 4 3 2 2" xfId="13413" xr:uid="{00000000-0005-0000-0000-000061340000}"/>
    <cellStyle name="Normal 15 4 3 3" xfId="13414" xr:uid="{00000000-0005-0000-0000-000062340000}"/>
    <cellStyle name="Normal 15 4 3 3 2" xfId="13415" xr:uid="{00000000-0005-0000-0000-000063340000}"/>
    <cellStyle name="Normal 15 4 3 4" xfId="13416" xr:uid="{00000000-0005-0000-0000-000064340000}"/>
    <cellStyle name="Normal 15 4 3 4 2" xfId="13417" xr:uid="{00000000-0005-0000-0000-000065340000}"/>
    <cellStyle name="Normal 15 4 3 5" xfId="13418" xr:uid="{00000000-0005-0000-0000-000066340000}"/>
    <cellStyle name="Normal 15 4 3 5 2" xfId="13419" xr:uid="{00000000-0005-0000-0000-000067340000}"/>
    <cellStyle name="Normal 15 4 3 6" xfId="13420" xr:uid="{00000000-0005-0000-0000-000068340000}"/>
    <cellStyle name="Normal 15 4 4" xfId="13421" xr:uid="{00000000-0005-0000-0000-000069340000}"/>
    <cellStyle name="Normal 15 4 4 2" xfId="13422" xr:uid="{00000000-0005-0000-0000-00006A340000}"/>
    <cellStyle name="Normal 15 4 4 2 2" xfId="13423" xr:uid="{00000000-0005-0000-0000-00006B340000}"/>
    <cellStyle name="Normal 15 4 4 3" xfId="13424" xr:uid="{00000000-0005-0000-0000-00006C340000}"/>
    <cellStyle name="Normal 15 4 5" xfId="13425" xr:uid="{00000000-0005-0000-0000-00006D340000}"/>
    <cellStyle name="Normal 15 4 5 2" xfId="13426" xr:uid="{00000000-0005-0000-0000-00006E340000}"/>
    <cellStyle name="Normal 15 4 6" xfId="13427" xr:uid="{00000000-0005-0000-0000-00006F340000}"/>
    <cellStyle name="Normal 15 4 6 2" xfId="13428" xr:uid="{00000000-0005-0000-0000-000070340000}"/>
    <cellStyle name="Normal 15 4 7" xfId="13429" xr:uid="{00000000-0005-0000-0000-000071340000}"/>
    <cellStyle name="Normal 15 4 7 2" xfId="13430" xr:uid="{00000000-0005-0000-0000-000072340000}"/>
    <cellStyle name="Normal 15 4 8" xfId="13431" xr:uid="{00000000-0005-0000-0000-000073340000}"/>
    <cellStyle name="Normal 15 5" xfId="13432" xr:uid="{00000000-0005-0000-0000-000074340000}"/>
    <cellStyle name="Normal 15 5 2" xfId="13433" xr:uid="{00000000-0005-0000-0000-000075340000}"/>
    <cellStyle name="Normal 15 5 2 2" xfId="13434" xr:uid="{00000000-0005-0000-0000-000076340000}"/>
    <cellStyle name="Normal 15 5 2 2 2" xfId="13435" xr:uid="{00000000-0005-0000-0000-000077340000}"/>
    <cellStyle name="Normal 15 5 2 2 2 2" xfId="13436" xr:uid="{00000000-0005-0000-0000-000078340000}"/>
    <cellStyle name="Normal 15 5 2 2 3" xfId="13437" xr:uid="{00000000-0005-0000-0000-000079340000}"/>
    <cellStyle name="Normal 15 5 2 2 3 2" xfId="13438" xr:uid="{00000000-0005-0000-0000-00007A340000}"/>
    <cellStyle name="Normal 15 5 2 2 4" xfId="13439" xr:uid="{00000000-0005-0000-0000-00007B340000}"/>
    <cellStyle name="Normal 15 5 2 3" xfId="13440" xr:uid="{00000000-0005-0000-0000-00007C340000}"/>
    <cellStyle name="Normal 15 5 2 3 2" xfId="13441" xr:uid="{00000000-0005-0000-0000-00007D340000}"/>
    <cellStyle name="Normal 15 5 2 4" xfId="13442" xr:uid="{00000000-0005-0000-0000-00007E340000}"/>
    <cellStyle name="Normal 15 5 2 4 2" xfId="13443" xr:uid="{00000000-0005-0000-0000-00007F340000}"/>
    <cellStyle name="Normal 15 5 2 5" xfId="13444" xr:uid="{00000000-0005-0000-0000-000080340000}"/>
    <cellStyle name="Normal 15 5 2 5 2" xfId="13445" xr:uid="{00000000-0005-0000-0000-000081340000}"/>
    <cellStyle name="Normal 15 5 2 6" xfId="13446" xr:uid="{00000000-0005-0000-0000-000082340000}"/>
    <cellStyle name="Normal 15 5 2 6 2" xfId="13447" xr:uid="{00000000-0005-0000-0000-000083340000}"/>
    <cellStyle name="Normal 15 5 2 7" xfId="13448" xr:uid="{00000000-0005-0000-0000-000084340000}"/>
    <cellStyle name="Normal 15 5 3" xfId="13449" xr:uid="{00000000-0005-0000-0000-000085340000}"/>
    <cellStyle name="Normal 15 5 3 2" xfId="13450" xr:uid="{00000000-0005-0000-0000-000086340000}"/>
    <cellStyle name="Normal 15 5 3 2 2" xfId="13451" xr:uid="{00000000-0005-0000-0000-000087340000}"/>
    <cellStyle name="Normal 15 5 3 3" xfId="13452" xr:uid="{00000000-0005-0000-0000-000088340000}"/>
    <cellStyle name="Normal 15 5 3 3 2" xfId="13453" xr:uid="{00000000-0005-0000-0000-000089340000}"/>
    <cellStyle name="Normal 15 5 3 4" xfId="13454" xr:uid="{00000000-0005-0000-0000-00008A340000}"/>
    <cellStyle name="Normal 15 5 3 4 2" xfId="13455" xr:uid="{00000000-0005-0000-0000-00008B340000}"/>
    <cellStyle name="Normal 15 5 3 5" xfId="13456" xr:uid="{00000000-0005-0000-0000-00008C340000}"/>
    <cellStyle name="Normal 15 5 3 5 2" xfId="13457" xr:uid="{00000000-0005-0000-0000-00008D340000}"/>
    <cellStyle name="Normal 15 5 3 6" xfId="13458" xr:uid="{00000000-0005-0000-0000-00008E340000}"/>
    <cellStyle name="Normal 15 5 4" xfId="13459" xr:uid="{00000000-0005-0000-0000-00008F340000}"/>
    <cellStyle name="Normal 15 5 4 2" xfId="13460" xr:uid="{00000000-0005-0000-0000-000090340000}"/>
    <cellStyle name="Normal 15 5 4 2 2" xfId="13461" xr:uid="{00000000-0005-0000-0000-000091340000}"/>
    <cellStyle name="Normal 15 5 4 3" xfId="13462" xr:uid="{00000000-0005-0000-0000-000092340000}"/>
    <cellStyle name="Normal 15 5 5" xfId="13463" xr:uid="{00000000-0005-0000-0000-000093340000}"/>
    <cellStyle name="Normal 15 5 5 2" xfId="13464" xr:uid="{00000000-0005-0000-0000-000094340000}"/>
    <cellStyle name="Normal 15 5 6" xfId="13465" xr:uid="{00000000-0005-0000-0000-000095340000}"/>
    <cellStyle name="Normal 15 5 6 2" xfId="13466" xr:uid="{00000000-0005-0000-0000-000096340000}"/>
    <cellStyle name="Normal 15 5 7" xfId="13467" xr:uid="{00000000-0005-0000-0000-000097340000}"/>
    <cellStyle name="Normal 15 5 7 2" xfId="13468" xr:uid="{00000000-0005-0000-0000-000098340000}"/>
    <cellStyle name="Normal 15 5 8" xfId="13469" xr:uid="{00000000-0005-0000-0000-000099340000}"/>
    <cellStyle name="Normal 15 6" xfId="13470" xr:uid="{00000000-0005-0000-0000-00009A340000}"/>
    <cellStyle name="Normal 15 6 2" xfId="13471" xr:uid="{00000000-0005-0000-0000-00009B340000}"/>
    <cellStyle name="Normal 15 6 2 2" xfId="13472" xr:uid="{00000000-0005-0000-0000-00009C340000}"/>
    <cellStyle name="Normal 15 6 2 2 2" xfId="13473" xr:uid="{00000000-0005-0000-0000-00009D340000}"/>
    <cellStyle name="Normal 15 6 2 3" xfId="13474" xr:uid="{00000000-0005-0000-0000-00009E340000}"/>
    <cellStyle name="Normal 15 6 2 3 2" xfId="13475" xr:uid="{00000000-0005-0000-0000-00009F340000}"/>
    <cellStyle name="Normal 15 6 2 4" xfId="13476" xr:uid="{00000000-0005-0000-0000-0000A0340000}"/>
    <cellStyle name="Normal 15 6 3" xfId="13477" xr:uid="{00000000-0005-0000-0000-0000A1340000}"/>
    <cellStyle name="Normal 15 6 3 2" xfId="13478" xr:uid="{00000000-0005-0000-0000-0000A2340000}"/>
    <cellStyle name="Normal 15 6 4" xfId="13479" xr:uid="{00000000-0005-0000-0000-0000A3340000}"/>
    <cellStyle name="Normal 15 6 4 2" xfId="13480" xr:uid="{00000000-0005-0000-0000-0000A4340000}"/>
    <cellStyle name="Normal 15 6 5" xfId="13481" xr:uid="{00000000-0005-0000-0000-0000A5340000}"/>
    <cellStyle name="Normal 15 6 5 2" xfId="13482" xr:uid="{00000000-0005-0000-0000-0000A6340000}"/>
    <cellStyle name="Normal 15 6 6" xfId="13483" xr:uid="{00000000-0005-0000-0000-0000A7340000}"/>
    <cellStyle name="Normal 15 6 6 2" xfId="13484" xr:uid="{00000000-0005-0000-0000-0000A8340000}"/>
    <cellStyle name="Normal 15 6 7" xfId="13485" xr:uid="{00000000-0005-0000-0000-0000A9340000}"/>
    <cellStyle name="Normal 15 7" xfId="13486" xr:uid="{00000000-0005-0000-0000-0000AA340000}"/>
    <cellStyle name="Normal 15 7 2" xfId="13487" xr:uid="{00000000-0005-0000-0000-0000AB340000}"/>
    <cellStyle name="Normal 15 7 2 2" xfId="13488" xr:uid="{00000000-0005-0000-0000-0000AC340000}"/>
    <cellStyle name="Normal 15 7 3" xfId="13489" xr:uid="{00000000-0005-0000-0000-0000AD340000}"/>
    <cellStyle name="Normal 15 7 4" xfId="13490" xr:uid="{00000000-0005-0000-0000-0000AE340000}"/>
    <cellStyle name="Normal 15 7 4 2" xfId="13491" xr:uid="{00000000-0005-0000-0000-0000AF340000}"/>
    <cellStyle name="Normal 15 7 5" xfId="13492" xr:uid="{00000000-0005-0000-0000-0000B0340000}"/>
    <cellStyle name="Normal 15 7 5 2" xfId="13493" xr:uid="{00000000-0005-0000-0000-0000B1340000}"/>
    <cellStyle name="Normal 15 7 6" xfId="13494" xr:uid="{00000000-0005-0000-0000-0000B2340000}"/>
    <cellStyle name="Normal 15 8" xfId="13495" xr:uid="{00000000-0005-0000-0000-0000B3340000}"/>
    <cellStyle name="Normal 15 8 2" xfId="13496" xr:uid="{00000000-0005-0000-0000-0000B4340000}"/>
    <cellStyle name="Normal 15 8 2 2" xfId="13497" xr:uid="{00000000-0005-0000-0000-0000B5340000}"/>
    <cellStyle name="Normal 15 8 3" xfId="13498" xr:uid="{00000000-0005-0000-0000-0000B6340000}"/>
    <cellStyle name="Normal 15 9" xfId="13499" xr:uid="{00000000-0005-0000-0000-0000B7340000}"/>
    <cellStyle name="Normal 15 9 2" xfId="13500" xr:uid="{00000000-0005-0000-0000-0000B8340000}"/>
    <cellStyle name="Normal 15 9 2 2" xfId="13501" xr:uid="{00000000-0005-0000-0000-0000B9340000}"/>
    <cellStyle name="Normal 15 9 3" xfId="13502" xr:uid="{00000000-0005-0000-0000-0000BA340000}"/>
    <cellStyle name="Normal 16" xfId="13503" xr:uid="{00000000-0005-0000-0000-0000BB340000}"/>
    <cellStyle name="Normal 16 10" xfId="13504" xr:uid="{00000000-0005-0000-0000-0000BC340000}"/>
    <cellStyle name="Normal 16 10 2" xfId="13505" xr:uid="{00000000-0005-0000-0000-0000BD340000}"/>
    <cellStyle name="Normal 16 11" xfId="13506" xr:uid="{00000000-0005-0000-0000-0000BE340000}"/>
    <cellStyle name="Normal 16 11 2" xfId="13507" xr:uid="{00000000-0005-0000-0000-0000BF340000}"/>
    <cellStyle name="Normal 16 12" xfId="13508" xr:uid="{00000000-0005-0000-0000-0000C0340000}"/>
    <cellStyle name="Normal 16 12 2" xfId="13509" xr:uid="{00000000-0005-0000-0000-0000C1340000}"/>
    <cellStyle name="Normal 16 13" xfId="13510" xr:uid="{00000000-0005-0000-0000-0000C2340000}"/>
    <cellStyle name="Normal 16 2" xfId="13511" xr:uid="{00000000-0005-0000-0000-0000C3340000}"/>
    <cellStyle name="Normal 16 2 10" xfId="13512" xr:uid="{00000000-0005-0000-0000-0000C4340000}"/>
    <cellStyle name="Normal 16 2 10 2" xfId="13513" xr:uid="{00000000-0005-0000-0000-0000C5340000}"/>
    <cellStyle name="Normal 16 2 11" xfId="13514" xr:uid="{00000000-0005-0000-0000-0000C6340000}"/>
    <cellStyle name="Normal 16 2 2" xfId="13515" xr:uid="{00000000-0005-0000-0000-0000C7340000}"/>
    <cellStyle name="Normal 16 2 2 10" xfId="13516" xr:uid="{00000000-0005-0000-0000-0000C8340000}"/>
    <cellStyle name="Normal 16 2 2 2" xfId="13517" xr:uid="{00000000-0005-0000-0000-0000C9340000}"/>
    <cellStyle name="Normal 16 2 2 2 2" xfId="13518" xr:uid="{00000000-0005-0000-0000-0000CA340000}"/>
    <cellStyle name="Normal 16 2 2 2 2 2" xfId="13519" xr:uid="{00000000-0005-0000-0000-0000CB340000}"/>
    <cellStyle name="Normal 16 2 2 2 2 2 2" xfId="13520" xr:uid="{00000000-0005-0000-0000-0000CC340000}"/>
    <cellStyle name="Normal 16 2 2 2 2 2 2 2" xfId="13521" xr:uid="{00000000-0005-0000-0000-0000CD340000}"/>
    <cellStyle name="Normal 16 2 2 2 2 2 3" xfId="13522" xr:uid="{00000000-0005-0000-0000-0000CE340000}"/>
    <cellStyle name="Normal 16 2 2 2 2 2 3 2" xfId="13523" xr:uid="{00000000-0005-0000-0000-0000CF340000}"/>
    <cellStyle name="Normal 16 2 2 2 2 2 4" xfId="13524" xr:uid="{00000000-0005-0000-0000-0000D0340000}"/>
    <cellStyle name="Normal 16 2 2 2 2 3" xfId="13525" xr:uid="{00000000-0005-0000-0000-0000D1340000}"/>
    <cellStyle name="Normal 16 2 2 2 2 3 2" xfId="13526" xr:uid="{00000000-0005-0000-0000-0000D2340000}"/>
    <cellStyle name="Normal 16 2 2 2 2 4" xfId="13527" xr:uid="{00000000-0005-0000-0000-0000D3340000}"/>
    <cellStyle name="Normal 16 2 2 2 2 4 2" xfId="13528" xr:uid="{00000000-0005-0000-0000-0000D4340000}"/>
    <cellStyle name="Normal 16 2 2 2 2 5" xfId="13529" xr:uid="{00000000-0005-0000-0000-0000D5340000}"/>
    <cellStyle name="Normal 16 2 2 2 2 5 2" xfId="13530" xr:uid="{00000000-0005-0000-0000-0000D6340000}"/>
    <cellStyle name="Normal 16 2 2 2 2 6" xfId="13531" xr:uid="{00000000-0005-0000-0000-0000D7340000}"/>
    <cellStyle name="Normal 16 2 2 2 2 6 2" xfId="13532" xr:uid="{00000000-0005-0000-0000-0000D8340000}"/>
    <cellStyle name="Normal 16 2 2 2 2 7" xfId="13533" xr:uid="{00000000-0005-0000-0000-0000D9340000}"/>
    <cellStyle name="Normal 16 2 2 2 3" xfId="13534" xr:uid="{00000000-0005-0000-0000-0000DA340000}"/>
    <cellStyle name="Normal 16 2 2 2 3 2" xfId="13535" xr:uid="{00000000-0005-0000-0000-0000DB340000}"/>
    <cellStyle name="Normal 16 2 2 2 3 2 2" xfId="13536" xr:uid="{00000000-0005-0000-0000-0000DC340000}"/>
    <cellStyle name="Normal 16 2 2 2 3 3" xfId="13537" xr:uid="{00000000-0005-0000-0000-0000DD340000}"/>
    <cellStyle name="Normal 16 2 2 2 3 3 2" xfId="13538" xr:uid="{00000000-0005-0000-0000-0000DE340000}"/>
    <cellStyle name="Normal 16 2 2 2 3 4" xfId="13539" xr:uid="{00000000-0005-0000-0000-0000DF340000}"/>
    <cellStyle name="Normal 16 2 2 2 3 4 2" xfId="13540" xr:uid="{00000000-0005-0000-0000-0000E0340000}"/>
    <cellStyle name="Normal 16 2 2 2 3 5" xfId="13541" xr:uid="{00000000-0005-0000-0000-0000E1340000}"/>
    <cellStyle name="Normal 16 2 2 2 3 5 2" xfId="13542" xr:uid="{00000000-0005-0000-0000-0000E2340000}"/>
    <cellStyle name="Normal 16 2 2 2 3 6" xfId="13543" xr:uid="{00000000-0005-0000-0000-0000E3340000}"/>
    <cellStyle name="Normal 16 2 2 2 4" xfId="13544" xr:uid="{00000000-0005-0000-0000-0000E4340000}"/>
    <cellStyle name="Normal 16 2 2 2 4 2" xfId="13545" xr:uid="{00000000-0005-0000-0000-0000E5340000}"/>
    <cellStyle name="Normal 16 2 2 2 4 2 2" xfId="13546" xr:uid="{00000000-0005-0000-0000-0000E6340000}"/>
    <cellStyle name="Normal 16 2 2 2 4 3" xfId="13547" xr:uid="{00000000-0005-0000-0000-0000E7340000}"/>
    <cellStyle name="Normal 16 2 2 2 5" xfId="13548" xr:uid="{00000000-0005-0000-0000-0000E8340000}"/>
    <cellStyle name="Normal 16 2 2 2 5 2" xfId="13549" xr:uid="{00000000-0005-0000-0000-0000E9340000}"/>
    <cellStyle name="Normal 16 2 2 2 6" xfId="13550" xr:uid="{00000000-0005-0000-0000-0000EA340000}"/>
    <cellStyle name="Normal 16 2 2 2 6 2" xfId="13551" xr:uid="{00000000-0005-0000-0000-0000EB340000}"/>
    <cellStyle name="Normal 16 2 2 2 7" xfId="13552" xr:uid="{00000000-0005-0000-0000-0000EC340000}"/>
    <cellStyle name="Normal 16 2 2 2 7 2" xfId="13553" xr:uid="{00000000-0005-0000-0000-0000ED340000}"/>
    <cellStyle name="Normal 16 2 2 2 8" xfId="13554" xr:uid="{00000000-0005-0000-0000-0000EE340000}"/>
    <cellStyle name="Normal 16 2 2 3" xfId="13555" xr:uid="{00000000-0005-0000-0000-0000EF340000}"/>
    <cellStyle name="Normal 16 2 2 3 2" xfId="13556" xr:uid="{00000000-0005-0000-0000-0000F0340000}"/>
    <cellStyle name="Normal 16 2 2 3 2 2" xfId="13557" xr:uid="{00000000-0005-0000-0000-0000F1340000}"/>
    <cellStyle name="Normal 16 2 2 3 2 2 2" xfId="13558" xr:uid="{00000000-0005-0000-0000-0000F2340000}"/>
    <cellStyle name="Normal 16 2 2 3 2 2 2 2" xfId="13559" xr:uid="{00000000-0005-0000-0000-0000F3340000}"/>
    <cellStyle name="Normal 16 2 2 3 2 2 3" xfId="13560" xr:uid="{00000000-0005-0000-0000-0000F4340000}"/>
    <cellStyle name="Normal 16 2 2 3 2 2 3 2" xfId="13561" xr:uid="{00000000-0005-0000-0000-0000F5340000}"/>
    <cellStyle name="Normal 16 2 2 3 2 2 4" xfId="13562" xr:uid="{00000000-0005-0000-0000-0000F6340000}"/>
    <cellStyle name="Normal 16 2 2 3 2 3" xfId="13563" xr:uid="{00000000-0005-0000-0000-0000F7340000}"/>
    <cellStyle name="Normal 16 2 2 3 2 3 2" xfId="13564" xr:uid="{00000000-0005-0000-0000-0000F8340000}"/>
    <cellStyle name="Normal 16 2 2 3 2 4" xfId="13565" xr:uid="{00000000-0005-0000-0000-0000F9340000}"/>
    <cellStyle name="Normal 16 2 2 3 2 4 2" xfId="13566" xr:uid="{00000000-0005-0000-0000-0000FA340000}"/>
    <cellStyle name="Normal 16 2 2 3 2 5" xfId="13567" xr:uid="{00000000-0005-0000-0000-0000FB340000}"/>
    <cellStyle name="Normal 16 2 2 3 2 5 2" xfId="13568" xr:uid="{00000000-0005-0000-0000-0000FC340000}"/>
    <cellStyle name="Normal 16 2 2 3 2 6" xfId="13569" xr:uid="{00000000-0005-0000-0000-0000FD340000}"/>
    <cellStyle name="Normal 16 2 2 3 2 6 2" xfId="13570" xr:uid="{00000000-0005-0000-0000-0000FE340000}"/>
    <cellStyle name="Normal 16 2 2 3 2 7" xfId="13571" xr:uid="{00000000-0005-0000-0000-0000FF340000}"/>
    <cellStyle name="Normal 16 2 2 3 3" xfId="13572" xr:uid="{00000000-0005-0000-0000-000000350000}"/>
    <cellStyle name="Normal 16 2 2 3 3 2" xfId="13573" xr:uid="{00000000-0005-0000-0000-000001350000}"/>
    <cellStyle name="Normal 16 2 2 3 3 2 2" xfId="13574" xr:uid="{00000000-0005-0000-0000-000002350000}"/>
    <cellStyle name="Normal 16 2 2 3 3 3" xfId="13575" xr:uid="{00000000-0005-0000-0000-000003350000}"/>
    <cellStyle name="Normal 16 2 2 3 3 3 2" xfId="13576" xr:uid="{00000000-0005-0000-0000-000004350000}"/>
    <cellStyle name="Normal 16 2 2 3 3 4" xfId="13577" xr:uid="{00000000-0005-0000-0000-000005350000}"/>
    <cellStyle name="Normal 16 2 2 3 3 4 2" xfId="13578" xr:uid="{00000000-0005-0000-0000-000006350000}"/>
    <cellStyle name="Normal 16 2 2 3 3 5" xfId="13579" xr:uid="{00000000-0005-0000-0000-000007350000}"/>
    <cellStyle name="Normal 16 2 2 3 3 5 2" xfId="13580" xr:uid="{00000000-0005-0000-0000-000008350000}"/>
    <cellStyle name="Normal 16 2 2 3 3 6" xfId="13581" xr:uid="{00000000-0005-0000-0000-000009350000}"/>
    <cellStyle name="Normal 16 2 2 3 4" xfId="13582" xr:uid="{00000000-0005-0000-0000-00000A350000}"/>
    <cellStyle name="Normal 16 2 2 3 4 2" xfId="13583" xr:uid="{00000000-0005-0000-0000-00000B350000}"/>
    <cellStyle name="Normal 16 2 2 3 4 2 2" xfId="13584" xr:uid="{00000000-0005-0000-0000-00000C350000}"/>
    <cellStyle name="Normal 16 2 2 3 4 3" xfId="13585" xr:uid="{00000000-0005-0000-0000-00000D350000}"/>
    <cellStyle name="Normal 16 2 2 3 5" xfId="13586" xr:uid="{00000000-0005-0000-0000-00000E350000}"/>
    <cellStyle name="Normal 16 2 2 3 5 2" xfId="13587" xr:uid="{00000000-0005-0000-0000-00000F350000}"/>
    <cellStyle name="Normal 16 2 2 3 6" xfId="13588" xr:uid="{00000000-0005-0000-0000-000010350000}"/>
    <cellStyle name="Normal 16 2 2 3 6 2" xfId="13589" xr:uid="{00000000-0005-0000-0000-000011350000}"/>
    <cellStyle name="Normal 16 2 2 3 7" xfId="13590" xr:uid="{00000000-0005-0000-0000-000012350000}"/>
    <cellStyle name="Normal 16 2 2 3 7 2" xfId="13591" xr:uid="{00000000-0005-0000-0000-000013350000}"/>
    <cellStyle name="Normal 16 2 2 3 8" xfId="13592" xr:uid="{00000000-0005-0000-0000-000014350000}"/>
    <cellStyle name="Normal 16 2 2 4" xfId="13593" xr:uid="{00000000-0005-0000-0000-000015350000}"/>
    <cellStyle name="Normal 16 2 2 4 2" xfId="13594" xr:uid="{00000000-0005-0000-0000-000016350000}"/>
    <cellStyle name="Normal 16 2 2 4 2 2" xfId="13595" xr:uid="{00000000-0005-0000-0000-000017350000}"/>
    <cellStyle name="Normal 16 2 2 4 2 2 2" xfId="13596" xr:uid="{00000000-0005-0000-0000-000018350000}"/>
    <cellStyle name="Normal 16 2 2 4 2 3" xfId="13597" xr:uid="{00000000-0005-0000-0000-000019350000}"/>
    <cellStyle name="Normal 16 2 2 4 2 3 2" xfId="13598" xr:uid="{00000000-0005-0000-0000-00001A350000}"/>
    <cellStyle name="Normal 16 2 2 4 2 4" xfId="13599" xr:uid="{00000000-0005-0000-0000-00001B350000}"/>
    <cellStyle name="Normal 16 2 2 4 3" xfId="13600" xr:uid="{00000000-0005-0000-0000-00001C350000}"/>
    <cellStyle name="Normal 16 2 2 4 3 2" xfId="13601" xr:uid="{00000000-0005-0000-0000-00001D350000}"/>
    <cellStyle name="Normal 16 2 2 4 4" xfId="13602" xr:uid="{00000000-0005-0000-0000-00001E350000}"/>
    <cellStyle name="Normal 16 2 2 4 4 2" xfId="13603" xr:uid="{00000000-0005-0000-0000-00001F350000}"/>
    <cellStyle name="Normal 16 2 2 4 5" xfId="13604" xr:uid="{00000000-0005-0000-0000-000020350000}"/>
    <cellStyle name="Normal 16 2 2 4 5 2" xfId="13605" xr:uid="{00000000-0005-0000-0000-000021350000}"/>
    <cellStyle name="Normal 16 2 2 4 6" xfId="13606" xr:uid="{00000000-0005-0000-0000-000022350000}"/>
    <cellStyle name="Normal 16 2 2 4 6 2" xfId="13607" xr:uid="{00000000-0005-0000-0000-000023350000}"/>
    <cellStyle name="Normal 16 2 2 4 7" xfId="13608" xr:uid="{00000000-0005-0000-0000-000024350000}"/>
    <cellStyle name="Normal 16 2 2 5" xfId="13609" xr:uid="{00000000-0005-0000-0000-000025350000}"/>
    <cellStyle name="Normal 16 2 2 5 2" xfId="13610" xr:uid="{00000000-0005-0000-0000-000026350000}"/>
    <cellStyle name="Normal 16 2 2 5 2 2" xfId="13611" xr:uid="{00000000-0005-0000-0000-000027350000}"/>
    <cellStyle name="Normal 16 2 2 5 3" xfId="13612" xr:uid="{00000000-0005-0000-0000-000028350000}"/>
    <cellStyle name="Normal 16 2 2 5 3 2" xfId="13613" xr:uid="{00000000-0005-0000-0000-000029350000}"/>
    <cellStyle name="Normal 16 2 2 5 4" xfId="13614" xr:uid="{00000000-0005-0000-0000-00002A350000}"/>
    <cellStyle name="Normal 16 2 2 5 4 2" xfId="13615" xr:uid="{00000000-0005-0000-0000-00002B350000}"/>
    <cellStyle name="Normal 16 2 2 5 5" xfId="13616" xr:uid="{00000000-0005-0000-0000-00002C350000}"/>
    <cellStyle name="Normal 16 2 2 5 5 2" xfId="13617" xr:uid="{00000000-0005-0000-0000-00002D350000}"/>
    <cellStyle name="Normal 16 2 2 5 6" xfId="13618" xr:uid="{00000000-0005-0000-0000-00002E350000}"/>
    <cellStyle name="Normal 16 2 2 6" xfId="13619" xr:uid="{00000000-0005-0000-0000-00002F350000}"/>
    <cellStyle name="Normal 16 2 2 6 2" xfId="13620" xr:uid="{00000000-0005-0000-0000-000030350000}"/>
    <cellStyle name="Normal 16 2 2 6 2 2" xfId="13621" xr:uid="{00000000-0005-0000-0000-000031350000}"/>
    <cellStyle name="Normal 16 2 2 6 3" xfId="13622" xr:uid="{00000000-0005-0000-0000-000032350000}"/>
    <cellStyle name="Normal 16 2 2 7" xfId="13623" xr:uid="{00000000-0005-0000-0000-000033350000}"/>
    <cellStyle name="Normal 16 2 2 7 2" xfId="13624" xr:uid="{00000000-0005-0000-0000-000034350000}"/>
    <cellStyle name="Normal 16 2 2 8" xfId="13625" xr:uid="{00000000-0005-0000-0000-000035350000}"/>
    <cellStyle name="Normal 16 2 2 8 2" xfId="13626" xr:uid="{00000000-0005-0000-0000-000036350000}"/>
    <cellStyle name="Normal 16 2 2 9" xfId="13627" xr:uid="{00000000-0005-0000-0000-000037350000}"/>
    <cellStyle name="Normal 16 2 2 9 2" xfId="13628" xr:uid="{00000000-0005-0000-0000-000038350000}"/>
    <cellStyle name="Normal 16 2 3" xfId="13629" xr:uid="{00000000-0005-0000-0000-000039350000}"/>
    <cellStyle name="Normal 16 2 3 2" xfId="13630" xr:uid="{00000000-0005-0000-0000-00003A350000}"/>
    <cellStyle name="Normal 16 2 3 2 2" xfId="13631" xr:uid="{00000000-0005-0000-0000-00003B350000}"/>
    <cellStyle name="Normal 16 2 3 2 2 2" xfId="13632" xr:uid="{00000000-0005-0000-0000-00003C350000}"/>
    <cellStyle name="Normal 16 2 3 2 2 2 2" xfId="13633" xr:uid="{00000000-0005-0000-0000-00003D350000}"/>
    <cellStyle name="Normal 16 2 3 2 2 3" xfId="13634" xr:uid="{00000000-0005-0000-0000-00003E350000}"/>
    <cellStyle name="Normal 16 2 3 2 2 3 2" xfId="13635" xr:uid="{00000000-0005-0000-0000-00003F350000}"/>
    <cellStyle name="Normal 16 2 3 2 2 4" xfId="13636" xr:uid="{00000000-0005-0000-0000-000040350000}"/>
    <cellStyle name="Normal 16 2 3 2 3" xfId="13637" xr:uid="{00000000-0005-0000-0000-000041350000}"/>
    <cellStyle name="Normal 16 2 3 2 3 2" xfId="13638" xr:uid="{00000000-0005-0000-0000-000042350000}"/>
    <cellStyle name="Normal 16 2 3 2 4" xfId="13639" xr:uid="{00000000-0005-0000-0000-000043350000}"/>
    <cellStyle name="Normal 16 2 3 2 4 2" xfId="13640" xr:uid="{00000000-0005-0000-0000-000044350000}"/>
    <cellStyle name="Normal 16 2 3 2 5" xfId="13641" xr:uid="{00000000-0005-0000-0000-000045350000}"/>
    <cellStyle name="Normal 16 2 3 2 5 2" xfId="13642" xr:uid="{00000000-0005-0000-0000-000046350000}"/>
    <cellStyle name="Normal 16 2 3 2 6" xfId="13643" xr:uid="{00000000-0005-0000-0000-000047350000}"/>
    <cellStyle name="Normal 16 2 3 2 6 2" xfId="13644" xr:uid="{00000000-0005-0000-0000-000048350000}"/>
    <cellStyle name="Normal 16 2 3 2 7" xfId="13645" xr:uid="{00000000-0005-0000-0000-000049350000}"/>
    <cellStyle name="Normal 16 2 3 3" xfId="13646" xr:uid="{00000000-0005-0000-0000-00004A350000}"/>
    <cellStyle name="Normal 16 2 3 3 2" xfId="13647" xr:uid="{00000000-0005-0000-0000-00004B350000}"/>
    <cellStyle name="Normal 16 2 3 3 2 2" xfId="13648" xr:uid="{00000000-0005-0000-0000-00004C350000}"/>
    <cellStyle name="Normal 16 2 3 3 3" xfId="13649" xr:uid="{00000000-0005-0000-0000-00004D350000}"/>
    <cellStyle name="Normal 16 2 3 3 3 2" xfId="13650" xr:uid="{00000000-0005-0000-0000-00004E350000}"/>
    <cellStyle name="Normal 16 2 3 3 4" xfId="13651" xr:uid="{00000000-0005-0000-0000-00004F350000}"/>
    <cellStyle name="Normal 16 2 3 3 4 2" xfId="13652" xr:uid="{00000000-0005-0000-0000-000050350000}"/>
    <cellStyle name="Normal 16 2 3 3 5" xfId="13653" xr:uid="{00000000-0005-0000-0000-000051350000}"/>
    <cellStyle name="Normal 16 2 3 3 5 2" xfId="13654" xr:uid="{00000000-0005-0000-0000-000052350000}"/>
    <cellStyle name="Normal 16 2 3 3 6" xfId="13655" xr:uid="{00000000-0005-0000-0000-000053350000}"/>
    <cellStyle name="Normal 16 2 3 4" xfId="13656" xr:uid="{00000000-0005-0000-0000-000054350000}"/>
    <cellStyle name="Normal 16 2 3 4 2" xfId="13657" xr:uid="{00000000-0005-0000-0000-000055350000}"/>
    <cellStyle name="Normal 16 2 3 4 2 2" xfId="13658" xr:uid="{00000000-0005-0000-0000-000056350000}"/>
    <cellStyle name="Normal 16 2 3 4 3" xfId="13659" xr:uid="{00000000-0005-0000-0000-000057350000}"/>
    <cellStyle name="Normal 16 2 3 5" xfId="13660" xr:uid="{00000000-0005-0000-0000-000058350000}"/>
    <cellStyle name="Normal 16 2 3 5 2" xfId="13661" xr:uid="{00000000-0005-0000-0000-000059350000}"/>
    <cellStyle name="Normal 16 2 3 6" xfId="13662" xr:uid="{00000000-0005-0000-0000-00005A350000}"/>
    <cellStyle name="Normal 16 2 3 6 2" xfId="13663" xr:uid="{00000000-0005-0000-0000-00005B350000}"/>
    <cellStyle name="Normal 16 2 3 7" xfId="13664" xr:uid="{00000000-0005-0000-0000-00005C350000}"/>
    <cellStyle name="Normal 16 2 3 7 2" xfId="13665" xr:uid="{00000000-0005-0000-0000-00005D350000}"/>
    <cellStyle name="Normal 16 2 3 8" xfId="13666" xr:uid="{00000000-0005-0000-0000-00005E350000}"/>
    <cellStyle name="Normal 16 2 4" xfId="13667" xr:uid="{00000000-0005-0000-0000-00005F350000}"/>
    <cellStyle name="Normal 16 2 4 2" xfId="13668" xr:uid="{00000000-0005-0000-0000-000060350000}"/>
    <cellStyle name="Normal 16 2 4 2 2" xfId="13669" xr:uid="{00000000-0005-0000-0000-000061350000}"/>
    <cellStyle name="Normal 16 2 4 2 2 2" xfId="13670" xr:uid="{00000000-0005-0000-0000-000062350000}"/>
    <cellStyle name="Normal 16 2 4 2 2 2 2" xfId="13671" xr:uid="{00000000-0005-0000-0000-000063350000}"/>
    <cellStyle name="Normal 16 2 4 2 2 3" xfId="13672" xr:uid="{00000000-0005-0000-0000-000064350000}"/>
    <cellStyle name="Normal 16 2 4 2 2 3 2" xfId="13673" xr:uid="{00000000-0005-0000-0000-000065350000}"/>
    <cellStyle name="Normal 16 2 4 2 2 4" xfId="13674" xr:uid="{00000000-0005-0000-0000-000066350000}"/>
    <cellStyle name="Normal 16 2 4 2 3" xfId="13675" xr:uid="{00000000-0005-0000-0000-000067350000}"/>
    <cellStyle name="Normal 16 2 4 2 3 2" xfId="13676" xr:uid="{00000000-0005-0000-0000-000068350000}"/>
    <cellStyle name="Normal 16 2 4 2 4" xfId="13677" xr:uid="{00000000-0005-0000-0000-000069350000}"/>
    <cellStyle name="Normal 16 2 4 2 4 2" xfId="13678" xr:uid="{00000000-0005-0000-0000-00006A350000}"/>
    <cellStyle name="Normal 16 2 4 2 5" xfId="13679" xr:uid="{00000000-0005-0000-0000-00006B350000}"/>
    <cellStyle name="Normal 16 2 4 2 5 2" xfId="13680" xr:uid="{00000000-0005-0000-0000-00006C350000}"/>
    <cellStyle name="Normal 16 2 4 2 6" xfId="13681" xr:uid="{00000000-0005-0000-0000-00006D350000}"/>
    <cellStyle name="Normal 16 2 4 2 6 2" xfId="13682" xr:uid="{00000000-0005-0000-0000-00006E350000}"/>
    <cellStyle name="Normal 16 2 4 2 7" xfId="13683" xr:uid="{00000000-0005-0000-0000-00006F350000}"/>
    <cellStyle name="Normal 16 2 4 3" xfId="13684" xr:uid="{00000000-0005-0000-0000-000070350000}"/>
    <cellStyle name="Normal 16 2 4 3 2" xfId="13685" xr:uid="{00000000-0005-0000-0000-000071350000}"/>
    <cellStyle name="Normal 16 2 4 3 2 2" xfId="13686" xr:uid="{00000000-0005-0000-0000-000072350000}"/>
    <cellStyle name="Normal 16 2 4 3 3" xfId="13687" xr:uid="{00000000-0005-0000-0000-000073350000}"/>
    <cellStyle name="Normal 16 2 4 3 3 2" xfId="13688" xr:uid="{00000000-0005-0000-0000-000074350000}"/>
    <cellStyle name="Normal 16 2 4 3 4" xfId="13689" xr:uid="{00000000-0005-0000-0000-000075350000}"/>
    <cellStyle name="Normal 16 2 4 3 4 2" xfId="13690" xr:uid="{00000000-0005-0000-0000-000076350000}"/>
    <cellStyle name="Normal 16 2 4 3 5" xfId="13691" xr:uid="{00000000-0005-0000-0000-000077350000}"/>
    <cellStyle name="Normal 16 2 4 3 5 2" xfId="13692" xr:uid="{00000000-0005-0000-0000-000078350000}"/>
    <cellStyle name="Normal 16 2 4 3 6" xfId="13693" xr:uid="{00000000-0005-0000-0000-000079350000}"/>
    <cellStyle name="Normal 16 2 4 4" xfId="13694" xr:uid="{00000000-0005-0000-0000-00007A350000}"/>
    <cellStyle name="Normal 16 2 4 4 2" xfId="13695" xr:uid="{00000000-0005-0000-0000-00007B350000}"/>
    <cellStyle name="Normal 16 2 4 4 2 2" xfId="13696" xr:uid="{00000000-0005-0000-0000-00007C350000}"/>
    <cellStyle name="Normal 16 2 4 4 3" xfId="13697" xr:uid="{00000000-0005-0000-0000-00007D350000}"/>
    <cellStyle name="Normal 16 2 4 5" xfId="13698" xr:uid="{00000000-0005-0000-0000-00007E350000}"/>
    <cellStyle name="Normal 16 2 4 5 2" xfId="13699" xr:uid="{00000000-0005-0000-0000-00007F350000}"/>
    <cellStyle name="Normal 16 2 4 6" xfId="13700" xr:uid="{00000000-0005-0000-0000-000080350000}"/>
    <cellStyle name="Normal 16 2 4 6 2" xfId="13701" xr:uid="{00000000-0005-0000-0000-000081350000}"/>
    <cellStyle name="Normal 16 2 4 7" xfId="13702" xr:uid="{00000000-0005-0000-0000-000082350000}"/>
    <cellStyle name="Normal 16 2 4 7 2" xfId="13703" xr:uid="{00000000-0005-0000-0000-000083350000}"/>
    <cellStyle name="Normal 16 2 4 8" xfId="13704" xr:uid="{00000000-0005-0000-0000-000084350000}"/>
    <cellStyle name="Normal 16 2 5" xfId="13705" xr:uid="{00000000-0005-0000-0000-000085350000}"/>
    <cellStyle name="Normal 16 2 5 2" xfId="13706" xr:uid="{00000000-0005-0000-0000-000086350000}"/>
    <cellStyle name="Normal 16 2 5 2 2" xfId="13707" xr:uid="{00000000-0005-0000-0000-000087350000}"/>
    <cellStyle name="Normal 16 2 5 2 2 2" xfId="13708" xr:uid="{00000000-0005-0000-0000-000088350000}"/>
    <cellStyle name="Normal 16 2 5 2 3" xfId="13709" xr:uid="{00000000-0005-0000-0000-000089350000}"/>
    <cellStyle name="Normal 16 2 5 2 3 2" xfId="13710" xr:uid="{00000000-0005-0000-0000-00008A350000}"/>
    <cellStyle name="Normal 16 2 5 2 4" xfId="13711" xr:uid="{00000000-0005-0000-0000-00008B350000}"/>
    <cellStyle name="Normal 16 2 5 3" xfId="13712" xr:uid="{00000000-0005-0000-0000-00008C350000}"/>
    <cellStyle name="Normal 16 2 5 3 2" xfId="13713" xr:uid="{00000000-0005-0000-0000-00008D350000}"/>
    <cellStyle name="Normal 16 2 5 4" xfId="13714" xr:uid="{00000000-0005-0000-0000-00008E350000}"/>
    <cellStyle name="Normal 16 2 5 4 2" xfId="13715" xr:uid="{00000000-0005-0000-0000-00008F350000}"/>
    <cellStyle name="Normal 16 2 5 5" xfId="13716" xr:uid="{00000000-0005-0000-0000-000090350000}"/>
    <cellStyle name="Normal 16 2 5 5 2" xfId="13717" xr:uid="{00000000-0005-0000-0000-000091350000}"/>
    <cellStyle name="Normal 16 2 5 6" xfId="13718" xr:uid="{00000000-0005-0000-0000-000092350000}"/>
    <cellStyle name="Normal 16 2 5 6 2" xfId="13719" xr:uid="{00000000-0005-0000-0000-000093350000}"/>
    <cellStyle name="Normal 16 2 5 7" xfId="13720" xr:uid="{00000000-0005-0000-0000-000094350000}"/>
    <cellStyle name="Normal 16 2 6" xfId="13721" xr:uid="{00000000-0005-0000-0000-000095350000}"/>
    <cellStyle name="Normal 16 2 6 2" xfId="13722" xr:uid="{00000000-0005-0000-0000-000096350000}"/>
    <cellStyle name="Normal 16 2 6 2 2" xfId="13723" xr:uid="{00000000-0005-0000-0000-000097350000}"/>
    <cellStyle name="Normal 16 2 6 3" xfId="13724" xr:uid="{00000000-0005-0000-0000-000098350000}"/>
    <cellStyle name="Normal 16 2 6 3 2" xfId="13725" xr:uid="{00000000-0005-0000-0000-000099350000}"/>
    <cellStyle name="Normal 16 2 6 4" xfId="13726" xr:uid="{00000000-0005-0000-0000-00009A350000}"/>
    <cellStyle name="Normal 16 2 6 4 2" xfId="13727" xr:uid="{00000000-0005-0000-0000-00009B350000}"/>
    <cellStyle name="Normal 16 2 6 5" xfId="13728" xr:uid="{00000000-0005-0000-0000-00009C350000}"/>
    <cellStyle name="Normal 16 2 6 5 2" xfId="13729" xr:uid="{00000000-0005-0000-0000-00009D350000}"/>
    <cellStyle name="Normal 16 2 6 6" xfId="13730" xr:uid="{00000000-0005-0000-0000-00009E350000}"/>
    <cellStyle name="Normal 16 2 7" xfId="13731" xr:uid="{00000000-0005-0000-0000-00009F350000}"/>
    <cellStyle name="Normal 16 2 7 2" xfId="13732" xr:uid="{00000000-0005-0000-0000-0000A0350000}"/>
    <cellStyle name="Normal 16 2 7 2 2" xfId="13733" xr:uid="{00000000-0005-0000-0000-0000A1350000}"/>
    <cellStyle name="Normal 16 2 7 3" xfId="13734" xr:uid="{00000000-0005-0000-0000-0000A2350000}"/>
    <cellStyle name="Normal 16 2 8" xfId="13735" xr:uid="{00000000-0005-0000-0000-0000A3350000}"/>
    <cellStyle name="Normal 16 2 8 2" xfId="13736" xr:uid="{00000000-0005-0000-0000-0000A4350000}"/>
    <cellStyle name="Normal 16 2 9" xfId="13737" xr:uid="{00000000-0005-0000-0000-0000A5350000}"/>
    <cellStyle name="Normal 16 2 9 2" xfId="13738" xr:uid="{00000000-0005-0000-0000-0000A6350000}"/>
    <cellStyle name="Normal 16 3" xfId="13739" xr:uid="{00000000-0005-0000-0000-0000A7350000}"/>
    <cellStyle name="Normal 16 3 10" xfId="13740" xr:uid="{00000000-0005-0000-0000-0000A8350000}"/>
    <cellStyle name="Normal 16 3 2" xfId="13741" xr:uid="{00000000-0005-0000-0000-0000A9350000}"/>
    <cellStyle name="Normal 16 3 2 2" xfId="13742" xr:uid="{00000000-0005-0000-0000-0000AA350000}"/>
    <cellStyle name="Normal 16 3 2 2 2" xfId="13743" xr:uid="{00000000-0005-0000-0000-0000AB350000}"/>
    <cellStyle name="Normal 16 3 2 2 2 2" xfId="13744" xr:uid="{00000000-0005-0000-0000-0000AC350000}"/>
    <cellStyle name="Normal 16 3 2 2 2 2 2" xfId="13745" xr:uid="{00000000-0005-0000-0000-0000AD350000}"/>
    <cellStyle name="Normal 16 3 2 2 2 3" xfId="13746" xr:uid="{00000000-0005-0000-0000-0000AE350000}"/>
    <cellStyle name="Normal 16 3 2 2 2 3 2" xfId="13747" xr:uid="{00000000-0005-0000-0000-0000AF350000}"/>
    <cellStyle name="Normal 16 3 2 2 2 4" xfId="13748" xr:uid="{00000000-0005-0000-0000-0000B0350000}"/>
    <cellStyle name="Normal 16 3 2 2 3" xfId="13749" xr:uid="{00000000-0005-0000-0000-0000B1350000}"/>
    <cellStyle name="Normal 16 3 2 2 3 2" xfId="13750" xr:uid="{00000000-0005-0000-0000-0000B2350000}"/>
    <cellStyle name="Normal 16 3 2 2 4" xfId="13751" xr:uid="{00000000-0005-0000-0000-0000B3350000}"/>
    <cellStyle name="Normal 16 3 2 2 4 2" xfId="13752" xr:uid="{00000000-0005-0000-0000-0000B4350000}"/>
    <cellStyle name="Normal 16 3 2 2 5" xfId="13753" xr:uid="{00000000-0005-0000-0000-0000B5350000}"/>
    <cellStyle name="Normal 16 3 2 2 5 2" xfId="13754" xr:uid="{00000000-0005-0000-0000-0000B6350000}"/>
    <cellStyle name="Normal 16 3 2 2 6" xfId="13755" xr:uid="{00000000-0005-0000-0000-0000B7350000}"/>
    <cellStyle name="Normal 16 3 2 2 6 2" xfId="13756" xr:uid="{00000000-0005-0000-0000-0000B8350000}"/>
    <cellStyle name="Normal 16 3 2 2 7" xfId="13757" xr:uid="{00000000-0005-0000-0000-0000B9350000}"/>
    <cellStyle name="Normal 16 3 2 3" xfId="13758" xr:uid="{00000000-0005-0000-0000-0000BA350000}"/>
    <cellStyle name="Normal 16 3 2 3 2" xfId="13759" xr:uid="{00000000-0005-0000-0000-0000BB350000}"/>
    <cellStyle name="Normal 16 3 2 3 2 2" xfId="13760" xr:uid="{00000000-0005-0000-0000-0000BC350000}"/>
    <cellStyle name="Normal 16 3 2 3 3" xfId="13761" xr:uid="{00000000-0005-0000-0000-0000BD350000}"/>
    <cellStyle name="Normal 16 3 2 3 3 2" xfId="13762" xr:uid="{00000000-0005-0000-0000-0000BE350000}"/>
    <cellStyle name="Normal 16 3 2 3 4" xfId="13763" xr:uid="{00000000-0005-0000-0000-0000BF350000}"/>
    <cellStyle name="Normal 16 3 2 3 4 2" xfId="13764" xr:uid="{00000000-0005-0000-0000-0000C0350000}"/>
    <cellStyle name="Normal 16 3 2 3 5" xfId="13765" xr:uid="{00000000-0005-0000-0000-0000C1350000}"/>
    <cellStyle name="Normal 16 3 2 3 5 2" xfId="13766" xr:uid="{00000000-0005-0000-0000-0000C2350000}"/>
    <cellStyle name="Normal 16 3 2 3 6" xfId="13767" xr:uid="{00000000-0005-0000-0000-0000C3350000}"/>
    <cellStyle name="Normal 16 3 2 4" xfId="13768" xr:uid="{00000000-0005-0000-0000-0000C4350000}"/>
    <cellStyle name="Normal 16 3 2 4 2" xfId="13769" xr:uid="{00000000-0005-0000-0000-0000C5350000}"/>
    <cellStyle name="Normal 16 3 2 4 2 2" xfId="13770" xr:uid="{00000000-0005-0000-0000-0000C6350000}"/>
    <cellStyle name="Normal 16 3 2 4 3" xfId="13771" xr:uid="{00000000-0005-0000-0000-0000C7350000}"/>
    <cellStyle name="Normal 16 3 2 5" xfId="13772" xr:uid="{00000000-0005-0000-0000-0000C8350000}"/>
    <cellStyle name="Normal 16 3 2 5 2" xfId="13773" xr:uid="{00000000-0005-0000-0000-0000C9350000}"/>
    <cellStyle name="Normal 16 3 2 6" xfId="13774" xr:uid="{00000000-0005-0000-0000-0000CA350000}"/>
    <cellStyle name="Normal 16 3 2 6 2" xfId="13775" xr:uid="{00000000-0005-0000-0000-0000CB350000}"/>
    <cellStyle name="Normal 16 3 2 7" xfId="13776" xr:uid="{00000000-0005-0000-0000-0000CC350000}"/>
    <cellStyle name="Normal 16 3 2 7 2" xfId="13777" xr:uid="{00000000-0005-0000-0000-0000CD350000}"/>
    <cellStyle name="Normal 16 3 2 8" xfId="13778" xr:uid="{00000000-0005-0000-0000-0000CE350000}"/>
    <cellStyle name="Normal 16 3 3" xfId="13779" xr:uid="{00000000-0005-0000-0000-0000CF350000}"/>
    <cellStyle name="Normal 16 3 3 2" xfId="13780" xr:uid="{00000000-0005-0000-0000-0000D0350000}"/>
    <cellStyle name="Normal 16 3 3 2 2" xfId="13781" xr:uid="{00000000-0005-0000-0000-0000D1350000}"/>
    <cellStyle name="Normal 16 3 3 2 2 2" xfId="13782" xr:uid="{00000000-0005-0000-0000-0000D2350000}"/>
    <cellStyle name="Normal 16 3 3 2 2 2 2" xfId="13783" xr:uid="{00000000-0005-0000-0000-0000D3350000}"/>
    <cellStyle name="Normal 16 3 3 2 2 3" xfId="13784" xr:uid="{00000000-0005-0000-0000-0000D4350000}"/>
    <cellStyle name="Normal 16 3 3 2 2 3 2" xfId="13785" xr:uid="{00000000-0005-0000-0000-0000D5350000}"/>
    <cellStyle name="Normal 16 3 3 2 2 4" xfId="13786" xr:uid="{00000000-0005-0000-0000-0000D6350000}"/>
    <cellStyle name="Normal 16 3 3 2 3" xfId="13787" xr:uid="{00000000-0005-0000-0000-0000D7350000}"/>
    <cellStyle name="Normal 16 3 3 2 3 2" xfId="13788" xr:uid="{00000000-0005-0000-0000-0000D8350000}"/>
    <cellStyle name="Normal 16 3 3 2 4" xfId="13789" xr:uid="{00000000-0005-0000-0000-0000D9350000}"/>
    <cellStyle name="Normal 16 3 3 2 4 2" xfId="13790" xr:uid="{00000000-0005-0000-0000-0000DA350000}"/>
    <cellStyle name="Normal 16 3 3 2 5" xfId="13791" xr:uid="{00000000-0005-0000-0000-0000DB350000}"/>
    <cellStyle name="Normal 16 3 3 2 5 2" xfId="13792" xr:uid="{00000000-0005-0000-0000-0000DC350000}"/>
    <cellStyle name="Normal 16 3 3 2 6" xfId="13793" xr:uid="{00000000-0005-0000-0000-0000DD350000}"/>
    <cellStyle name="Normal 16 3 3 2 6 2" xfId="13794" xr:uid="{00000000-0005-0000-0000-0000DE350000}"/>
    <cellStyle name="Normal 16 3 3 2 7" xfId="13795" xr:uid="{00000000-0005-0000-0000-0000DF350000}"/>
    <cellStyle name="Normal 16 3 3 3" xfId="13796" xr:uid="{00000000-0005-0000-0000-0000E0350000}"/>
    <cellStyle name="Normal 16 3 3 3 2" xfId="13797" xr:uid="{00000000-0005-0000-0000-0000E1350000}"/>
    <cellStyle name="Normal 16 3 3 3 2 2" xfId="13798" xr:uid="{00000000-0005-0000-0000-0000E2350000}"/>
    <cellStyle name="Normal 16 3 3 3 3" xfId="13799" xr:uid="{00000000-0005-0000-0000-0000E3350000}"/>
    <cellStyle name="Normal 16 3 3 3 3 2" xfId="13800" xr:uid="{00000000-0005-0000-0000-0000E4350000}"/>
    <cellStyle name="Normal 16 3 3 3 4" xfId="13801" xr:uid="{00000000-0005-0000-0000-0000E5350000}"/>
    <cellStyle name="Normal 16 3 3 3 4 2" xfId="13802" xr:uid="{00000000-0005-0000-0000-0000E6350000}"/>
    <cellStyle name="Normal 16 3 3 3 5" xfId="13803" xr:uid="{00000000-0005-0000-0000-0000E7350000}"/>
    <cellStyle name="Normal 16 3 3 3 5 2" xfId="13804" xr:uid="{00000000-0005-0000-0000-0000E8350000}"/>
    <cellStyle name="Normal 16 3 3 3 6" xfId="13805" xr:uid="{00000000-0005-0000-0000-0000E9350000}"/>
    <cellStyle name="Normal 16 3 3 4" xfId="13806" xr:uid="{00000000-0005-0000-0000-0000EA350000}"/>
    <cellStyle name="Normal 16 3 3 4 2" xfId="13807" xr:uid="{00000000-0005-0000-0000-0000EB350000}"/>
    <cellStyle name="Normal 16 3 3 4 2 2" xfId="13808" xr:uid="{00000000-0005-0000-0000-0000EC350000}"/>
    <cellStyle name="Normal 16 3 3 4 3" xfId="13809" xr:uid="{00000000-0005-0000-0000-0000ED350000}"/>
    <cellStyle name="Normal 16 3 3 5" xfId="13810" xr:uid="{00000000-0005-0000-0000-0000EE350000}"/>
    <cellStyle name="Normal 16 3 3 5 2" xfId="13811" xr:uid="{00000000-0005-0000-0000-0000EF350000}"/>
    <cellStyle name="Normal 16 3 3 6" xfId="13812" xr:uid="{00000000-0005-0000-0000-0000F0350000}"/>
    <cellStyle name="Normal 16 3 3 6 2" xfId="13813" xr:uid="{00000000-0005-0000-0000-0000F1350000}"/>
    <cellStyle name="Normal 16 3 3 7" xfId="13814" xr:uid="{00000000-0005-0000-0000-0000F2350000}"/>
    <cellStyle name="Normal 16 3 3 7 2" xfId="13815" xr:uid="{00000000-0005-0000-0000-0000F3350000}"/>
    <cellStyle name="Normal 16 3 3 8" xfId="13816" xr:uid="{00000000-0005-0000-0000-0000F4350000}"/>
    <cellStyle name="Normal 16 3 4" xfId="13817" xr:uid="{00000000-0005-0000-0000-0000F5350000}"/>
    <cellStyle name="Normal 16 3 4 2" xfId="13818" xr:uid="{00000000-0005-0000-0000-0000F6350000}"/>
    <cellStyle name="Normal 16 3 4 2 2" xfId="13819" xr:uid="{00000000-0005-0000-0000-0000F7350000}"/>
    <cellStyle name="Normal 16 3 4 2 2 2" xfId="13820" xr:uid="{00000000-0005-0000-0000-0000F8350000}"/>
    <cellStyle name="Normal 16 3 4 2 3" xfId="13821" xr:uid="{00000000-0005-0000-0000-0000F9350000}"/>
    <cellStyle name="Normal 16 3 4 2 3 2" xfId="13822" xr:uid="{00000000-0005-0000-0000-0000FA350000}"/>
    <cellStyle name="Normal 16 3 4 2 4" xfId="13823" xr:uid="{00000000-0005-0000-0000-0000FB350000}"/>
    <cellStyle name="Normal 16 3 4 3" xfId="13824" xr:uid="{00000000-0005-0000-0000-0000FC350000}"/>
    <cellStyle name="Normal 16 3 4 3 2" xfId="13825" xr:uid="{00000000-0005-0000-0000-0000FD350000}"/>
    <cellStyle name="Normal 16 3 4 4" xfId="13826" xr:uid="{00000000-0005-0000-0000-0000FE350000}"/>
    <cellStyle name="Normal 16 3 4 4 2" xfId="13827" xr:uid="{00000000-0005-0000-0000-0000FF350000}"/>
    <cellStyle name="Normal 16 3 4 5" xfId="13828" xr:uid="{00000000-0005-0000-0000-000000360000}"/>
    <cellStyle name="Normal 16 3 4 5 2" xfId="13829" xr:uid="{00000000-0005-0000-0000-000001360000}"/>
    <cellStyle name="Normal 16 3 4 6" xfId="13830" xr:uid="{00000000-0005-0000-0000-000002360000}"/>
    <cellStyle name="Normal 16 3 4 6 2" xfId="13831" xr:uid="{00000000-0005-0000-0000-000003360000}"/>
    <cellStyle name="Normal 16 3 4 7" xfId="13832" xr:uid="{00000000-0005-0000-0000-000004360000}"/>
    <cellStyle name="Normal 16 3 5" xfId="13833" xr:uid="{00000000-0005-0000-0000-000005360000}"/>
    <cellStyle name="Normal 16 3 5 2" xfId="13834" xr:uid="{00000000-0005-0000-0000-000006360000}"/>
    <cellStyle name="Normal 16 3 5 2 2" xfId="13835" xr:uid="{00000000-0005-0000-0000-000007360000}"/>
    <cellStyle name="Normal 16 3 5 3" xfId="13836" xr:uid="{00000000-0005-0000-0000-000008360000}"/>
    <cellStyle name="Normal 16 3 5 3 2" xfId="13837" xr:uid="{00000000-0005-0000-0000-000009360000}"/>
    <cellStyle name="Normal 16 3 5 4" xfId="13838" xr:uid="{00000000-0005-0000-0000-00000A360000}"/>
    <cellStyle name="Normal 16 3 5 4 2" xfId="13839" xr:uid="{00000000-0005-0000-0000-00000B360000}"/>
    <cellStyle name="Normal 16 3 5 5" xfId="13840" xr:uid="{00000000-0005-0000-0000-00000C360000}"/>
    <cellStyle name="Normal 16 3 5 5 2" xfId="13841" xr:uid="{00000000-0005-0000-0000-00000D360000}"/>
    <cellStyle name="Normal 16 3 5 6" xfId="13842" xr:uid="{00000000-0005-0000-0000-00000E360000}"/>
    <cellStyle name="Normal 16 3 6" xfId="13843" xr:uid="{00000000-0005-0000-0000-00000F360000}"/>
    <cellStyle name="Normal 16 3 6 2" xfId="13844" xr:uid="{00000000-0005-0000-0000-000010360000}"/>
    <cellStyle name="Normal 16 3 6 2 2" xfId="13845" xr:uid="{00000000-0005-0000-0000-000011360000}"/>
    <cellStyle name="Normal 16 3 6 3" xfId="13846" xr:uid="{00000000-0005-0000-0000-000012360000}"/>
    <cellStyle name="Normal 16 3 7" xfId="13847" xr:uid="{00000000-0005-0000-0000-000013360000}"/>
    <cellStyle name="Normal 16 3 7 2" xfId="13848" xr:uid="{00000000-0005-0000-0000-000014360000}"/>
    <cellStyle name="Normal 16 3 8" xfId="13849" xr:uid="{00000000-0005-0000-0000-000015360000}"/>
    <cellStyle name="Normal 16 3 8 2" xfId="13850" xr:uid="{00000000-0005-0000-0000-000016360000}"/>
    <cellStyle name="Normal 16 3 9" xfId="13851" xr:uid="{00000000-0005-0000-0000-000017360000}"/>
    <cellStyle name="Normal 16 3 9 2" xfId="13852" xr:uid="{00000000-0005-0000-0000-000018360000}"/>
    <cellStyle name="Normal 16 4" xfId="13853" xr:uid="{00000000-0005-0000-0000-000019360000}"/>
    <cellStyle name="Normal 16 4 2" xfId="13854" xr:uid="{00000000-0005-0000-0000-00001A360000}"/>
    <cellStyle name="Normal 16 4 2 2" xfId="13855" xr:uid="{00000000-0005-0000-0000-00001B360000}"/>
    <cellStyle name="Normal 16 4 2 2 2" xfId="13856" xr:uid="{00000000-0005-0000-0000-00001C360000}"/>
    <cellStyle name="Normal 16 4 2 2 2 2" xfId="13857" xr:uid="{00000000-0005-0000-0000-00001D360000}"/>
    <cellStyle name="Normal 16 4 2 2 3" xfId="13858" xr:uid="{00000000-0005-0000-0000-00001E360000}"/>
    <cellStyle name="Normal 16 4 2 2 3 2" xfId="13859" xr:uid="{00000000-0005-0000-0000-00001F360000}"/>
    <cellStyle name="Normal 16 4 2 2 4" xfId="13860" xr:uid="{00000000-0005-0000-0000-000020360000}"/>
    <cellStyle name="Normal 16 4 2 3" xfId="13861" xr:uid="{00000000-0005-0000-0000-000021360000}"/>
    <cellStyle name="Normal 16 4 2 3 2" xfId="13862" xr:uid="{00000000-0005-0000-0000-000022360000}"/>
    <cellStyle name="Normal 16 4 2 4" xfId="13863" xr:uid="{00000000-0005-0000-0000-000023360000}"/>
    <cellStyle name="Normal 16 4 2 4 2" xfId="13864" xr:uid="{00000000-0005-0000-0000-000024360000}"/>
    <cellStyle name="Normal 16 4 2 5" xfId="13865" xr:uid="{00000000-0005-0000-0000-000025360000}"/>
    <cellStyle name="Normal 16 4 2 5 2" xfId="13866" xr:uid="{00000000-0005-0000-0000-000026360000}"/>
    <cellStyle name="Normal 16 4 2 6" xfId="13867" xr:uid="{00000000-0005-0000-0000-000027360000}"/>
    <cellStyle name="Normal 16 4 2 6 2" xfId="13868" xr:uid="{00000000-0005-0000-0000-000028360000}"/>
    <cellStyle name="Normal 16 4 2 7" xfId="13869" xr:uid="{00000000-0005-0000-0000-000029360000}"/>
    <cellStyle name="Normal 16 4 3" xfId="13870" xr:uid="{00000000-0005-0000-0000-00002A360000}"/>
    <cellStyle name="Normal 16 4 3 2" xfId="13871" xr:uid="{00000000-0005-0000-0000-00002B360000}"/>
    <cellStyle name="Normal 16 4 3 2 2" xfId="13872" xr:uid="{00000000-0005-0000-0000-00002C360000}"/>
    <cellStyle name="Normal 16 4 3 3" xfId="13873" xr:uid="{00000000-0005-0000-0000-00002D360000}"/>
    <cellStyle name="Normal 16 4 3 3 2" xfId="13874" xr:uid="{00000000-0005-0000-0000-00002E360000}"/>
    <cellStyle name="Normal 16 4 3 4" xfId="13875" xr:uid="{00000000-0005-0000-0000-00002F360000}"/>
    <cellStyle name="Normal 16 4 3 4 2" xfId="13876" xr:uid="{00000000-0005-0000-0000-000030360000}"/>
    <cellStyle name="Normal 16 4 3 5" xfId="13877" xr:uid="{00000000-0005-0000-0000-000031360000}"/>
    <cellStyle name="Normal 16 4 3 5 2" xfId="13878" xr:uid="{00000000-0005-0000-0000-000032360000}"/>
    <cellStyle name="Normal 16 4 3 6" xfId="13879" xr:uid="{00000000-0005-0000-0000-000033360000}"/>
    <cellStyle name="Normal 16 4 4" xfId="13880" xr:uid="{00000000-0005-0000-0000-000034360000}"/>
    <cellStyle name="Normal 16 4 4 2" xfId="13881" xr:uid="{00000000-0005-0000-0000-000035360000}"/>
    <cellStyle name="Normal 16 4 4 2 2" xfId="13882" xr:uid="{00000000-0005-0000-0000-000036360000}"/>
    <cellStyle name="Normal 16 4 4 3" xfId="13883" xr:uid="{00000000-0005-0000-0000-000037360000}"/>
    <cellStyle name="Normal 16 4 5" xfId="13884" xr:uid="{00000000-0005-0000-0000-000038360000}"/>
    <cellStyle name="Normal 16 4 5 2" xfId="13885" xr:uid="{00000000-0005-0000-0000-000039360000}"/>
    <cellStyle name="Normal 16 4 6" xfId="13886" xr:uid="{00000000-0005-0000-0000-00003A360000}"/>
    <cellStyle name="Normal 16 4 6 2" xfId="13887" xr:uid="{00000000-0005-0000-0000-00003B360000}"/>
    <cellStyle name="Normal 16 4 7" xfId="13888" xr:uid="{00000000-0005-0000-0000-00003C360000}"/>
    <cellStyle name="Normal 16 4 7 2" xfId="13889" xr:uid="{00000000-0005-0000-0000-00003D360000}"/>
    <cellStyle name="Normal 16 4 8" xfId="13890" xr:uid="{00000000-0005-0000-0000-00003E360000}"/>
    <cellStyle name="Normal 16 5" xfId="13891" xr:uid="{00000000-0005-0000-0000-00003F360000}"/>
    <cellStyle name="Normal 16 5 2" xfId="13892" xr:uid="{00000000-0005-0000-0000-000040360000}"/>
    <cellStyle name="Normal 16 5 2 2" xfId="13893" xr:uid="{00000000-0005-0000-0000-000041360000}"/>
    <cellStyle name="Normal 16 5 2 2 2" xfId="13894" xr:uid="{00000000-0005-0000-0000-000042360000}"/>
    <cellStyle name="Normal 16 5 2 2 2 2" xfId="13895" xr:uid="{00000000-0005-0000-0000-000043360000}"/>
    <cellStyle name="Normal 16 5 2 2 3" xfId="13896" xr:uid="{00000000-0005-0000-0000-000044360000}"/>
    <cellStyle name="Normal 16 5 2 2 3 2" xfId="13897" xr:uid="{00000000-0005-0000-0000-000045360000}"/>
    <cellStyle name="Normal 16 5 2 2 4" xfId="13898" xr:uid="{00000000-0005-0000-0000-000046360000}"/>
    <cellStyle name="Normal 16 5 2 3" xfId="13899" xr:uid="{00000000-0005-0000-0000-000047360000}"/>
    <cellStyle name="Normal 16 5 2 3 2" xfId="13900" xr:uid="{00000000-0005-0000-0000-000048360000}"/>
    <cellStyle name="Normal 16 5 2 4" xfId="13901" xr:uid="{00000000-0005-0000-0000-000049360000}"/>
    <cellStyle name="Normal 16 5 2 4 2" xfId="13902" xr:uid="{00000000-0005-0000-0000-00004A360000}"/>
    <cellStyle name="Normal 16 5 2 5" xfId="13903" xr:uid="{00000000-0005-0000-0000-00004B360000}"/>
    <cellStyle name="Normal 16 5 2 5 2" xfId="13904" xr:uid="{00000000-0005-0000-0000-00004C360000}"/>
    <cellStyle name="Normal 16 5 2 6" xfId="13905" xr:uid="{00000000-0005-0000-0000-00004D360000}"/>
    <cellStyle name="Normal 16 5 2 6 2" xfId="13906" xr:uid="{00000000-0005-0000-0000-00004E360000}"/>
    <cellStyle name="Normal 16 5 2 7" xfId="13907" xr:uid="{00000000-0005-0000-0000-00004F360000}"/>
    <cellStyle name="Normal 16 5 3" xfId="13908" xr:uid="{00000000-0005-0000-0000-000050360000}"/>
    <cellStyle name="Normal 16 5 3 2" xfId="13909" xr:uid="{00000000-0005-0000-0000-000051360000}"/>
    <cellStyle name="Normal 16 5 3 2 2" xfId="13910" xr:uid="{00000000-0005-0000-0000-000052360000}"/>
    <cellStyle name="Normal 16 5 3 3" xfId="13911" xr:uid="{00000000-0005-0000-0000-000053360000}"/>
    <cellStyle name="Normal 16 5 3 3 2" xfId="13912" xr:uid="{00000000-0005-0000-0000-000054360000}"/>
    <cellStyle name="Normal 16 5 3 4" xfId="13913" xr:uid="{00000000-0005-0000-0000-000055360000}"/>
    <cellStyle name="Normal 16 5 3 4 2" xfId="13914" xr:uid="{00000000-0005-0000-0000-000056360000}"/>
    <cellStyle name="Normal 16 5 3 5" xfId="13915" xr:uid="{00000000-0005-0000-0000-000057360000}"/>
    <cellStyle name="Normal 16 5 3 5 2" xfId="13916" xr:uid="{00000000-0005-0000-0000-000058360000}"/>
    <cellStyle name="Normal 16 5 3 6" xfId="13917" xr:uid="{00000000-0005-0000-0000-000059360000}"/>
    <cellStyle name="Normal 16 5 4" xfId="13918" xr:uid="{00000000-0005-0000-0000-00005A360000}"/>
    <cellStyle name="Normal 16 5 4 2" xfId="13919" xr:uid="{00000000-0005-0000-0000-00005B360000}"/>
    <cellStyle name="Normal 16 5 4 2 2" xfId="13920" xr:uid="{00000000-0005-0000-0000-00005C360000}"/>
    <cellStyle name="Normal 16 5 4 3" xfId="13921" xr:uid="{00000000-0005-0000-0000-00005D360000}"/>
    <cellStyle name="Normal 16 5 5" xfId="13922" xr:uid="{00000000-0005-0000-0000-00005E360000}"/>
    <cellStyle name="Normal 16 5 5 2" xfId="13923" xr:uid="{00000000-0005-0000-0000-00005F360000}"/>
    <cellStyle name="Normal 16 5 6" xfId="13924" xr:uid="{00000000-0005-0000-0000-000060360000}"/>
    <cellStyle name="Normal 16 5 6 2" xfId="13925" xr:uid="{00000000-0005-0000-0000-000061360000}"/>
    <cellStyle name="Normal 16 5 7" xfId="13926" xr:uid="{00000000-0005-0000-0000-000062360000}"/>
    <cellStyle name="Normal 16 5 7 2" xfId="13927" xr:uid="{00000000-0005-0000-0000-000063360000}"/>
    <cellStyle name="Normal 16 5 8" xfId="13928" xr:uid="{00000000-0005-0000-0000-000064360000}"/>
    <cellStyle name="Normal 16 6" xfId="13929" xr:uid="{00000000-0005-0000-0000-000065360000}"/>
    <cellStyle name="Normal 16 6 2" xfId="13930" xr:uid="{00000000-0005-0000-0000-000066360000}"/>
    <cellStyle name="Normal 16 6 2 2" xfId="13931" xr:uid="{00000000-0005-0000-0000-000067360000}"/>
    <cellStyle name="Normal 16 6 2 2 2" xfId="13932" xr:uid="{00000000-0005-0000-0000-000068360000}"/>
    <cellStyle name="Normal 16 6 2 3" xfId="13933" xr:uid="{00000000-0005-0000-0000-000069360000}"/>
    <cellStyle name="Normal 16 6 2 3 2" xfId="13934" xr:uid="{00000000-0005-0000-0000-00006A360000}"/>
    <cellStyle name="Normal 16 6 2 4" xfId="13935" xr:uid="{00000000-0005-0000-0000-00006B360000}"/>
    <cellStyle name="Normal 16 6 3" xfId="13936" xr:uid="{00000000-0005-0000-0000-00006C360000}"/>
    <cellStyle name="Normal 16 6 3 2" xfId="13937" xr:uid="{00000000-0005-0000-0000-00006D360000}"/>
    <cellStyle name="Normal 16 6 4" xfId="13938" xr:uid="{00000000-0005-0000-0000-00006E360000}"/>
    <cellStyle name="Normal 16 6 4 2" xfId="13939" xr:uid="{00000000-0005-0000-0000-00006F360000}"/>
    <cellStyle name="Normal 16 6 5" xfId="13940" xr:uid="{00000000-0005-0000-0000-000070360000}"/>
    <cellStyle name="Normal 16 6 5 2" xfId="13941" xr:uid="{00000000-0005-0000-0000-000071360000}"/>
    <cellStyle name="Normal 16 6 6" xfId="13942" xr:uid="{00000000-0005-0000-0000-000072360000}"/>
    <cellStyle name="Normal 16 6 6 2" xfId="13943" xr:uid="{00000000-0005-0000-0000-000073360000}"/>
    <cellStyle name="Normal 16 6 7" xfId="13944" xr:uid="{00000000-0005-0000-0000-000074360000}"/>
    <cellStyle name="Normal 16 7" xfId="13945" xr:uid="{00000000-0005-0000-0000-000075360000}"/>
    <cellStyle name="Normal 16 7 2" xfId="13946" xr:uid="{00000000-0005-0000-0000-000076360000}"/>
    <cellStyle name="Normal 16 7 2 2" xfId="13947" xr:uid="{00000000-0005-0000-0000-000077360000}"/>
    <cellStyle name="Normal 16 7 3" xfId="13948" xr:uid="{00000000-0005-0000-0000-000078360000}"/>
    <cellStyle name="Normal 16 7 4" xfId="13949" xr:uid="{00000000-0005-0000-0000-000079360000}"/>
    <cellStyle name="Normal 16 7 4 2" xfId="13950" xr:uid="{00000000-0005-0000-0000-00007A360000}"/>
    <cellStyle name="Normal 16 7 5" xfId="13951" xr:uid="{00000000-0005-0000-0000-00007B360000}"/>
    <cellStyle name="Normal 16 7 5 2" xfId="13952" xr:uid="{00000000-0005-0000-0000-00007C360000}"/>
    <cellStyle name="Normal 16 7 6" xfId="13953" xr:uid="{00000000-0005-0000-0000-00007D360000}"/>
    <cellStyle name="Normal 16 8" xfId="13954" xr:uid="{00000000-0005-0000-0000-00007E360000}"/>
    <cellStyle name="Normal 16 8 2" xfId="13955" xr:uid="{00000000-0005-0000-0000-00007F360000}"/>
    <cellStyle name="Normal 16 8 2 2" xfId="13956" xr:uid="{00000000-0005-0000-0000-000080360000}"/>
    <cellStyle name="Normal 16 8 3" xfId="13957" xr:uid="{00000000-0005-0000-0000-000081360000}"/>
    <cellStyle name="Normal 16 9" xfId="13958" xr:uid="{00000000-0005-0000-0000-000082360000}"/>
    <cellStyle name="Normal 16 9 2" xfId="13959" xr:uid="{00000000-0005-0000-0000-000083360000}"/>
    <cellStyle name="Normal 16 9 2 2" xfId="13960" xr:uid="{00000000-0005-0000-0000-000084360000}"/>
    <cellStyle name="Normal 16 9 3" xfId="13961" xr:uid="{00000000-0005-0000-0000-000085360000}"/>
    <cellStyle name="Normal 17" xfId="13962" xr:uid="{00000000-0005-0000-0000-000086360000}"/>
    <cellStyle name="Normal 17 10" xfId="13963" xr:uid="{00000000-0005-0000-0000-000087360000}"/>
    <cellStyle name="Normal 17 10 2" xfId="13964" xr:uid="{00000000-0005-0000-0000-000088360000}"/>
    <cellStyle name="Normal 17 11" xfId="13965" xr:uid="{00000000-0005-0000-0000-000089360000}"/>
    <cellStyle name="Normal 17 11 2" xfId="13966" xr:uid="{00000000-0005-0000-0000-00008A360000}"/>
    <cellStyle name="Normal 17 12" xfId="13967" xr:uid="{00000000-0005-0000-0000-00008B360000}"/>
    <cellStyle name="Normal 17 12 2" xfId="13968" xr:uid="{00000000-0005-0000-0000-00008C360000}"/>
    <cellStyle name="Normal 17 13" xfId="13969" xr:uid="{00000000-0005-0000-0000-00008D360000}"/>
    <cellStyle name="Normal 17 2" xfId="13970" xr:uid="{00000000-0005-0000-0000-00008E360000}"/>
    <cellStyle name="Normal 17 2 10" xfId="13971" xr:uid="{00000000-0005-0000-0000-00008F360000}"/>
    <cellStyle name="Normal 17 2 10 2" xfId="13972" xr:uid="{00000000-0005-0000-0000-000090360000}"/>
    <cellStyle name="Normal 17 2 11" xfId="13973" xr:uid="{00000000-0005-0000-0000-000091360000}"/>
    <cellStyle name="Normal 17 2 2" xfId="13974" xr:uid="{00000000-0005-0000-0000-000092360000}"/>
    <cellStyle name="Normal 17 2 2 10" xfId="13975" xr:uid="{00000000-0005-0000-0000-000093360000}"/>
    <cellStyle name="Normal 17 2 2 2" xfId="13976" xr:uid="{00000000-0005-0000-0000-000094360000}"/>
    <cellStyle name="Normal 17 2 2 2 2" xfId="13977" xr:uid="{00000000-0005-0000-0000-000095360000}"/>
    <cellStyle name="Normal 17 2 2 2 2 2" xfId="13978" xr:uid="{00000000-0005-0000-0000-000096360000}"/>
    <cellStyle name="Normal 17 2 2 2 2 2 2" xfId="13979" xr:uid="{00000000-0005-0000-0000-000097360000}"/>
    <cellStyle name="Normal 17 2 2 2 2 2 2 2" xfId="13980" xr:uid="{00000000-0005-0000-0000-000098360000}"/>
    <cellStyle name="Normal 17 2 2 2 2 2 3" xfId="13981" xr:uid="{00000000-0005-0000-0000-000099360000}"/>
    <cellStyle name="Normal 17 2 2 2 2 2 3 2" xfId="13982" xr:uid="{00000000-0005-0000-0000-00009A360000}"/>
    <cellStyle name="Normal 17 2 2 2 2 2 4" xfId="13983" xr:uid="{00000000-0005-0000-0000-00009B360000}"/>
    <cellStyle name="Normal 17 2 2 2 2 3" xfId="13984" xr:uid="{00000000-0005-0000-0000-00009C360000}"/>
    <cellStyle name="Normal 17 2 2 2 2 3 2" xfId="13985" xr:uid="{00000000-0005-0000-0000-00009D360000}"/>
    <cellStyle name="Normal 17 2 2 2 2 4" xfId="13986" xr:uid="{00000000-0005-0000-0000-00009E360000}"/>
    <cellStyle name="Normal 17 2 2 2 2 4 2" xfId="13987" xr:uid="{00000000-0005-0000-0000-00009F360000}"/>
    <cellStyle name="Normal 17 2 2 2 2 5" xfId="13988" xr:uid="{00000000-0005-0000-0000-0000A0360000}"/>
    <cellStyle name="Normal 17 2 2 2 2 5 2" xfId="13989" xr:uid="{00000000-0005-0000-0000-0000A1360000}"/>
    <cellStyle name="Normal 17 2 2 2 2 6" xfId="13990" xr:uid="{00000000-0005-0000-0000-0000A2360000}"/>
    <cellStyle name="Normal 17 2 2 2 2 6 2" xfId="13991" xr:uid="{00000000-0005-0000-0000-0000A3360000}"/>
    <cellStyle name="Normal 17 2 2 2 2 7" xfId="13992" xr:uid="{00000000-0005-0000-0000-0000A4360000}"/>
    <cellStyle name="Normal 17 2 2 2 3" xfId="13993" xr:uid="{00000000-0005-0000-0000-0000A5360000}"/>
    <cellStyle name="Normal 17 2 2 2 3 2" xfId="13994" xr:uid="{00000000-0005-0000-0000-0000A6360000}"/>
    <cellStyle name="Normal 17 2 2 2 3 2 2" xfId="13995" xr:uid="{00000000-0005-0000-0000-0000A7360000}"/>
    <cellStyle name="Normal 17 2 2 2 3 3" xfId="13996" xr:uid="{00000000-0005-0000-0000-0000A8360000}"/>
    <cellStyle name="Normal 17 2 2 2 3 3 2" xfId="13997" xr:uid="{00000000-0005-0000-0000-0000A9360000}"/>
    <cellStyle name="Normal 17 2 2 2 3 4" xfId="13998" xr:uid="{00000000-0005-0000-0000-0000AA360000}"/>
    <cellStyle name="Normal 17 2 2 2 3 4 2" xfId="13999" xr:uid="{00000000-0005-0000-0000-0000AB360000}"/>
    <cellStyle name="Normal 17 2 2 2 3 5" xfId="14000" xr:uid="{00000000-0005-0000-0000-0000AC360000}"/>
    <cellStyle name="Normal 17 2 2 2 3 5 2" xfId="14001" xr:uid="{00000000-0005-0000-0000-0000AD360000}"/>
    <cellStyle name="Normal 17 2 2 2 3 6" xfId="14002" xr:uid="{00000000-0005-0000-0000-0000AE360000}"/>
    <cellStyle name="Normal 17 2 2 2 4" xfId="14003" xr:uid="{00000000-0005-0000-0000-0000AF360000}"/>
    <cellStyle name="Normal 17 2 2 2 4 2" xfId="14004" xr:uid="{00000000-0005-0000-0000-0000B0360000}"/>
    <cellStyle name="Normal 17 2 2 2 4 2 2" xfId="14005" xr:uid="{00000000-0005-0000-0000-0000B1360000}"/>
    <cellStyle name="Normal 17 2 2 2 4 3" xfId="14006" xr:uid="{00000000-0005-0000-0000-0000B2360000}"/>
    <cellStyle name="Normal 17 2 2 2 5" xfId="14007" xr:uid="{00000000-0005-0000-0000-0000B3360000}"/>
    <cellStyle name="Normal 17 2 2 2 5 2" xfId="14008" xr:uid="{00000000-0005-0000-0000-0000B4360000}"/>
    <cellStyle name="Normal 17 2 2 2 6" xfId="14009" xr:uid="{00000000-0005-0000-0000-0000B5360000}"/>
    <cellStyle name="Normal 17 2 2 2 6 2" xfId="14010" xr:uid="{00000000-0005-0000-0000-0000B6360000}"/>
    <cellStyle name="Normal 17 2 2 2 7" xfId="14011" xr:uid="{00000000-0005-0000-0000-0000B7360000}"/>
    <cellStyle name="Normal 17 2 2 2 7 2" xfId="14012" xr:uid="{00000000-0005-0000-0000-0000B8360000}"/>
    <cellStyle name="Normal 17 2 2 2 8" xfId="14013" xr:uid="{00000000-0005-0000-0000-0000B9360000}"/>
    <cellStyle name="Normal 17 2 2 3" xfId="14014" xr:uid="{00000000-0005-0000-0000-0000BA360000}"/>
    <cellStyle name="Normal 17 2 2 3 2" xfId="14015" xr:uid="{00000000-0005-0000-0000-0000BB360000}"/>
    <cellStyle name="Normal 17 2 2 3 2 2" xfId="14016" xr:uid="{00000000-0005-0000-0000-0000BC360000}"/>
    <cellStyle name="Normal 17 2 2 3 2 2 2" xfId="14017" xr:uid="{00000000-0005-0000-0000-0000BD360000}"/>
    <cellStyle name="Normal 17 2 2 3 2 2 2 2" xfId="14018" xr:uid="{00000000-0005-0000-0000-0000BE360000}"/>
    <cellStyle name="Normal 17 2 2 3 2 2 3" xfId="14019" xr:uid="{00000000-0005-0000-0000-0000BF360000}"/>
    <cellStyle name="Normal 17 2 2 3 2 2 3 2" xfId="14020" xr:uid="{00000000-0005-0000-0000-0000C0360000}"/>
    <cellStyle name="Normal 17 2 2 3 2 2 4" xfId="14021" xr:uid="{00000000-0005-0000-0000-0000C1360000}"/>
    <cellStyle name="Normal 17 2 2 3 2 3" xfId="14022" xr:uid="{00000000-0005-0000-0000-0000C2360000}"/>
    <cellStyle name="Normal 17 2 2 3 2 3 2" xfId="14023" xr:uid="{00000000-0005-0000-0000-0000C3360000}"/>
    <cellStyle name="Normal 17 2 2 3 2 4" xfId="14024" xr:uid="{00000000-0005-0000-0000-0000C4360000}"/>
    <cellStyle name="Normal 17 2 2 3 2 4 2" xfId="14025" xr:uid="{00000000-0005-0000-0000-0000C5360000}"/>
    <cellStyle name="Normal 17 2 2 3 2 5" xfId="14026" xr:uid="{00000000-0005-0000-0000-0000C6360000}"/>
    <cellStyle name="Normal 17 2 2 3 2 5 2" xfId="14027" xr:uid="{00000000-0005-0000-0000-0000C7360000}"/>
    <cellStyle name="Normal 17 2 2 3 2 6" xfId="14028" xr:uid="{00000000-0005-0000-0000-0000C8360000}"/>
    <cellStyle name="Normal 17 2 2 3 2 6 2" xfId="14029" xr:uid="{00000000-0005-0000-0000-0000C9360000}"/>
    <cellStyle name="Normal 17 2 2 3 2 7" xfId="14030" xr:uid="{00000000-0005-0000-0000-0000CA360000}"/>
    <cellStyle name="Normal 17 2 2 3 3" xfId="14031" xr:uid="{00000000-0005-0000-0000-0000CB360000}"/>
    <cellStyle name="Normal 17 2 2 3 3 2" xfId="14032" xr:uid="{00000000-0005-0000-0000-0000CC360000}"/>
    <cellStyle name="Normal 17 2 2 3 3 2 2" xfId="14033" xr:uid="{00000000-0005-0000-0000-0000CD360000}"/>
    <cellStyle name="Normal 17 2 2 3 3 3" xfId="14034" xr:uid="{00000000-0005-0000-0000-0000CE360000}"/>
    <cellStyle name="Normal 17 2 2 3 3 3 2" xfId="14035" xr:uid="{00000000-0005-0000-0000-0000CF360000}"/>
    <cellStyle name="Normal 17 2 2 3 3 4" xfId="14036" xr:uid="{00000000-0005-0000-0000-0000D0360000}"/>
    <cellStyle name="Normal 17 2 2 3 3 4 2" xfId="14037" xr:uid="{00000000-0005-0000-0000-0000D1360000}"/>
    <cellStyle name="Normal 17 2 2 3 3 5" xfId="14038" xr:uid="{00000000-0005-0000-0000-0000D2360000}"/>
    <cellStyle name="Normal 17 2 2 3 3 5 2" xfId="14039" xr:uid="{00000000-0005-0000-0000-0000D3360000}"/>
    <cellStyle name="Normal 17 2 2 3 3 6" xfId="14040" xr:uid="{00000000-0005-0000-0000-0000D4360000}"/>
    <cellStyle name="Normal 17 2 2 3 4" xfId="14041" xr:uid="{00000000-0005-0000-0000-0000D5360000}"/>
    <cellStyle name="Normal 17 2 2 3 4 2" xfId="14042" xr:uid="{00000000-0005-0000-0000-0000D6360000}"/>
    <cellStyle name="Normal 17 2 2 3 4 2 2" xfId="14043" xr:uid="{00000000-0005-0000-0000-0000D7360000}"/>
    <cellStyle name="Normal 17 2 2 3 4 3" xfId="14044" xr:uid="{00000000-0005-0000-0000-0000D8360000}"/>
    <cellStyle name="Normal 17 2 2 3 5" xfId="14045" xr:uid="{00000000-0005-0000-0000-0000D9360000}"/>
    <cellStyle name="Normal 17 2 2 3 5 2" xfId="14046" xr:uid="{00000000-0005-0000-0000-0000DA360000}"/>
    <cellStyle name="Normal 17 2 2 3 6" xfId="14047" xr:uid="{00000000-0005-0000-0000-0000DB360000}"/>
    <cellStyle name="Normal 17 2 2 3 6 2" xfId="14048" xr:uid="{00000000-0005-0000-0000-0000DC360000}"/>
    <cellStyle name="Normal 17 2 2 3 7" xfId="14049" xr:uid="{00000000-0005-0000-0000-0000DD360000}"/>
    <cellStyle name="Normal 17 2 2 3 7 2" xfId="14050" xr:uid="{00000000-0005-0000-0000-0000DE360000}"/>
    <cellStyle name="Normal 17 2 2 3 8" xfId="14051" xr:uid="{00000000-0005-0000-0000-0000DF360000}"/>
    <cellStyle name="Normal 17 2 2 4" xfId="14052" xr:uid="{00000000-0005-0000-0000-0000E0360000}"/>
    <cellStyle name="Normal 17 2 2 4 2" xfId="14053" xr:uid="{00000000-0005-0000-0000-0000E1360000}"/>
    <cellStyle name="Normal 17 2 2 4 2 2" xfId="14054" xr:uid="{00000000-0005-0000-0000-0000E2360000}"/>
    <cellStyle name="Normal 17 2 2 4 2 2 2" xfId="14055" xr:uid="{00000000-0005-0000-0000-0000E3360000}"/>
    <cellStyle name="Normal 17 2 2 4 2 3" xfId="14056" xr:uid="{00000000-0005-0000-0000-0000E4360000}"/>
    <cellStyle name="Normal 17 2 2 4 2 3 2" xfId="14057" xr:uid="{00000000-0005-0000-0000-0000E5360000}"/>
    <cellStyle name="Normal 17 2 2 4 2 4" xfId="14058" xr:uid="{00000000-0005-0000-0000-0000E6360000}"/>
    <cellStyle name="Normal 17 2 2 4 3" xfId="14059" xr:uid="{00000000-0005-0000-0000-0000E7360000}"/>
    <cellStyle name="Normal 17 2 2 4 3 2" xfId="14060" xr:uid="{00000000-0005-0000-0000-0000E8360000}"/>
    <cellStyle name="Normal 17 2 2 4 4" xfId="14061" xr:uid="{00000000-0005-0000-0000-0000E9360000}"/>
    <cellStyle name="Normal 17 2 2 4 4 2" xfId="14062" xr:uid="{00000000-0005-0000-0000-0000EA360000}"/>
    <cellStyle name="Normal 17 2 2 4 5" xfId="14063" xr:uid="{00000000-0005-0000-0000-0000EB360000}"/>
    <cellStyle name="Normal 17 2 2 4 5 2" xfId="14064" xr:uid="{00000000-0005-0000-0000-0000EC360000}"/>
    <cellStyle name="Normal 17 2 2 4 6" xfId="14065" xr:uid="{00000000-0005-0000-0000-0000ED360000}"/>
    <cellStyle name="Normal 17 2 2 4 6 2" xfId="14066" xr:uid="{00000000-0005-0000-0000-0000EE360000}"/>
    <cellStyle name="Normal 17 2 2 4 7" xfId="14067" xr:uid="{00000000-0005-0000-0000-0000EF360000}"/>
    <cellStyle name="Normal 17 2 2 5" xfId="14068" xr:uid="{00000000-0005-0000-0000-0000F0360000}"/>
    <cellStyle name="Normal 17 2 2 5 2" xfId="14069" xr:uid="{00000000-0005-0000-0000-0000F1360000}"/>
    <cellStyle name="Normal 17 2 2 5 2 2" xfId="14070" xr:uid="{00000000-0005-0000-0000-0000F2360000}"/>
    <cellStyle name="Normal 17 2 2 5 3" xfId="14071" xr:uid="{00000000-0005-0000-0000-0000F3360000}"/>
    <cellStyle name="Normal 17 2 2 5 3 2" xfId="14072" xr:uid="{00000000-0005-0000-0000-0000F4360000}"/>
    <cellStyle name="Normal 17 2 2 5 4" xfId="14073" xr:uid="{00000000-0005-0000-0000-0000F5360000}"/>
    <cellStyle name="Normal 17 2 2 5 4 2" xfId="14074" xr:uid="{00000000-0005-0000-0000-0000F6360000}"/>
    <cellStyle name="Normal 17 2 2 5 5" xfId="14075" xr:uid="{00000000-0005-0000-0000-0000F7360000}"/>
    <cellStyle name="Normal 17 2 2 5 5 2" xfId="14076" xr:uid="{00000000-0005-0000-0000-0000F8360000}"/>
    <cellStyle name="Normal 17 2 2 5 6" xfId="14077" xr:uid="{00000000-0005-0000-0000-0000F9360000}"/>
    <cellStyle name="Normal 17 2 2 6" xfId="14078" xr:uid="{00000000-0005-0000-0000-0000FA360000}"/>
    <cellStyle name="Normal 17 2 2 6 2" xfId="14079" xr:uid="{00000000-0005-0000-0000-0000FB360000}"/>
    <cellStyle name="Normal 17 2 2 6 2 2" xfId="14080" xr:uid="{00000000-0005-0000-0000-0000FC360000}"/>
    <cellStyle name="Normal 17 2 2 6 3" xfId="14081" xr:uid="{00000000-0005-0000-0000-0000FD360000}"/>
    <cellStyle name="Normal 17 2 2 7" xfId="14082" xr:uid="{00000000-0005-0000-0000-0000FE360000}"/>
    <cellStyle name="Normal 17 2 2 7 2" xfId="14083" xr:uid="{00000000-0005-0000-0000-0000FF360000}"/>
    <cellStyle name="Normal 17 2 2 8" xfId="14084" xr:uid="{00000000-0005-0000-0000-000000370000}"/>
    <cellStyle name="Normal 17 2 2 8 2" xfId="14085" xr:uid="{00000000-0005-0000-0000-000001370000}"/>
    <cellStyle name="Normal 17 2 2 9" xfId="14086" xr:uid="{00000000-0005-0000-0000-000002370000}"/>
    <cellStyle name="Normal 17 2 2 9 2" xfId="14087" xr:uid="{00000000-0005-0000-0000-000003370000}"/>
    <cellStyle name="Normal 17 2 3" xfId="14088" xr:uid="{00000000-0005-0000-0000-000004370000}"/>
    <cellStyle name="Normal 17 2 3 2" xfId="14089" xr:uid="{00000000-0005-0000-0000-000005370000}"/>
    <cellStyle name="Normal 17 2 3 2 2" xfId="14090" xr:uid="{00000000-0005-0000-0000-000006370000}"/>
    <cellStyle name="Normal 17 2 3 2 2 2" xfId="14091" xr:uid="{00000000-0005-0000-0000-000007370000}"/>
    <cellStyle name="Normal 17 2 3 2 2 2 2" xfId="14092" xr:uid="{00000000-0005-0000-0000-000008370000}"/>
    <cellStyle name="Normal 17 2 3 2 2 3" xfId="14093" xr:uid="{00000000-0005-0000-0000-000009370000}"/>
    <cellStyle name="Normal 17 2 3 2 2 3 2" xfId="14094" xr:uid="{00000000-0005-0000-0000-00000A370000}"/>
    <cellStyle name="Normal 17 2 3 2 2 4" xfId="14095" xr:uid="{00000000-0005-0000-0000-00000B370000}"/>
    <cellStyle name="Normal 17 2 3 2 3" xfId="14096" xr:uid="{00000000-0005-0000-0000-00000C370000}"/>
    <cellStyle name="Normal 17 2 3 2 3 2" xfId="14097" xr:uid="{00000000-0005-0000-0000-00000D370000}"/>
    <cellStyle name="Normal 17 2 3 2 4" xfId="14098" xr:uid="{00000000-0005-0000-0000-00000E370000}"/>
    <cellStyle name="Normal 17 2 3 2 4 2" xfId="14099" xr:uid="{00000000-0005-0000-0000-00000F370000}"/>
    <cellStyle name="Normal 17 2 3 2 5" xfId="14100" xr:uid="{00000000-0005-0000-0000-000010370000}"/>
    <cellStyle name="Normal 17 2 3 2 5 2" xfId="14101" xr:uid="{00000000-0005-0000-0000-000011370000}"/>
    <cellStyle name="Normal 17 2 3 2 6" xfId="14102" xr:uid="{00000000-0005-0000-0000-000012370000}"/>
    <cellStyle name="Normal 17 2 3 2 6 2" xfId="14103" xr:uid="{00000000-0005-0000-0000-000013370000}"/>
    <cellStyle name="Normal 17 2 3 2 7" xfId="14104" xr:uid="{00000000-0005-0000-0000-000014370000}"/>
    <cellStyle name="Normal 17 2 3 3" xfId="14105" xr:uid="{00000000-0005-0000-0000-000015370000}"/>
    <cellStyle name="Normal 17 2 3 3 2" xfId="14106" xr:uid="{00000000-0005-0000-0000-000016370000}"/>
    <cellStyle name="Normal 17 2 3 3 2 2" xfId="14107" xr:uid="{00000000-0005-0000-0000-000017370000}"/>
    <cellStyle name="Normal 17 2 3 3 3" xfId="14108" xr:uid="{00000000-0005-0000-0000-000018370000}"/>
    <cellStyle name="Normal 17 2 3 3 3 2" xfId="14109" xr:uid="{00000000-0005-0000-0000-000019370000}"/>
    <cellStyle name="Normal 17 2 3 3 4" xfId="14110" xr:uid="{00000000-0005-0000-0000-00001A370000}"/>
    <cellStyle name="Normal 17 2 3 3 4 2" xfId="14111" xr:uid="{00000000-0005-0000-0000-00001B370000}"/>
    <cellStyle name="Normal 17 2 3 3 5" xfId="14112" xr:uid="{00000000-0005-0000-0000-00001C370000}"/>
    <cellStyle name="Normal 17 2 3 3 5 2" xfId="14113" xr:uid="{00000000-0005-0000-0000-00001D370000}"/>
    <cellStyle name="Normal 17 2 3 3 6" xfId="14114" xr:uid="{00000000-0005-0000-0000-00001E370000}"/>
    <cellStyle name="Normal 17 2 3 4" xfId="14115" xr:uid="{00000000-0005-0000-0000-00001F370000}"/>
    <cellStyle name="Normal 17 2 3 4 2" xfId="14116" xr:uid="{00000000-0005-0000-0000-000020370000}"/>
    <cellStyle name="Normal 17 2 3 4 2 2" xfId="14117" xr:uid="{00000000-0005-0000-0000-000021370000}"/>
    <cellStyle name="Normal 17 2 3 4 3" xfId="14118" xr:uid="{00000000-0005-0000-0000-000022370000}"/>
    <cellStyle name="Normal 17 2 3 5" xfId="14119" xr:uid="{00000000-0005-0000-0000-000023370000}"/>
    <cellStyle name="Normal 17 2 3 5 2" xfId="14120" xr:uid="{00000000-0005-0000-0000-000024370000}"/>
    <cellStyle name="Normal 17 2 3 6" xfId="14121" xr:uid="{00000000-0005-0000-0000-000025370000}"/>
    <cellStyle name="Normal 17 2 3 6 2" xfId="14122" xr:uid="{00000000-0005-0000-0000-000026370000}"/>
    <cellStyle name="Normal 17 2 3 7" xfId="14123" xr:uid="{00000000-0005-0000-0000-000027370000}"/>
    <cellStyle name="Normal 17 2 3 7 2" xfId="14124" xr:uid="{00000000-0005-0000-0000-000028370000}"/>
    <cellStyle name="Normal 17 2 3 8" xfId="14125" xr:uid="{00000000-0005-0000-0000-000029370000}"/>
    <cellStyle name="Normal 17 2 4" xfId="14126" xr:uid="{00000000-0005-0000-0000-00002A370000}"/>
    <cellStyle name="Normal 17 2 4 2" xfId="14127" xr:uid="{00000000-0005-0000-0000-00002B370000}"/>
    <cellStyle name="Normal 17 2 4 2 2" xfId="14128" xr:uid="{00000000-0005-0000-0000-00002C370000}"/>
    <cellStyle name="Normal 17 2 4 2 2 2" xfId="14129" xr:uid="{00000000-0005-0000-0000-00002D370000}"/>
    <cellStyle name="Normal 17 2 4 2 2 2 2" xfId="14130" xr:uid="{00000000-0005-0000-0000-00002E370000}"/>
    <cellStyle name="Normal 17 2 4 2 2 3" xfId="14131" xr:uid="{00000000-0005-0000-0000-00002F370000}"/>
    <cellStyle name="Normal 17 2 4 2 2 3 2" xfId="14132" xr:uid="{00000000-0005-0000-0000-000030370000}"/>
    <cellStyle name="Normal 17 2 4 2 2 4" xfId="14133" xr:uid="{00000000-0005-0000-0000-000031370000}"/>
    <cellStyle name="Normal 17 2 4 2 3" xfId="14134" xr:uid="{00000000-0005-0000-0000-000032370000}"/>
    <cellStyle name="Normal 17 2 4 2 3 2" xfId="14135" xr:uid="{00000000-0005-0000-0000-000033370000}"/>
    <cellStyle name="Normal 17 2 4 2 4" xfId="14136" xr:uid="{00000000-0005-0000-0000-000034370000}"/>
    <cellStyle name="Normal 17 2 4 2 4 2" xfId="14137" xr:uid="{00000000-0005-0000-0000-000035370000}"/>
    <cellStyle name="Normal 17 2 4 2 5" xfId="14138" xr:uid="{00000000-0005-0000-0000-000036370000}"/>
    <cellStyle name="Normal 17 2 4 2 5 2" xfId="14139" xr:uid="{00000000-0005-0000-0000-000037370000}"/>
    <cellStyle name="Normal 17 2 4 2 6" xfId="14140" xr:uid="{00000000-0005-0000-0000-000038370000}"/>
    <cellStyle name="Normal 17 2 4 2 6 2" xfId="14141" xr:uid="{00000000-0005-0000-0000-000039370000}"/>
    <cellStyle name="Normal 17 2 4 2 7" xfId="14142" xr:uid="{00000000-0005-0000-0000-00003A370000}"/>
    <cellStyle name="Normal 17 2 4 3" xfId="14143" xr:uid="{00000000-0005-0000-0000-00003B370000}"/>
    <cellStyle name="Normal 17 2 4 3 2" xfId="14144" xr:uid="{00000000-0005-0000-0000-00003C370000}"/>
    <cellStyle name="Normal 17 2 4 3 2 2" xfId="14145" xr:uid="{00000000-0005-0000-0000-00003D370000}"/>
    <cellStyle name="Normal 17 2 4 3 3" xfId="14146" xr:uid="{00000000-0005-0000-0000-00003E370000}"/>
    <cellStyle name="Normal 17 2 4 3 3 2" xfId="14147" xr:uid="{00000000-0005-0000-0000-00003F370000}"/>
    <cellStyle name="Normal 17 2 4 3 4" xfId="14148" xr:uid="{00000000-0005-0000-0000-000040370000}"/>
    <cellStyle name="Normal 17 2 4 3 4 2" xfId="14149" xr:uid="{00000000-0005-0000-0000-000041370000}"/>
    <cellStyle name="Normal 17 2 4 3 5" xfId="14150" xr:uid="{00000000-0005-0000-0000-000042370000}"/>
    <cellStyle name="Normal 17 2 4 3 5 2" xfId="14151" xr:uid="{00000000-0005-0000-0000-000043370000}"/>
    <cellStyle name="Normal 17 2 4 3 6" xfId="14152" xr:uid="{00000000-0005-0000-0000-000044370000}"/>
    <cellStyle name="Normal 17 2 4 4" xfId="14153" xr:uid="{00000000-0005-0000-0000-000045370000}"/>
    <cellStyle name="Normal 17 2 4 4 2" xfId="14154" xr:uid="{00000000-0005-0000-0000-000046370000}"/>
    <cellStyle name="Normal 17 2 4 4 2 2" xfId="14155" xr:uid="{00000000-0005-0000-0000-000047370000}"/>
    <cellStyle name="Normal 17 2 4 4 3" xfId="14156" xr:uid="{00000000-0005-0000-0000-000048370000}"/>
    <cellStyle name="Normal 17 2 4 5" xfId="14157" xr:uid="{00000000-0005-0000-0000-000049370000}"/>
    <cellStyle name="Normal 17 2 4 5 2" xfId="14158" xr:uid="{00000000-0005-0000-0000-00004A370000}"/>
    <cellStyle name="Normal 17 2 4 6" xfId="14159" xr:uid="{00000000-0005-0000-0000-00004B370000}"/>
    <cellStyle name="Normal 17 2 4 6 2" xfId="14160" xr:uid="{00000000-0005-0000-0000-00004C370000}"/>
    <cellStyle name="Normal 17 2 4 7" xfId="14161" xr:uid="{00000000-0005-0000-0000-00004D370000}"/>
    <cellStyle name="Normal 17 2 4 7 2" xfId="14162" xr:uid="{00000000-0005-0000-0000-00004E370000}"/>
    <cellStyle name="Normal 17 2 4 8" xfId="14163" xr:uid="{00000000-0005-0000-0000-00004F370000}"/>
    <cellStyle name="Normal 17 2 5" xfId="14164" xr:uid="{00000000-0005-0000-0000-000050370000}"/>
    <cellStyle name="Normal 17 2 5 2" xfId="14165" xr:uid="{00000000-0005-0000-0000-000051370000}"/>
    <cellStyle name="Normal 17 2 5 2 2" xfId="14166" xr:uid="{00000000-0005-0000-0000-000052370000}"/>
    <cellStyle name="Normal 17 2 5 2 2 2" xfId="14167" xr:uid="{00000000-0005-0000-0000-000053370000}"/>
    <cellStyle name="Normal 17 2 5 2 3" xfId="14168" xr:uid="{00000000-0005-0000-0000-000054370000}"/>
    <cellStyle name="Normal 17 2 5 2 3 2" xfId="14169" xr:uid="{00000000-0005-0000-0000-000055370000}"/>
    <cellStyle name="Normal 17 2 5 2 4" xfId="14170" xr:uid="{00000000-0005-0000-0000-000056370000}"/>
    <cellStyle name="Normal 17 2 5 3" xfId="14171" xr:uid="{00000000-0005-0000-0000-000057370000}"/>
    <cellStyle name="Normal 17 2 5 3 2" xfId="14172" xr:uid="{00000000-0005-0000-0000-000058370000}"/>
    <cellStyle name="Normal 17 2 5 4" xfId="14173" xr:uid="{00000000-0005-0000-0000-000059370000}"/>
    <cellStyle name="Normal 17 2 5 4 2" xfId="14174" xr:uid="{00000000-0005-0000-0000-00005A370000}"/>
    <cellStyle name="Normal 17 2 5 5" xfId="14175" xr:uid="{00000000-0005-0000-0000-00005B370000}"/>
    <cellStyle name="Normal 17 2 5 5 2" xfId="14176" xr:uid="{00000000-0005-0000-0000-00005C370000}"/>
    <cellStyle name="Normal 17 2 5 6" xfId="14177" xr:uid="{00000000-0005-0000-0000-00005D370000}"/>
    <cellStyle name="Normal 17 2 5 6 2" xfId="14178" xr:uid="{00000000-0005-0000-0000-00005E370000}"/>
    <cellStyle name="Normal 17 2 5 7" xfId="14179" xr:uid="{00000000-0005-0000-0000-00005F370000}"/>
    <cellStyle name="Normal 17 2 6" xfId="14180" xr:uid="{00000000-0005-0000-0000-000060370000}"/>
    <cellStyle name="Normal 17 2 6 2" xfId="14181" xr:uid="{00000000-0005-0000-0000-000061370000}"/>
    <cellStyle name="Normal 17 2 6 2 2" xfId="14182" xr:uid="{00000000-0005-0000-0000-000062370000}"/>
    <cellStyle name="Normal 17 2 6 3" xfId="14183" xr:uid="{00000000-0005-0000-0000-000063370000}"/>
    <cellStyle name="Normal 17 2 6 3 2" xfId="14184" xr:uid="{00000000-0005-0000-0000-000064370000}"/>
    <cellStyle name="Normal 17 2 6 4" xfId="14185" xr:uid="{00000000-0005-0000-0000-000065370000}"/>
    <cellStyle name="Normal 17 2 6 4 2" xfId="14186" xr:uid="{00000000-0005-0000-0000-000066370000}"/>
    <cellStyle name="Normal 17 2 6 5" xfId="14187" xr:uid="{00000000-0005-0000-0000-000067370000}"/>
    <cellStyle name="Normal 17 2 6 5 2" xfId="14188" xr:uid="{00000000-0005-0000-0000-000068370000}"/>
    <cellStyle name="Normal 17 2 6 6" xfId="14189" xr:uid="{00000000-0005-0000-0000-000069370000}"/>
    <cellStyle name="Normal 17 2 7" xfId="14190" xr:uid="{00000000-0005-0000-0000-00006A370000}"/>
    <cellStyle name="Normal 17 2 7 2" xfId="14191" xr:uid="{00000000-0005-0000-0000-00006B370000}"/>
    <cellStyle name="Normal 17 2 7 2 2" xfId="14192" xr:uid="{00000000-0005-0000-0000-00006C370000}"/>
    <cellStyle name="Normal 17 2 7 3" xfId="14193" xr:uid="{00000000-0005-0000-0000-00006D370000}"/>
    <cellStyle name="Normal 17 2 8" xfId="14194" xr:uid="{00000000-0005-0000-0000-00006E370000}"/>
    <cellStyle name="Normal 17 2 8 2" xfId="14195" xr:uid="{00000000-0005-0000-0000-00006F370000}"/>
    <cellStyle name="Normal 17 2 9" xfId="14196" xr:uid="{00000000-0005-0000-0000-000070370000}"/>
    <cellStyle name="Normal 17 2 9 2" xfId="14197" xr:uid="{00000000-0005-0000-0000-000071370000}"/>
    <cellStyle name="Normal 17 3" xfId="14198" xr:uid="{00000000-0005-0000-0000-000072370000}"/>
    <cellStyle name="Normal 17 3 10" xfId="14199" xr:uid="{00000000-0005-0000-0000-000073370000}"/>
    <cellStyle name="Normal 17 3 2" xfId="14200" xr:uid="{00000000-0005-0000-0000-000074370000}"/>
    <cellStyle name="Normal 17 3 2 2" xfId="14201" xr:uid="{00000000-0005-0000-0000-000075370000}"/>
    <cellStyle name="Normal 17 3 2 2 2" xfId="14202" xr:uid="{00000000-0005-0000-0000-000076370000}"/>
    <cellStyle name="Normal 17 3 2 2 2 2" xfId="14203" xr:uid="{00000000-0005-0000-0000-000077370000}"/>
    <cellStyle name="Normal 17 3 2 2 2 2 2" xfId="14204" xr:uid="{00000000-0005-0000-0000-000078370000}"/>
    <cellStyle name="Normal 17 3 2 2 2 3" xfId="14205" xr:uid="{00000000-0005-0000-0000-000079370000}"/>
    <cellStyle name="Normal 17 3 2 2 2 3 2" xfId="14206" xr:uid="{00000000-0005-0000-0000-00007A370000}"/>
    <cellStyle name="Normal 17 3 2 2 2 4" xfId="14207" xr:uid="{00000000-0005-0000-0000-00007B370000}"/>
    <cellStyle name="Normal 17 3 2 2 3" xfId="14208" xr:uid="{00000000-0005-0000-0000-00007C370000}"/>
    <cellStyle name="Normal 17 3 2 2 3 2" xfId="14209" xr:uid="{00000000-0005-0000-0000-00007D370000}"/>
    <cellStyle name="Normal 17 3 2 2 4" xfId="14210" xr:uid="{00000000-0005-0000-0000-00007E370000}"/>
    <cellStyle name="Normal 17 3 2 2 4 2" xfId="14211" xr:uid="{00000000-0005-0000-0000-00007F370000}"/>
    <cellStyle name="Normal 17 3 2 2 5" xfId="14212" xr:uid="{00000000-0005-0000-0000-000080370000}"/>
    <cellStyle name="Normal 17 3 2 2 5 2" xfId="14213" xr:uid="{00000000-0005-0000-0000-000081370000}"/>
    <cellStyle name="Normal 17 3 2 2 6" xfId="14214" xr:uid="{00000000-0005-0000-0000-000082370000}"/>
    <cellStyle name="Normal 17 3 2 2 6 2" xfId="14215" xr:uid="{00000000-0005-0000-0000-000083370000}"/>
    <cellStyle name="Normal 17 3 2 2 7" xfId="14216" xr:uid="{00000000-0005-0000-0000-000084370000}"/>
    <cellStyle name="Normal 17 3 2 3" xfId="14217" xr:uid="{00000000-0005-0000-0000-000085370000}"/>
    <cellStyle name="Normal 17 3 2 3 2" xfId="14218" xr:uid="{00000000-0005-0000-0000-000086370000}"/>
    <cellStyle name="Normal 17 3 2 3 2 2" xfId="14219" xr:uid="{00000000-0005-0000-0000-000087370000}"/>
    <cellStyle name="Normal 17 3 2 3 3" xfId="14220" xr:uid="{00000000-0005-0000-0000-000088370000}"/>
    <cellStyle name="Normal 17 3 2 3 3 2" xfId="14221" xr:uid="{00000000-0005-0000-0000-000089370000}"/>
    <cellStyle name="Normal 17 3 2 3 4" xfId="14222" xr:uid="{00000000-0005-0000-0000-00008A370000}"/>
    <cellStyle name="Normal 17 3 2 3 4 2" xfId="14223" xr:uid="{00000000-0005-0000-0000-00008B370000}"/>
    <cellStyle name="Normal 17 3 2 3 5" xfId="14224" xr:uid="{00000000-0005-0000-0000-00008C370000}"/>
    <cellStyle name="Normal 17 3 2 3 5 2" xfId="14225" xr:uid="{00000000-0005-0000-0000-00008D370000}"/>
    <cellStyle name="Normal 17 3 2 3 6" xfId="14226" xr:uid="{00000000-0005-0000-0000-00008E370000}"/>
    <cellStyle name="Normal 17 3 2 4" xfId="14227" xr:uid="{00000000-0005-0000-0000-00008F370000}"/>
    <cellStyle name="Normal 17 3 2 4 2" xfId="14228" xr:uid="{00000000-0005-0000-0000-000090370000}"/>
    <cellStyle name="Normal 17 3 2 4 2 2" xfId="14229" xr:uid="{00000000-0005-0000-0000-000091370000}"/>
    <cellStyle name="Normal 17 3 2 4 3" xfId="14230" xr:uid="{00000000-0005-0000-0000-000092370000}"/>
    <cellStyle name="Normal 17 3 2 5" xfId="14231" xr:uid="{00000000-0005-0000-0000-000093370000}"/>
    <cellStyle name="Normal 17 3 2 5 2" xfId="14232" xr:uid="{00000000-0005-0000-0000-000094370000}"/>
    <cellStyle name="Normal 17 3 2 6" xfId="14233" xr:uid="{00000000-0005-0000-0000-000095370000}"/>
    <cellStyle name="Normal 17 3 2 6 2" xfId="14234" xr:uid="{00000000-0005-0000-0000-000096370000}"/>
    <cellStyle name="Normal 17 3 2 7" xfId="14235" xr:uid="{00000000-0005-0000-0000-000097370000}"/>
    <cellStyle name="Normal 17 3 2 7 2" xfId="14236" xr:uid="{00000000-0005-0000-0000-000098370000}"/>
    <cellStyle name="Normal 17 3 2 8" xfId="14237" xr:uid="{00000000-0005-0000-0000-000099370000}"/>
    <cellStyle name="Normal 17 3 3" xfId="14238" xr:uid="{00000000-0005-0000-0000-00009A370000}"/>
    <cellStyle name="Normal 17 3 3 2" xfId="14239" xr:uid="{00000000-0005-0000-0000-00009B370000}"/>
    <cellStyle name="Normal 17 3 3 2 2" xfId="14240" xr:uid="{00000000-0005-0000-0000-00009C370000}"/>
    <cellStyle name="Normal 17 3 3 2 2 2" xfId="14241" xr:uid="{00000000-0005-0000-0000-00009D370000}"/>
    <cellStyle name="Normal 17 3 3 2 2 2 2" xfId="14242" xr:uid="{00000000-0005-0000-0000-00009E370000}"/>
    <cellStyle name="Normal 17 3 3 2 2 3" xfId="14243" xr:uid="{00000000-0005-0000-0000-00009F370000}"/>
    <cellStyle name="Normal 17 3 3 2 2 3 2" xfId="14244" xr:uid="{00000000-0005-0000-0000-0000A0370000}"/>
    <cellStyle name="Normal 17 3 3 2 2 4" xfId="14245" xr:uid="{00000000-0005-0000-0000-0000A1370000}"/>
    <cellStyle name="Normal 17 3 3 2 3" xfId="14246" xr:uid="{00000000-0005-0000-0000-0000A2370000}"/>
    <cellStyle name="Normal 17 3 3 2 3 2" xfId="14247" xr:uid="{00000000-0005-0000-0000-0000A3370000}"/>
    <cellStyle name="Normal 17 3 3 2 4" xfId="14248" xr:uid="{00000000-0005-0000-0000-0000A4370000}"/>
    <cellStyle name="Normal 17 3 3 2 4 2" xfId="14249" xr:uid="{00000000-0005-0000-0000-0000A5370000}"/>
    <cellStyle name="Normal 17 3 3 2 5" xfId="14250" xr:uid="{00000000-0005-0000-0000-0000A6370000}"/>
    <cellStyle name="Normal 17 3 3 2 5 2" xfId="14251" xr:uid="{00000000-0005-0000-0000-0000A7370000}"/>
    <cellStyle name="Normal 17 3 3 2 6" xfId="14252" xr:uid="{00000000-0005-0000-0000-0000A8370000}"/>
    <cellStyle name="Normal 17 3 3 2 6 2" xfId="14253" xr:uid="{00000000-0005-0000-0000-0000A9370000}"/>
    <cellStyle name="Normal 17 3 3 2 7" xfId="14254" xr:uid="{00000000-0005-0000-0000-0000AA370000}"/>
    <cellStyle name="Normal 17 3 3 3" xfId="14255" xr:uid="{00000000-0005-0000-0000-0000AB370000}"/>
    <cellStyle name="Normal 17 3 3 3 2" xfId="14256" xr:uid="{00000000-0005-0000-0000-0000AC370000}"/>
    <cellStyle name="Normal 17 3 3 3 2 2" xfId="14257" xr:uid="{00000000-0005-0000-0000-0000AD370000}"/>
    <cellStyle name="Normal 17 3 3 3 3" xfId="14258" xr:uid="{00000000-0005-0000-0000-0000AE370000}"/>
    <cellStyle name="Normal 17 3 3 3 3 2" xfId="14259" xr:uid="{00000000-0005-0000-0000-0000AF370000}"/>
    <cellStyle name="Normal 17 3 3 3 4" xfId="14260" xr:uid="{00000000-0005-0000-0000-0000B0370000}"/>
    <cellStyle name="Normal 17 3 3 3 4 2" xfId="14261" xr:uid="{00000000-0005-0000-0000-0000B1370000}"/>
    <cellStyle name="Normal 17 3 3 3 5" xfId="14262" xr:uid="{00000000-0005-0000-0000-0000B2370000}"/>
    <cellStyle name="Normal 17 3 3 3 5 2" xfId="14263" xr:uid="{00000000-0005-0000-0000-0000B3370000}"/>
    <cellStyle name="Normal 17 3 3 3 6" xfId="14264" xr:uid="{00000000-0005-0000-0000-0000B4370000}"/>
    <cellStyle name="Normal 17 3 3 4" xfId="14265" xr:uid="{00000000-0005-0000-0000-0000B5370000}"/>
    <cellStyle name="Normal 17 3 3 4 2" xfId="14266" xr:uid="{00000000-0005-0000-0000-0000B6370000}"/>
    <cellStyle name="Normal 17 3 3 4 2 2" xfId="14267" xr:uid="{00000000-0005-0000-0000-0000B7370000}"/>
    <cellStyle name="Normal 17 3 3 4 3" xfId="14268" xr:uid="{00000000-0005-0000-0000-0000B8370000}"/>
    <cellStyle name="Normal 17 3 3 5" xfId="14269" xr:uid="{00000000-0005-0000-0000-0000B9370000}"/>
    <cellStyle name="Normal 17 3 3 5 2" xfId="14270" xr:uid="{00000000-0005-0000-0000-0000BA370000}"/>
    <cellStyle name="Normal 17 3 3 6" xfId="14271" xr:uid="{00000000-0005-0000-0000-0000BB370000}"/>
    <cellStyle name="Normal 17 3 3 6 2" xfId="14272" xr:uid="{00000000-0005-0000-0000-0000BC370000}"/>
    <cellStyle name="Normal 17 3 3 7" xfId="14273" xr:uid="{00000000-0005-0000-0000-0000BD370000}"/>
    <cellStyle name="Normal 17 3 3 7 2" xfId="14274" xr:uid="{00000000-0005-0000-0000-0000BE370000}"/>
    <cellStyle name="Normal 17 3 3 8" xfId="14275" xr:uid="{00000000-0005-0000-0000-0000BF370000}"/>
    <cellStyle name="Normal 17 3 4" xfId="14276" xr:uid="{00000000-0005-0000-0000-0000C0370000}"/>
    <cellStyle name="Normal 17 3 4 2" xfId="14277" xr:uid="{00000000-0005-0000-0000-0000C1370000}"/>
    <cellStyle name="Normal 17 3 4 2 2" xfId="14278" xr:uid="{00000000-0005-0000-0000-0000C2370000}"/>
    <cellStyle name="Normal 17 3 4 2 2 2" xfId="14279" xr:uid="{00000000-0005-0000-0000-0000C3370000}"/>
    <cellStyle name="Normal 17 3 4 2 3" xfId="14280" xr:uid="{00000000-0005-0000-0000-0000C4370000}"/>
    <cellStyle name="Normal 17 3 4 2 3 2" xfId="14281" xr:uid="{00000000-0005-0000-0000-0000C5370000}"/>
    <cellStyle name="Normal 17 3 4 2 4" xfId="14282" xr:uid="{00000000-0005-0000-0000-0000C6370000}"/>
    <cellStyle name="Normal 17 3 4 3" xfId="14283" xr:uid="{00000000-0005-0000-0000-0000C7370000}"/>
    <cellStyle name="Normal 17 3 4 3 2" xfId="14284" xr:uid="{00000000-0005-0000-0000-0000C8370000}"/>
    <cellStyle name="Normal 17 3 4 4" xfId="14285" xr:uid="{00000000-0005-0000-0000-0000C9370000}"/>
    <cellStyle name="Normal 17 3 4 4 2" xfId="14286" xr:uid="{00000000-0005-0000-0000-0000CA370000}"/>
    <cellStyle name="Normal 17 3 4 5" xfId="14287" xr:uid="{00000000-0005-0000-0000-0000CB370000}"/>
    <cellStyle name="Normal 17 3 4 5 2" xfId="14288" xr:uid="{00000000-0005-0000-0000-0000CC370000}"/>
    <cellStyle name="Normal 17 3 4 6" xfId="14289" xr:uid="{00000000-0005-0000-0000-0000CD370000}"/>
    <cellStyle name="Normal 17 3 4 6 2" xfId="14290" xr:uid="{00000000-0005-0000-0000-0000CE370000}"/>
    <cellStyle name="Normal 17 3 4 7" xfId="14291" xr:uid="{00000000-0005-0000-0000-0000CF370000}"/>
    <cellStyle name="Normal 17 3 5" xfId="14292" xr:uid="{00000000-0005-0000-0000-0000D0370000}"/>
    <cellStyle name="Normal 17 3 5 2" xfId="14293" xr:uid="{00000000-0005-0000-0000-0000D1370000}"/>
    <cellStyle name="Normal 17 3 5 2 2" xfId="14294" xr:uid="{00000000-0005-0000-0000-0000D2370000}"/>
    <cellStyle name="Normal 17 3 5 3" xfId="14295" xr:uid="{00000000-0005-0000-0000-0000D3370000}"/>
    <cellStyle name="Normal 17 3 5 3 2" xfId="14296" xr:uid="{00000000-0005-0000-0000-0000D4370000}"/>
    <cellStyle name="Normal 17 3 5 4" xfId="14297" xr:uid="{00000000-0005-0000-0000-0000D5370000}"/>
    <cellStyle name="Normal 17 3 5 4 2" xfId="14298" xr:uid="{00000000-0005-0000-0000-0000D6370000}"/>
    <cellStyle name="Normal 17 3 5 5" xfId="14299" xr:uid="{00000000-0005-0000-0000-0000D7370000}"/>
    <cellStyle name="Normal 17 3 5 5 2" xfId="14300" xr:uid="{00000000-0005-0000-0000-0000D8370000}"/>
    <cellStyle name="Normal 17 3 5 6" xfId="14301" xr:uid="{00000000-0005-0000-0000-0000D9370000}"/>
    <cellStyle name="Normal 17 3 6" xfId="14302" xr:uid="{00000000-0005-0000-0000-0000DA370000}"/>
    <cellStyle name="Normal 17 3 6 2" xfId="14303" xr:uid="{00000000-0005-0000-0000-0000DB370000}"/>
    <cellStyle name="Normal 17 3 6 2 2" xfId="14304" xr:uid="{00000000-0005-0000-0000-0000DC370000}"/>
    <cellStyle name="Normal 17 3 6 3" xfId="14305" xr:uid="{00000000-0005-0000-0000-0000DD370000}"/>
    <cellStyle name="Normal 17 3 7" xfId="14306" xr:uid="{00000000-0005-0000-0000-0000DE370000}"/>
    <cellStyle name="Normal 17 3 7 2" xfId="14307" xr:uid="{00000000-0005-0000-0000-0000DF370000}"/>
    <cellStyle name="Normal 17 3 8" xfId="14308" xr:uid="{00000000-0005-0000-0000-0000E0370000}"/>
    <cellStyle name="Normal 17 3 8 2" xfId="14309" xr:uid="{00000000-0005-0000-0000-0000E1370000}"/>
    <cellStyle name="Normal 17 3 9" xfId="14310" xr:uid="{00000000-0005-0000-0000-0000E2370000}"/>
    <cellStyle name="Normal 17 3 9 2" xfId="14311" xr:uid="{00000000-0005-0000-0000-0000E3370000}"/>
    <cellStyle name="Normal 17 4" xfId="14312" xr:uid="{00000000-0005-0000-0000-0000E4370000}"/>
    <cellStyle name="Normal 17 4 2" xfId="14313" xr:uid="{00000000-0005-0000-0000-0000E5370000}"/>
    <cellStyle name="Normal 17 4 2 2" xfId="14314" xr:uid="{00000000-0005-0000-0000-0000E6370000}"/>
    <cellStyle name="Normal 17 4 2 2 2" xfId="14315" xr:uid="{00000000-0005-0000-0000-0000E7370000}"/>
    <cellStyle name="Normal 17 4 2 2 2 2" xfId="14316" xr:uid="{00000000-0005-0000-0000-0000E8370000}"/>
    <cellStyle name="Normal 17 4 2 2 3" xfId="14317" xr:uid="{00000000-0005-0000-0000-0000E9370000}"/>
    <cellStyle name="Normal 17 4 2 2 3 2" xfId="14318" xr:uid="{00000000-0005-0000-0000-0000EA370000}"/>
    <cellStyle name="Normal 17 4 2 2 4" xfId="14319" xr:uid="{00000000-0005-0000-0000-0000EB370000}"/>
    <cellStyle name="Normal 17 4 2 3" xfId="14320" xr:uid="{00000000-0005-0000-0000-0000EC370000}"/>
    <cellStyle name="Normal 17 4 2 3 2" xfId="14321" xr:uid="{00000000-0005-0000-0000-0000ED370000}"/>
    <cellStyle name="Normal 17 4 2 4" xfId="14322" xr:uid="{00000000-0005-0000-0000-0000EE370000}"/>
    <cellStyle name="Normal 17 4 2 4 2" xfId="14323" xr:uid="{00000000-0005-0000-0000-0000EF370000}"/>
    <cellStyle name="Normal 17 4 2 5" xfId="14324" xr:uid="{00000000-0005-0000-0000-0000F0370000}"/>
    <cellStyle name="Normal 17 4 2 5 2" xfId="14325" xr:uid="{00000000-0005-0000-0000-0000F1370000}"/>
    <cellStyle name="Normal 17 4 2 6" xfId="14326" xr:uid="{00000000-0005-0000-0000-0000F2370000}"/>
    <cellStyle name="Normal 17 4 2 6 2" xfId="14327" xr:uid="{00000000-0005-0000-0000-0000F3370000}"/>
    <cellStyle name="Normal 17 4 2 7" xfId="14328" xr:uid="{00000000-0005-0000-0000-0000F4370000}"/>
    <cellStyle name="Normal 17 4 3" xfId="14329" xr:uid="{00000000-0005-0000-0000-0000F5370000}"/>
    <cellStyle name="Normal 17 4 3 2" xfId="14330" xr:uid="{00000000-0005-0000-0000-0000F6370000}"/>
    <cellStyle name="Normal 17 4 3 2 2" xfId="14331" xr:uid="{00000000-0005-0000-0000-0000F7370000}"/>
    <cellStyle name="Normal 17 4 3 3" xfId="14332" xr:uid="{00000000-0005-0000-0000-0000F8370000}"/>
    <cellStyle name="Normal 17 4 3 3 2" xfId="14333" xr:uid="{00000000-0005-0000-0000-0000F9370000}"/>
    <cellStyle name="Normal 17 4 3 4" xfId="14334" xr:uid="{00000000-0005-0000-0000-0000FA370000}"/>
    <cellStyle name="Normal 17 4 3 4 2" xfId="14335" xr:uid="{00000000-0005-0000-0000-0000FB370000}"/>
    <cellStyle name="Normal 17 4 3 5" xfId="14336" xr:uid="{00000000-0005-0000-0000-0000FC370000}"/>
    <cellStyle name="Normal 17 4 3 5 2" xfId="14337" xr:uid="{00000000-0005-0000-0000-0000FD370000}"/>
    <cellStyle name="Normal 17 4 3 6" xfId="14338" xr:uid="{00000000-0005-0000-0000-0000FE370000}"/>
    <cellStyle name="Normal 17 4 4" xfId="14339" xr:uid="{00000000-0005-0000-0000-0000FF370000}"/>
    <cellStyle name="Normal 17 4 4 2" xfId="14340" xr:uid="{00000000-0005-0000-0000-000000380000}"/>
    <cellStyle name="Normal 17 4 4 2 2" xfId="14341" xr:uid="{00000000-0005-0000-0000-000001380000}"/>
    <cellStyle name="Normal 17 4 4 3" xfId="14342" xr:uid="{00000000-0005-0000-0000-000002380000}"/>
    <cellStyle name="Normal 17 4 5" xfId="14343" xr:uid="{00000000-0005-0000-0000-000003380000}"/>
    <cellStyle name="Normal 17 4 5 2" xfId="14344" xr:uid="{00000000-0005-0000-0000-000004380000}"/>
    <cellStyle name="Normal 17 4 6" xfId="14345" xr:uid="{00000000-0005-0000-0000-000005380000}"/>
    <cellStyle name="Normal 17 4 6 2" xfId="14346" xr:uid="{00000000-0005-0000-0000-000006380000}"/>
    <cellStyle name="Normal 17 4 7" xfId="14347" xr:uid="{00000000-0005-0000-0000-000007380000}"/>
    <cellStyle name="Normal 17 4 7 2" xfId="14348" xr:uid="{00000000-0005-0000-0000-000008380000}"/>
    <cellStyle name="Normal 17 4 8" xfId="14349" xr:uid="{00000000-0005-0000-0000-000009380000}"/>
    <cellStyle name="Normal 17 5" xfId="14350" xr:uid="{00000000-0005-0000-0000-00000A380000}"/>
    <cellStyle name="Normal 17 5 2" xfId="14351" xr:uid="{00000000-0005-0000-0000-00000B380000}"/>
    <cellStyle name="Normal 17 5 2 2" xfId="14352" xr:uid="{00000000-0005-0000-0000-00000C380000}"/>
    <cellStyle name="Normal 17 5 2 2 2" xfId="14353" xr:uid="{00000000-0005-0000-0000-00000D380000}"/>
    <cellStyle name="Normal 17 5 2 2 2 2" xfId="14354" xr:uid="{00000000-0005-0000-0000-00000E380000}"/>
    <cellStyle name="Normal 17 5 2 2 3" xfId="14355" xr:uid="{00000000-0005-0000-0000-00000F380000}"/>
    <cellStyle name="Normal 17 5 2 2 3 2" xfId="14356" xr:uid="{00000000-0005-0000-0000-000010380000}"/>
    <cellStyle name="Normal 17 5 2 2 4" xfId="14357" xr:uid="{00000000-0005-0000-0000-000011380000}"/>
    <cellStyle name="Normal 17 5 2 3" xfId="14358" xr:uid="{00000000-0005-0000-0000-000012380000}"/>
    <cellStyle name="Normal 17 5 2 3 2" xfId="14359" xr:uid="{00000000-0005-0000-0000-000013380000}"/>
    <cellStyle name="Normal 17 5 2 4" xfId="14360" xr:uid="{00000000-0005-0000-0000-000014380000}"/>
    <cellStyle name="Normal 17 5 2 4 2" xfId="14361" xr:uid="{00000000-0005-0000-0000-000015380000}"/>
    <cellStyle name="Normal 17 5 2 5" xfId="14362" xr:uid="{00000000-0005-0000-0000-000016380000}"/>
    <cellStyle name="Normal 17 5 2 5 2" xfId="14363" xr:uid="{00000000-0005-0000-0000-000017380000}"/>
    <cellStyle name="Normal 17 5 2 6" xfId="14364" xr:uid="{00000000-0005-0000-0000-000018380000}"/>
    <cellStyle name="Normal 17 5 2 6 2" xfId="14365" xr:uid="{00000000-0005-0000-0000-000019380000}"/>
    <cellStyle name="Normal 17 5 2 7" xfId="14366" xr:uid="{00000000-0005-0000-0000-00001A380000}"/>
    <cellStyle name="Normal 17 5 3" xfId="14367" xr:uid="{00000000-0005-0000-0000-00001B380000}"/>
    <cellStyle name="Normal 17 5 3 2" xfId="14368" xr:uid="{00000000-0005-0000-0000-00001C380000}"/>
    <cellStyle name="Normal 17 5 3 2 2" xfId="14369" xr:uid="{00000000-0005-0000-0000-00001D380000}"/>
    <cellStyle name="Normal 17 5 3 3" xfId="14370" xr:uid="{00000000-0005-0000-0000-00001E380000}"/>
    <cellStyle name="Normal 17 5 3 3 2" xfId="14371" xr:uid="{00000000-0005-0000-0000-00001F380000}"/>
    <cellStyle name="Normal 17 5 3 4" xfId="14372" xr:uid="{00000000-0005-0000-0000-000020380000}"/>
    <cellStyle name="Normal 17 5 3 4 2" xfId="14373" xr:uid="{00000000-0005-0000-0000-000021380000}"/>
    <cellStyle name="Normal 17 5 3 5" xfId="14374" xr:uid="{00000000-0005-0000-0000-000022380000}"/>
    <cellStyle name="Normal 17 5 3 5 2" xfId="14375" xr:uid="{00000000-0005-0000-0000-000023380000}"/>
    <cellStyle name="Normal 17 5 3 6" xfId="14376" xr:uid="{00000000-0005-0000-0000-000024380000}"/>
    <cellStyle name="Normal 17 5 4" xfId="14377" xr:uid="{00000000-0005-0000-0000-000025380000}"/>
    <cellStyle name="Normal 17 5 4 2" xfId="14378" xr:uid="{00000000-0005-0000-0000-000026380000}"/>
    <cellStyle name="Normal 17 5 4 2 2" xfId="14379" xr:uid="{00000000-0005-0000-0000-000027380000}"/>
    <cellStyle name="Normal 17 5 4 3" xfId="14380" xr:uid="{00000000-0005-0000-0000-000028380000}"/>
    <cellStyle name="Normal 17 5 5" xfId="14381" xr:uid="{00000000-0005-0000-0000-000029380000}"/>
    <cellStyle name="Normal 17 5 5 2" xfId="14382" xr:uid="{00000000-0005-0000-0000-00002A380000}"/>
    <cellStyle name="Normal 17 5 6" xfId="14383" xr:uid="{00000000-0005-0000-0000-00002B380000}"/>
    <cellStyle name="Normal 17 5 6 2" xfId="14384" xr:uid="{00000000-0005-0000-0000-00002C380000}"/>
    <cellStyle name="Normal 17 5 7" xfId="14385" xr:uid="{00000000-0005-0000-0000-00002D380000}"/>
    <cellStyle name="Normal 17 5 7 2" xfId="14386" xr:uid="{00000000-0005-0000-0000-00002E380000}"/>
    <cellStyle name="Normal 17 5 8" xfId="14387" xr:uid="{00000000-0005-0000-0000-00002F380000}"/>
    <cellStyle name="Normal 17 6" xfId="14388" xr:uid="{00000000-0005-0000-0000-000030380000}"/>
    <cellStyle name="Normal 17 6 2" xfId="14389" xr:uid="{00000000-0005-0000-0000-000031380000}"/>
    <cellStyle name="Normal 17 6 2 2" xfId="14390" xr:uid="{00000000-0005-0000-0000-000032380000}"/>
    <cellStyle name="Normal 17 6 2 2 2" xfId="14391" xr:uid="{00000000-0005-0000-0000-000033380000}"/>
    <cellStyle name="Normal 17 6 2 3" xfId="14392" xr:uid="{00000000-0005-0000-0000-000034380000}"/>
    <cellStyle name="Normal 17 6 2 3 2" xfId="14393" xr:uid="{00000000-0005-0000-0000-000035380000}"/>
    <cellStyle name="Normal 17 6 2 4" xfId="14394" xr:uid="{00000000-0005-0000-0000-000036380000}"/>
    <cellStyle name="Normal 17 6 3" xfId="14395" xr:uid="{00000000-0005-0000-0000-000037380000}"/>
    <cellStyle name="Normal 17 6 3 2" xfId="14396" xr:uid="{00000000-0005-0000-0000-000038380000}"/>
    <cellStyle name="Normal 17 6 4" xfId="14397" xr:uid="{00000000-0005-0000-0000-000039380000}"/>
    <cellStyle name="Normal 17 6 4 2" xfId="14398" xr:uid="{00000000-0005-0000-0000-00003A380000}"/>
    <cellStyle name="Normal 17 6 5" xfId="14399" xr:uid="{00000000-0005-0000-0000-00003B380000}"/>
    <cellStyle name="Normal 17 6 5 2" xfId="14400" xr:uid="{00000000-0005-0000-0000-00003C380000}"/>
    <cellStyle name="Normal 17 6 6" xfId="14401" xr:uid="{00000000-0005-0000-0000-00003D380000}"/>
    <cellStyle name="Normal 17 6 6 2" xfId="14402" xr:uid="{00000000-0005-0000-0000-00003E380000}"/>
    <cellStyle name="Normal 17 6 7" xfId="14403" xr:uid="{00000000-0005-0000-0000-00003F380000}"/>
    <cellStyle name="Normal 17 7" xfId="14404" xr:uid="{00000000-0005-0000-0000-000040380000}"/>
    <cellStyle name="Normal 17 7 2" xfId="14405" xr:uid="{00000000-0005-0000-0000-000041380000}"/>
    <cellStyle name="Normal 17 7 2 2" xfId="14406" xr:uid="{00000000-0005-0000-0000-000042380000}"/>
    <cellStyle name="Normal 17 7 3" xfId="14407" xr:uid="{00000000-0005-0000-0000-000043380000}"/>
    <cellStyle name="Normal 17 7 4" xfId="14408" xr:uid="{00000000-0005-0000-0000-000044380000}"/>
    <cellStyle name="Normal 17 7 4 2" xfId="14409" xr:uid="{00000000-0005-0000-0000-000045380000}"/>
    <cellStyle name="Normal 17 7 5" xfId="14410" xr:uid="{00000000-0005-0000-0000-000046380000}"/>
    <cellStyle name="Normal 17 7 5 2" xfId="14411" xr:uid="{00000000-0005-0000-0000-000047380000}"/>
    <cellStyle name="Normal 17 7 6" xfId="14412" xr:uid="{00000000-0005-0000-0000-000048380000}"/>
    <cellStyle name="Normal 17 8" xfId="14413" xr:uid="{00000000-0005-0000-0000-000049380000}"/>
    <cellStyle name="Normal 17 8 2" xfId="14414" xr:uid="{00000000-0005-0000-0000-00004A380000}"/>
    <cellStyle name="Normal 17 8 2 2" xfId="14415" xr:uid="{00000000-0005-0000-0000-00004B380000}"/>
    <cellStyle name="Normal 17 8 3" xfId="14416" xr:uid="{00000000-0005-0000-0000-00004C380000}"/>
    <cellStyle name="Normal 17 9" xfId="14417" xr:uid="{00000000-0005-0000-0000-00004D380000}"/>
    <cellStyle name="Normal 17 9 2" xfId="14418" xr:uid="{00000000-0005-0000-0000-00004E380000}"/>
    <cellStyle name="Normal 17 9 2 2" xfId="14419" xr:uid="{00000000-0005-0000-0000-00004F380000}"/>
    <cellStyle name="Normal 17 9 3" xfId="14420" xr:uid="{00000000-0005-0000-0000-000050380000}"/>
    <cellStyle name="Normal 18" xfId="14421" xr:uid="{00000000-0005-0000-0000-000051380000}"/>
    <cellStyle name="Normal 18 10" xfId="14422" xr:uid="{00000000-0005-0000-0000-000052380000}"/>
    <cellStyle name="Normal 18 10 2" xfId="14423" xr:uid="{00000000-0005-0000-0000-000053380000}"/>
    <cellStyle name="Normal 18 11" xfId="14424" xr:uid="{00000000-0005-0000-0000-000054380000}"/>
    <cellStyle name="Normal 18 11 2" xfId="14425" xr:uid="{00000000-0005-0000-0000-000055380000}"/>
    <cellStyle name="Normal 18 12" xfId="14426" xr:uid="{00000000-0005-0000-0000-000056380000}"/>
    <cellStyle name="Normal 18 12 2" xfId="14427" xr:uid="{00000000-0005-0000-0000-000057380000}"/>
    <cellStyle name="Normal 18 13" xfId="14428" xr:uid="{00000000-0005-0000-0000-000058380000}"/>
    <cellStyle name="Normal 18 2" xfId="14429" xr:uid="{00000000-0005-0000-0000-000059380000}"/>
    <cellStyle name="Normal 18 2 10" xfId="14430" xr:uid="{00000000-0005-0000-0000-00005A380000}"/>
    <cellStyle name="Normal 18 2 10 2" xfId="14431" xr:uid="{00000000-0005-0000-0000-00005B380000}"/>
    <cellStyle name="Normal 18 2 11" xfId="14432" xr:uid="{00000000-0005-0000-0000-00005C380000}"/>
    <cellStyle name="Normal 18 2 2" xfId="14433" xr:uid="{00000000-0005-0000-0000-00005D380000}"/>
    <cellStyle name="Normal 18 2 2 10" xfId="14434" xr:uid="{00000000-0005-0000-0000-00005E380000}"/>
    <cellStyle name="Normal 18 2 2 2" xfId="14435" xr:uid="{00000000-0005-0000-0000-00005F380000}"/>
    <cellStyle name="Normal 18 2 2 2 2" xfId="14436" xr:uid="{00000000-0005-0000-0000-000060380000}"/>
    <cellStyle name="Normal 18 2 2 2 2 2" xfId="14437" xr:uid="{00000000-0005-0000-0000-000061380000}"/>
    <cellStyle name="Normal 18 2 2 2 2 2 2" xfId="14438" xr:uid="{00000000-0005-0000-0000-000062380000}"/>
    <cellStyle name="Normal 18 2 2 2 2 2 2 2" xfId="14439" xr:uid="{00000000-0005-0000-0000-000063380000}"/>
    <cellStyle name="Normal 18 2 2 2 2 2 3" xfId="14440" xr:uid="{00000000-0005-0000-0000-000064380000}"/>
    <cellStyle name="Normal 18 2 2 2 2 2 3 2" xfId="14441" xr:uid="{00000000-0005-0000-0000-000065380000}"/>
    <cellStyle name="Normal 18 2 2 2 2 2 4" xfId="14442" xr:uid="{00000000-0005-0000-0000-000066380000}"/>
    <cellStyle name="Normal 18 2 2 2 2 3" xfId="14443" xr:uid="{00000000-0005-0000-0000-000067380000}"/>
    <cellStyle name="Normal 18 2 2 2 2 3 2" xfId="14444" xr:uid="{00000000-0005-0000-0000-000068380000}"/>
    <cellStyle name="Normal 18 2 2 2 2 4" xfId="14445" xr:uid="{00000000-0005-0000-0000-000069380000}"/>
    <cellStyle name="Normal 18 2 2 2 2 4 2" xfId="14446" xr:uid="{00000000-0005-0000-0000-00006A380000}"/>
    <cellStyle name="Normal 18 2 2 2 2 5" xfId="14447" xr:uid="{00000000-0005-0000-0000-00006B380000}"/>
    <cellStyle name="Normal 18 2 2 2 2 5 2" xfId="14448" xr:uid="{00000000-0005-0000-0000-00006C380000}"/>
    <cellStyle name="Normal 18 2 2 2 2 6" xfId="14449" xr:uid="{00000000-0005-0000-0000-00006D380000}"/>
    <cellStyle name="Normal 18 2 2 2 2 6 2" xfId="14450" xr:uid="{00000000-0005-0000-0000-00006E380000}"/>
    <cellStyle name="Normal 18 2 2 2 2 7" xfId="14451" xr:uid="{00000000-0005-0000-0000-00006F380000}"/>
    <cellStyle name="Normal 18 2 2 2 3" xfId="14452" xr:uid="{00000000-0005-0000-0000-000070380000}"/>
    <cellStyle name="Normal 18 2 2 2 3 2" xfId="14453" xr:uid="{00000000-0005-0000-0000-000071380000}"/>
    <cellStyle name="Normal 18 2 2 2 3 2 2" xfId="14454" xr:uid="{00000000-0005-0000-0000-000072380000}"/>
    <cellStyle name="Normal 18 2 2 2 3 3" xfId="14455" xr:uid="{00000000-0005-0000-0000-000073380000}"/>
    <cellStyle name="Normal 18 2 2 2 3 3 2" xfId="14456" xr:uid="{00000000-0005-0000-0000-000074380000}"/>
    <cellStyle name="Normal 18 2 2 2 3 4" xfId="14457" xr:uid="{00000000-0005-0000-0000-000075380000}"/>
    <cellStyle name="Normal 18 2 2 2 3 4 2" xfId="14458" xr:uid="{00000000-0005-0000-0000-000076380000}"/>
    <cellStyle name="Normal 18 2 2 2 3 5" xfId="14459" xr:uid="{00000000-0005-0000-0000-000077380000}"/>
    <cellStyle name="Normal 18 2 2 2 3 5 2" xfId="14460" xr:uid="{00000000-0005-0000-0000-000078380000}"/>
    <cellStyle name="Normal 18 2 2 2 3 6" xfId="14461" xr:uid="{00000000-0005-0000-0000-000079380000}"/>
    <cellStyle name="Normal 18 2 2 2 4" xfId="14462" xr:uid="{00000000-0005-0000-0000-00007A380000}"/>
    <cellStyle name="Normal 18 2 2 2 4 2" xfId="14463" xr:uid="{00000000-0005-0000-0000-00007B380000}"/>
    <cellStyle name="Normal 18 2 2 2 4 2 2" xfId="14464" xr:uid="{00000000-0005-0000-0000-00007C380000}"/>
    <cellStyle name="Normal 18 2 2 2 4 3" xfId="14465" xr:uid="{00000000-0005-0000-0000-00007D380000}"/>
    <cellStyle name="Normal 18 2 2 2 5" xfId="14466" xr:uid="{00000000-0005-0000-0000-00007E380000}"/>
    <cellStyle name="Normal 18 2 2 2 5 2" xfId="14467" xr:uid="{00000000-0005-0000-0000-00007F380000}"/>
    <cellStyle name="Normal 18 2 2 2 6" xfId="14468" xr:uid="{00000000-0005-0000-0000-000080380000}"/>
    <cellStyle name="Normal 18 2 2 2 6 2" xfId="14469" xr:uid="{00000000-0005-0000-0000-000081380000}"/>
    <cellStyle name="Normal 18 2 2 2 7" xfId="14470" xr:uid="{00000000-0005-0000-0000-000082380000}"/>
    <cellStyle name="Normal 18 2 2 2 7 2" xfId="14471" xr:uid="{00000000-0005-0000-0000-000083380000}"/>
    <cellStyle name="Normal 18 2 2 2 8" xfId="14472" xr:uid="{00000000-0005-0000-0000-000084380000}"/>
    <cellStyle name="Normal 18 2 2 3" xfId="14473" xr:uid="{00000000-0005-0000-0000-000085380000}"/>
    <cellStyle name="Normal 18 2 2 3 2" xfId="14474" xr:uid="{00000000-0005-0000-0000-000086380000}"/>
    <cellStyle name="Normal 18 2 2 3 2 2" xfId="14475" xr:uid="{00000000-0005-0000-0000-000087380000}"/>
    <cellStyle name="Normal 18 2 2 3 2 2 2" xfId="14476" xr:uid="{00000000-0005-0000-0000-000088380000}"/>
    <cellStyle name="Normal 18 2 2 3 2 2 2 2" xfId="14477" xr:uid="{00000000-0005-0000-0000-000089380000}"/>
    <cellStyle name="Normal 18 2 2 3 2 2 3" xfId="14478" xr:uid="{00000000-0005-0000-0000-00008A380000}"/>
    <cellStyle name="Normal 18 2 2 3 2 2 3 2" xfId="14479" xr:uid="{00000000-0005-0000-0000-00008B380000}"/>
    <cellStyle name="Normal 18 2 2 3 2 2 4" xfId="14480" xr:uid="{00000000-0005-0000-0000-00008C380000}"/>
    <cellStyle name="Normal 18 2 2 3 2 3" xfId="14481" xr:uid="{00000000-0005-0000-0000-00008D380000}"/>
    <cellStyle name="Normal 18 2 2 3 2 3 2" xfId="14482" xr:uid="{00000000-0005-0000-0000-00008E380000}"/>
    <cellStyle name="Normal 18 2 2 3 2 4" xfId="14483" xr:uid="{00000000-0005-0000-0000-00008F380000}"/>
    <cellStyle name="Normal 18 2 2 3 2 4 2" xfId="14484" xr:uid="{00000000-0005-0000-0000-000090380000}"/>
    <cellStyle name="Normal 18 2 2 3 2 5" xfId="14485" xr:uid="{00000000-0005-0000-0000-000091380000}"/>
    <cellStyle name="Normal 18 2 2 3 2 5 2" xfId="14486" xr:uid="{00000000-0005-0000-0000-000092380000}"/>
    <cellStyle name="Normal 18 2 2 3 2 6" xfId="14487" xr:uid="{00000000-0005-0000-0000-000093380000}"/>
    <cellStyle name="Normal 18 2 2 3 2 6 2" xfId="14488" xr:uid="{00000000-0005-0000-0000-000094380000}"/>
    <cellStyle name="Normal 18 2 2 3 2 7" xfId="14489" xr:uid="{00000000-0005-0000-0000-000095380000}"/>
    <cellStyle name="Normal 18 2 2 3 3" xfId="14490" xr:uid="{00000000-0005-0000-0000-000096380000}"/>
    <cellStyle name="Normal 18 2 2 3 3 2" xfId="14491" xr:uid="{00000000-0005-0000-0000-000097380000}"/>
    <cellStyle name="Normal 18 2 2 3 3 2 2" xfId="14492" xr:uid="{00000000-0005-0000-0000-000098380000}"/>
    <cellStyle name="Normal 18 2 2 3 3 3" xfId="14493" xr:uid="{00000000-0005-0000-0000-000099380000}"/>
    <cellStyle name="Normal 18 2 2 3 3 3 2" xfId="14494" xr:uid="{00000000-0005-0000-0000-00009A380000}"/>
    <cellStyle name="Normal 18 2 2 3 3 4" xfId="14495" xr:uid="{00000000-0005-0000-0000-00009B380000}"/>
    <cellStyle name="Normal 18 2 2 3 3 4 2" xfId="14496" xr:uid="{00000000-0005-0000-0000-00009C380000}"/>
    <cellStyle name="Normal 18 2 2 3 3 5" xfId="14497" xr:uid="{00000000-0005-0000-0000-00009D380000}"/>
    <cellStyle name="Normal 18 2 2 3 3 5 2" xfId="14498" xr:uid="{00000000-0005-0000-0000-00009E380000}"/>
    <cellStyle name="Normal 18 2 2 3 3 6" xfId="14499" xr:uid="{00000000-0005-0000-0000-00009F380000}"/>
    <cellStyle name="Normal 18 2 2 3 4" xfId="14500" xr:uid="{00000000-0005-0000-0000-0000A0380000}"/>
    <cellStyle name="Normal 18 2 2 3 4 2" xfId="14501" xr:uid="{00000000-0005-0000-0000-0000A1380000}"/>
    <cellStyle name="Normal 18 2 2 3 4 2 2" xfId="14502" xr:uid="{00000000-0005-0000-0000-0000A2380000}"/>
    <cellStyle name="Normal 18 2 2 3 4 3" xfId="14503" xr:uid="{00000000-0005-0000-0000-0000A3380000}"/>
    <cellStyle name="Normal 18 2 2 3 5" xfId="14504" xr:uid="{00000000-0005-0000-0000-0000A4380000}"/>
    <cellStyle name="Normal 18 2 2 3 5 2" xfId="14505" xr:uid="{00000000-0005-0000-0000-0000A5380000}"/>
    <cellStyle name="Normal 18 2 2 3 6" xfId="14506" xr:uid="{00000000-0005-0000-0000-0000A6380000}"/>
    <cellStyle name="Normal 18 2 2 3 6 2" xfId="14507" xr:uid="{00000000-0005-0000-0000-0000A7380000}"/>
    <cellStyle name="Normal 18 2 2 3 7" xfId="14508" xr:uid="{00000000-0005-0000-0000-0000A8380000}"/>
    <cellStyle name="Normal 18 2 2 3 7 2" xfId="14509" xr:uid="{00000000-0005-0000-0000-0000A9380000}"/>
    <cellStyle name="Normal 18 2 2 3 8" xfId="14510" xr:uid="{00000000-0005-0000-0000-0000AA380000}"/>
    <cellStyle name="Normal 18 2 2 4" xfId="14511" xr:uid="{00000000-0005-0000-0000-0000AB380000}"/>
    <cellStyle name="Normal 18 2 2 4 2" xfId="14512" xr:uid="{00000000-0005-0000-0000-0000AC380000}"/>
    <cellStyle name="Normal 18 2 2 4 2 2" xfId="14513" xr:uid="{00000000-0005-0000-0000-0000AD380000}"/>
    <cellStyle name="Normal 18 2 2 4 2 2 2" xfId="14514" xr:uid="{00000000-0005-0000-0000-0000AE380000}"/>
    <cellStyle name="Normal 18 2 2 4 2 3" xfId="14515" xr:uid="{00000000-0005-0000-0000-0000AF380000}"/>
    <cellStyle name="Normal 18 2 2 4 2 3 2" xfId="14516" xr:uid="{00000000-0005-0000-0000-0000B0380000}"/>
    <cellStyle name="Normal 18 2 2 4 2 4" xfId="14517" xr:uid="{00000000-0005-0000-0000-0000B1380000}"/>
    <cellStyle name="Normal 18 2 2 4 3" xfId="14518" xr:uid="{00000000-0005-0000-0000-0000B2380000}"/>
    <cellStyle name="Normal 18 2 2 4 3 2" xfId="14519" xr:uid="{00000000-0005-0000-0000-0000B3380000}"/>
    <cellStyle name="Normal 18 2 2 4 4" xfId="14520" xr:uid="{00000000-0005-0000-0000-0000B4380000}"/>
    <cellStyle name="Normal 18 2 2 4 4 2" xfId="14521" xr:uid="{00000000-0005-0000-0000-0000B5380000}"/>
    <cellStyle name="Normal 18 2 2 4 5" xfId="14522" xr:uid="{00000000-0005-0000-0000-0000B6380000}"/>
    <cellStyle name="Normal 18 2 2 4 5 2" xfId="14523" xr:uid="{00000000-0005-0000-0000-0000B7380000}"/>
    <cellStyle name="Normal 18 2 2 4 6" xfId="14524" xr:uid="{00000000-0005-0000-0000-0000B8380000}"/>
    <cellStyle name="Normal 18 2 2 4 6 2" xfId="14525" xr:uid="{00000000-0005-0000-0000-0000B9380000}"/>
    <cellStyle name="Normal 18 2 2 4 7" xfId="14526" xr:uid="{00000000-0005-0000-0000-0000BA380000}"/>
    <cellStyle name="Normal 18 2 2 5" xfId="14527" xr:uid="{00000000-0005-0000-0000-0000BB380000}"/>
    <cellStyle name="Normal 18 2 2 5 2" xfId="14528" xr:uid="{00000000-0005-0000-0000-0000BC380000}"/>
    <cellStyle name="Normal 18 2 2 5 2 2" xfId="14529" xr:uid="{00000000-0005-0000-0000-0000BD380000}"/>
    <cellStyle name="Normal 18 2 2 5 3" xfId="14530" xr:uid="{00000000-0005-0000-0000-0000BE380000}"/>
    <cellStyle name="Normal 18 2 2 5 3 2" xfId="14531" xr:uid="{00000000-0005-0000-0000-0000BF380000}"/>
    <cellStyle name="Normal 18 2 2 5 4" xfId="14532" xr:uid="{00000000-0005-0000-0000-0000C0380000}"/>
    <cellStyle name="Normal 18 2 2 5 4 2" xfId="14533" xr:uid="{00000000-0005-0000-0000-0000C1380000}"/>
    <cellStyle name="Normal 18 2 2 5 5" xfId="14534" xr:uid="{00000000-0005-0000-0000-0000C2380000}"/>
    <cellStyle name="Normal 18 2 2 5 5 2" xfId="14535" xr:uid="{00000000-0005-0000-0000-0000C3380000}"/>
    <cellStyle name="Normal 18 2 2 5 6" xfId="14536" xr:uid="{00000000-0005-0000-0000-0000C4380000}"/>
    <cellStyle name="Normal 18 2 2 6" xfId="14537" xr:uid="{00000000-0005-0000-0000-0000C5380000}"/>
    <cellStyle name="Normal 18 2 2 6 2" xfId="14538" xr:uid="{00000000-0005-0000-0000-0000C6380000}"/>
    <cellStyle name="Normal 18 2 2 6 2 2" xfId="14539" xr:uid="{00000000-0005-0000-0000-0000C7380000}"/>
    <cellStyle name="Normal 18 2 2 6 3" xfId="14540" xr:uid="{00000000-0005-0000-0000-0000C8380000}"/>
    <cellStyle name="Normal 18 2 2 7" xfId="14541" xr:uid="{00000000-0005-0000-0000-0000C9380000}"/>
    <cellStyle name="Normal 18 2 2 7 2" xfId="14542" xr:uid="{00000000-0005-0000-0000-0000CA380000}"/>
    <cellStyle name="Normal 18 2 2 8" xfId="14543" xr:uid="{00000000-0005-0000-0000-0000CB380000}"/>
    <cellStyle name="Normal 18 2 2 8 2" xfId="14544" xr:uid="{00000000-0005-0000-0000-0000CC380000}"/>
    <cellStyle name="Normal 18 2 2 9" xfId="14545" xr:uid="{00000000-0005-0000-0000-0000CD380000}"/>
    <cellStyle name="Normal 18 2 2 9 2" xfId="14546" xr:uid="{00000000-0005-0000-0000-0000CE380000}"/>
    <cellStyle name="Normal 18 2 3" xfId="14547" xr:uid="{00000000-0005-0000-0000-0000CF380000}"/>
    <cellStyle name="Normal 18 2 3 2" xfId="14548" xr:uid="{00000000-0005-0000-0000-0000D0380000}"/>
    <cellStyle name="Normal 18 2 3 2 2" xfId="14549" xr:uid="{00000000-0005-0000-0000-0000D1380000}"/>
    <cellStyle name="Normal 18 2 3 2 2 2" xfId="14550" xr:uid="{00000000-0005-0000-0000-0000D2380000}"/>
    <cellStyle name="Normal 18 2 3 2 2 2 2" xfId="14551" xr:uid="{00000000-0005-0000-0000-0000D3380000}"/>
    <cellStyle name="Normal 18 2 3 2 2 3" xfId="14552" xr:uid="{00000000-0005-0000-0000-0000D4380000}"/>
    <cellStyle name="Normal 18 2 3 2 2 3 2" xfId="14553" xr:uid="{00000000-0005-0000-0000-0000D5380000}"/>
    <cellStyle name="Normal 18 2 3 2 2 4" xfId="14554" xr:uid="{00000000-0005-0000-0000-0000D6380000}"/>
    <cellStyle name="Normal 18 2 3 2 3" xfId="14555" xr:uid="{00000000-0005-0000-0000-0000D7380000}"/>
    <cellStyle name="Normal 18 2 3 2 3 2" xfId="14556" xr:uid="{00000000-0005-0000-0000-0000D8380000}"/>
    <cellStyle name="Normal 18 2 3 2 4" xfId="14557" xr:uid="{00000000-0005-0000-0000-0000D9380000}"/>
    <cellStyle name="Normal 18 2 3 2 4 2" xfId="14558" xr:uid="{00000000-0005-0000-0000-0000DA380000}"/>
    <cellStyle name="Normal 18 2 3 2 5" xfId="14559" xr:uid="{00000000-0005-0000-0000-0000DB380000}"/>
    <cellStyle name="Normal 18 2 3 2 5 2" xfId="14560" xr:uid="{00000000-0005-0000-0000-0000DC380000}"/>
    <cellStyle name="Normal 18 2 3 2 6" xfId="14561" xr:uid="{00000000-0005-0000-0000-0000DD380000}"/>
    <cellStyle name="Normal 18 2 3 2 6 2" xfId="14562" xr:uid="{00000000-0005-0000-0000-0000DE380000}"/>
    <cellStyle name="Normal 18 2 3 2 7" xfId="14563" xr:uid="{00000000-0005-0000-0000-0000DF380000}"/>
    <cellStyle name="Normal 18 2 3 3" xfId="14564" xr:uid="{00000000-0005-0000-0000-0000E0380000}"/>
    <cellStyle name="Normal 18 2 3 3 2" xfId="14565" xr:uid="{00000000-0005-0000-0000-0000E1380000}"/>
    <cellStyle name="Normal 18 2 3 3 2 2" xfId="14566" xr:uid="{00000000-0005-0000-0000-0000E2380000}"/>
    <cellStyle name="Normal 18 2 3 3 3" xfId="14567" xr:uid="{00000000-0005-0000-0000-0000E3380000}"/>
    <cellStyle name="Normal 18 2 3 3 3 2" xfId="14568" xr:uid="{00000000-0005-0000-0000-0000E4380000}"/>
    <cellStyle name="Normal 18 2 3 3 4" xfId="14569" xr:uid="{00000000-0005-0000-0000-0000E5380000}"/>
    <cellStyle name="Normal 18 2 3 3 4 2" xfId="14570" xr:uid="{00000000-0005-0000-0000-0000E6380000}"/>
    <cellStyle name="Normal 18 2 3 3 5" xfId="14571" xr:uid="{00000000-0005-0000-0000-0000E7380000}"/>
    <cellStyle name="Normal 18 2 3 3 5 2" xfId="14572" xr:uid="{00000000-0005-0000-0000-0000E8380000}"/>
    <cellStyle name="Normal 18 2 3 3 6" xfId="14573" xr:uid="{00000000-0005-0000-0000-0000E9380000}"/>
    <cellStyle name="Normal 18 2 3 4" xfId="14574" xr:uid="{00000000-0005-0000-0000-0000EA380000}"/>
    <cellStyle name="Normal 18 2 3 4 2" xfId="14575" xr:uid="{00000000-0005-0000-0000-0000EB380000}"/>
    <cellStyle name="Normal 18 2 3 4 2 2" xfId="14576" xr:uid="{00000000-0005-0000-0000-0000EC380000}"/>
    <cellStyle name="Normal 18 2 3 4 3" xfId="14577" xr:uid="{00000000-0005-0000-0000-0000ED380000}"/>
    <cellStyle name="Normal 18 2 3 5" xfId="14578" xr:uid="{00000000-0005-0000-0000-0000EE380000}"/>
    <cellStyle name="Normal 18 2 3 5 2" xfId="14579" xr:uid="{00000000-0005-0000-0000-0000EF380000}"/>
    <cellStyle name="Normal 18 2 3 6" xfId="14580" xr:uid="{00000000-0005-0000-0000-0000F0380000}"/>
    <cellStyle name="Normal 18 2 3 6 2" xfId="14581" xr:uid="{00000000-0005-0000-0000-0000F1380000}"/>
    <cellStyle name="Normal 18 2 3 7" xfId="14582" xr:uid="{00000000-0005-0000-0000-0000F2380000}"/>
    <cellStyle name="Normal 18 2 3 7 2" xfId="14583" xr:uid="{00000000-0005-0000-0000-0000F3380000}"/>
    <cellStyle name="Normal 18 2 3 8" xfId="14584" xr:uid="{00000000-0005-0000-0000-0000F4380000}"/>
    <cellStyle name="Normal 18 2 4" xfId="14585" xr:uid="{00000000-0005-0000-0000-0000F5380000}"/>
    <cellStyle name="Normal 18 2 4 2" xfId="14586" xr:uid="{00000000-0005-0000-0000-0000F6380000}"/>
    <cellStyle name="Normal 18 2 4 2 2" xfId="14587" xr:uid="{00000000-0005-0000-0000-0000F7380000}"/>
    <cellStyle name="Normal 18 2 4 2 2 2" xfId="14588" xr:uid="{00000000-0005-0000-0000-0000F8380000}"/>
    <cellStyle name="Normal 18 2 4 2 2 2 2" xfId="14589" xr:uid="{00000000-0005-0000-0000-0000F9380000}"/>
    <cellStyle name="Normal 18 2 4 2 2 3" xfId="14590" xr:uid="{00000000-0005-0000-0000-0000FA380000}"/>
    <cellStyle name="Normal 18 2 4 2 2 3 2" xfId="14591" xr:uid="{00000000-0005-0000-0000-0000FB380000}"/>
    <cellStyle name="Normal 18 2 4 2 2 4" xfId="14592" xr:uid="{00000000-0005-0000-0000-0000FC380000}"/>
    <cellStyle name="Normal 18 2 4 2 3" xfId="14593" xr:uid="{00000000-0005-0000-0000-0000FD380000}"/>
    <cellStyle name="Normal 18 2 4 2 3 2" xfId="14594" xr:uid="{00000000-0005-0000-0000-0000FE380000}"/>
    <cellStyle name="Normal 18 2 4 2 4" xfId="14595" xr:uid="{00000000-0005-0000-0000-0000FF380000}"/>
    <cellStyle name="Normal 18 2 4 2 4 2" xfId="14596" xr:uid="{00000000-0005-0000-0000-000000390000}"/>
    <cellStyle name="Normal 18 2 4 2 5" xfId="14597" xr:uid="{00000000-0005-0000-0000-000001390000}"/>
    <cellStyle name="Normal 18 2 4 2 5 2" xfId="14598" xr:uid="{00000000-0005-0000-0000-000002390000}"/>
    <cellStyle name="Normal 18 2 4 2 6" xfId="14599" xr:uid="{00000000-0005-0000-0000-000003390000}"/>
    <cellStyle name="Normal 18 2 4 2 6 2" xfId="14600" xr:uid="{00000000-0005-0000-0000-000004390000}"/>
    <cellStyle name="Normal 18 2 4 2 7" xfId="14601" xr:uid="{00000000-0005-0000-0000-000005390000}"/>
    <cellStyle name="Normal 18 2 4 3" xfId="14602" xr:uid="{00000000-0005-0000-0000-000006390000}"/>
    <cellStyle name="Normal 18 2 4 3 2" xfId="14603" xr:uid="{00000000-0005-0000-0000-000007390000}"/>
    <cellStyle name="Normal 18 2 4 3 2 2" xfId="14604" xr:uid="{00000000-0005-0000-0000-000008390000}"/>
    <cellStyle name="Normal 18 2 4 3 3" xfId="14605" xr:uid="{00000000-0005-0000-0000-000009390000}"/>
    <cellStyle name="Normal 18 2 4 3 3 2" xfId="14606" xr:uid="{00000000-0005-0000-0000-00000A390000}"/>
    <cellStyle name="Normal 18 2 4 3 4" xfId="14607" xr:uid="{00000000-0005-0000-0000-00000B390000}"/>
    <cellStyle name="Normal 18 2 4 3 4 2" xfId="14608" xr:uid="{00000000-0005-0000-0000-00000C390000}"/>
    <cellStyle name="Normal 18 2 4 3 5" xfId="14609" xr:uid="{00000000-0005-0000-0000-00000D390000}"/>
    <cellStyle name="Normal 18 2 4 3 5 2" xfId="14610" xr:uid="{00000000-0005-0000-0000-00000E390000}"/>
    <cellStyle name="Normal 18 2 4 3 6" xfId="14611" xr:uid="{00000000-0005-0000-0000-00000F390000}"/>
    <cellStyle name="Normal 18 2 4 4" xfId="14612" xr:uid="{00000000-0005-0000-0000-000010390000}"/>
    <cellStyle name="Normal 18 2 4 4 2" xfId="14613" xr:uid="{00000000-0005-0000-0000-000011390000}"/>
    <cellStyle name="Normal 18 2 4 4 2 2" xfId="14614" xr:uid="{00000000-0005-0000-0000-000012390000}"/>
    <cellStyle name="Normal 18 2 4 4 3" xfId="14615" xr:uid="{00000000-0005-0000-0000-000013390000}"/>
    <cellStyle name="Normal 18 2 4 5" xfId="14616" xr:uid="{00000000-0005-0000-0000-000014390000}"/>
    <cellStyle name="Normal 18 2 4 5 2" xfId="14617" xr:uid="{00000000-0005-0000-0000-000015390000}"/>
    <cellStyle name="Normal 18 2 4 6" xfId="14618" xr:uid="{00000000-0005-0000-0000-000016390000}"/>
    <cellStyle name="Normal 18 2 4 6 2" xfId="14619" xr:uid="{00000000-0005-0000-0000-000017390000}"/>
    <cellStyle name="Normal 18 2 4 7" xfId="14620" xr:uid="{00000000-0005-0000-0000-000018390000}"/>
    <cellStyle name="Normal 18 2 4 7 2" xfId="14621" xr:uid="{00000000-0005-0000-0000-000019390000}"/>
    <cellStyle name="Normal 18 2 4 8" xfId="14622" xr:uid="{00000000-0005-0000-0000-00001A390000}"/>
    <cellStyle name="Normal 18 2 5" xfId="14623" xr:uid="{00000000-0005-0000-0000-00001B390000}"/>
    <cellStyle name="Normal 18 2 5 2" xfId="14624" xr:uid="{00000000-0005-0000-0000-00001C390000}"/>
    <cellStyle name="Normal 18 2 5 2 2" xfId="14625" xr:uid="{00000000-0005-0000-0000-00001D390000}"/>
    <cellStyle name="Normal 18 2 5 2 2 2" xfId="14626" xr:uid="{00000000-0005-0000-0000-00001E390000}"/>
    <cellStyle name="Normal 18 2 5 2 3" xfId="14627" xr:uid="{00000000-0005-0000-0000-00001F390000}"/>
    <cellStyle name="Normal 18 2 5 2 3 2" xfId="14628" xr:uid="{00000000-0005-0000-0000-000020390000}"/>
    <cellStyle name="Normal 18 2 5 2 4" xfId="14629" xr:uid="{00000000-0005-0000-0000-000021390000}"/>
    <cellStyle name="Normal 18 2 5 3" xfId="14630" xr:uid="{00000000-0005-0000-0000-000022390000}"/>
    <cellStyle name="Normal 18 2 5 3 2" xfId="14631" xr:uid="{00000000-0005-0000-0000-000023390000}"/>
    <cellStyle name="Normal 18 2 5 4" xfId="14632" xr:uid="{00000000-0005-0000-0000-000024390000}"/>
    <cellStyle name="Normal 18 2 5 4 2" xfId="14633" xr:uid="{00000000-0005-0000-0000-000025390000}"/>
    <cellStyle name="Normal 18 2 5 5" xfId="14634" xr:uid="{00000000-0005-0000-0000-000026390000}"/>
    <cellStyle name="Normal 18 2 5 5 2" xfId="14635" xr:uid="{00000000-0005-0000-0000-000027390000}"/>
    <cellStyle name="Normal 18 2 5 6" xfId="14636" xr:uid="{00000000-0005-0000-0000-000028390000}"/>
    <cellStyle name="Normal 18 2 5 6 2" xfId="14637" xr:uid="{00000000-0005-0000-0000-000029390000}"/>
    <cellStyle name="Normal 18 2 5 7" xfId="14638" xr:uid="{00000000-0005-0000-0000-00002A390000}"/>
    <cellStyle name="Normal 18 2 6" xfId="14639" xr:uid="{00000000-0005-0000-0000-00002B390000}"/>
    <cellStyle name="Normal 18 2 6 2" xfId="14640" xr:uid="{00000000-0005-0000-0000-00002C390000}"/>
    <cellStyle name="Normal 18 2 6 2 2" xfId="14641" xr:uid="{00000000-0005-0000-0000-00002D390000}"/>
    <cellStyle name="Normal 18 2 6 3" xfId="14642" xr:uid="{00000000-0005-0000-0000-00002E390000}"/>
    <cellStyle name="Normal 18 2 6 3 2" xfId="14643" xr:uid="{00000000-0005-0000-0000-00002F390000}"/>
    <cellStyle name="Normal 18 2 6 4" xfId="14644" xr:uid="{00000000-0005-0000-0000-000030390000}"/>
    <cellStyle name="Normal 18 2 6 4 2" xfId="14645" xr:uid="{00000000-0005-0000-0000-000031390000}"/>
    <cellStyle name="Normal 18 2 6 5" xfId="14646" xr:uid="{00000000-0005-0000-0000-000032390000}"/>
    <cellStyle name="Normal 18 2 6 5 2" xfId="14647" xr:uid="{00000000-0005-0000-0000-000033390000}"/>
    <cellStyle name="Normal 18 2 6 6" xfId="14648" xr:uid="{00000000-0005-0000-0000-000034390000}"/>
    <cellStyle name="Normal 18 2 7" xfId="14649" xr:uid="{00000000-0005-0000-0000-000035390000}"/>
    <cellStyle name="Normal 18 2 7 2" xfId="14650" xr:uid="{00000000-0005-0000-0000-000036390000}"/>
    <cellStyle name="Normal 18 2 7 2 2" xfId="14651" xr:uid="{00000000-0005-0000-0000-000037390000}"/>
    <cellStyle name="Normal 18 2 7 3" xfId="14652" xr:uid="{00000000-0005-0000-0000-000038390000}"/>
    <cellStyle name="Normal 18 2 8" xfId="14653" xr:uid="{00000000-0005-0000-0000-000039390000}"/>
    <cellStyle name="Normal 18 2 8 2" xfId="14654" xr:uid="{00000000-0005-0000-0000-00003A390000}"/>
    <cellStyle name="Normal 18 2 9" xfId="14655" xr:uid="{00000000-0005-0000-0000-00003B390000}"/>
    <cellStyle name="Normal 18 2 9 2" xfId="14656" xr:uid="{00000000-0005-0000-0000-00003C390000}"/>
    <cellStyle name="Normal 18 3" xfId="14657" xr:uid="{00000000-0005-0000-0000-00003D390000}"/>
    <cellStyle name="Normal 18 3 10" xfId="14658" xr:uid="{00000000-0005-0000-0000-00003E390000}"/>
    <cellStyle name="Normal 18 3 2" xfId="14659" xr:uid="{00000000-0005-0000-0000-00003F390000}"/>
    <cellStyle name="Normal 18 3 2 2" xfId="14660" xr:uid="{00000000-0005-0000-0000-000040390000}"/>
    <cellStyle name="Normal 18 3 2 2 2" xfId="14661" xr:uid="{00000000-0005-0000-0000-000041390000}"/>
    <cellStyle name="Normal 18 3 2 2 2 2" xfId="14662" xr:uid="{00000000-0005-0000-0000-000042390000}"/>
    <cellStyle name="Normal 18 3 2 2 2 2 2" xfId="14663" xr:uid="{00000000-0005-0000-0000-000043390000}"/>
    <cellStyle name="Normal 18 3 2 2 2 3" xfId="14664" xr:uid="{00000000-0005-0000-0000-000044390000}"/>
    <cellStyle name="Normal 18 3 2 2 2 3 2" xfId="14665" xr:uid="{00000000-0005-0000-0000-000045390000}"/>
    <cellStyle name="Normal 18 3 2 2 2 4" xfId="14666" xr:uid="{00000000-0005-0000-0000-000046390000}"/>
    <cellStyle name="Normal 18 3 2 2 3" xfId="14667" xr:uid="{00000000-0005-0000-0000-000047390000}"/>
    <cellStyle name="Normal 18 3 2 2 3 2" xfId="14668" xr:uid="{00000000-0005-0000-0000-000048390000}"/>
    <cellStyle name="Normal 18 3 2 2 4" xfId="14669" xr:uid="{00000000-0005-0000-0000-000049390000}"/>
    <cellStyle name="Normal 18 3 2 2 4 2" xfId="14670" xr:uid="{00000000-0005-0000-0000-00004A390000}"/>
    <cellStyle name="Normal 18 3 2 2 5" xfId="14671" xr:uid="{00000000-0005-0000-0000-00004B390000}"/>
    <cellStyle name="Normal 18 3 2 2 5 2" xfId="14672" xr:uid="{00000000-0005-0000-0000-00004C390000}"/>
    <cellStyle name="Normal 18 3 2 2 6" xfId="14673" xr:uid="{00000000-0005-0000-0000-00004D390000}"/>
    <cellStyle name="Normal 18 3 2 2 6 2" xfId="14674" xr:uid="{00000000-0005-0000-0000-00004E390000}"/>
    <cellStyle name="Normal 18 3 2 2 7" xfId="14675" xr:uid="{00000000-0005-0000-0000-00004F390000}"/>
    <cellStyle name="Normal 18 3 2 3" xfId="14676" xr:uid="{00000000-0005-0000-0000-000050390000}"/>
    <cellStyle name="Normal 18 3 2 3 2" xfId="14677" xr:uid="{00000000-0005-0000-0000-000051390000}"/>
    <cellStyle name="Normal 18 3 2 3 2 2" xfId="14678" xr:uid="{00000000-0005-0000-0000-000052390000}"/>
    <cellStyle name="Normal 18 3 2 3 3" xfId="14679" xr:uid="{00000000-0005-0000-0000-000053390000}"/>
    <cellStyle name="Normal 18 3 2 3 3 2" xfId="14680" xr:uid="{00000000-0005-0000-0000-000054390000}"/>
    <cellStyle name="Normal 18 3 2 3 4" xfId="14681" xr:uid="{00000000-0005-0000-0000-000055390000}"/>
    <cellStyle name="Normal 18 3 2 3 4 2" xfId="14682" xr:uid="{00000000-0005-0000-0000-000056390000}"/>
    <cellStyle name="Normal 18 3 2 3 5" xfId="14683" xr:uid="{00000000-0005-0000-0000-000057390000}"/>
    <cellStyle name="Normal 18 3 2 3 5 2" xfId="14684" xr:uid="{00000000-0005-0000-0000-000058390000}"/>
    <cellStyle name="Normal 18 3 2 3 6" xfId="14685" xr:uid="{00000000-0005-0000-0000-000059390000}"/>
    <cellStyle name="Normal 18 3 2 4" xfId="14686" xr:uid="{00000000-0005-0000-0000-00005A390000}"/>
    <cellStyle name="Normal 18 3 2 4 2" xfId="14687" xr:uid="{00000000-0005-0000-0000-00005B390000}"/>
    <cellStyle name="Normal 18 3 2 4 2 2" xfId="14688" xr:uid="{00000000-0005-0000-0000-00005C390000}"/>
    <cellStyle name="Normal 18 3 2 4 3" xfId="14689" xr:uid="{00000000-0005-0000-0000-00005D390000}"/>
    <cellStyle name="Normal 18 3 2 5" xfId="14690" xr:uid="{00000000-0005-0000-0000-00005E390000}"/>
    <cellStyle name="Normal 18 3 2 5 2" xfId="14691" xr:uid="{00000000-0005-0000-0000-00005F390000}"/>
    <cellStyle name="Normal 18 3 2 6" xfId="14692" xr:uid="{00000000-0005-0000-0000-000060390000}"/>
    <cellStyle name="Normal 18 3 2 6 2" xfId="14693" xr:uid="{00000000-0005-0000-0000-000061390000}"/>
    <cellStyle name="Normal 18 3 2 7" xfId="14694" xr:uid="{00000000-0005-0000-0000-000062390000}"/>
    <cellStyle name="Normal 18 3 2 7 2" xfId="14695" xr:uid="{00000000-0005-0000-0000-000063390000}"/>
    <cellStyle name="Normal 18 3 2 8" xfId="14696" xr:uid="{00000000-0005-0000-0000-000064390000}"/>
    <cellStyle name="Normal 18 3 3" xfId="14697" xr:uid="{00000000-0005-0000-0000-000065390000}"/>
    <cellStyle name="Normal 18 3 3 2" xfId="14698" xr:uid="{00000000-0005-0000-0000-000066390000}"/>
    <cellStyle name="Normal 18 3 3 2 2" xfId="14699" xr:uid="{00000000-0005-0000-0000-000067390000}"/>
    <cellStyle name="Normal 18 3 3 2 2 2" xfId="14700" xr:uid="{00000000-0005-0000-0000-000068390000}"/>
    <cellStyle name="Normal 18 3 3 2 2 2 2" xfId="14701" xr:uid="{00000000-0005-0000-0000-000069390000}"/>
    <cellStyle name="Normal 18 3 3 2 2 3" xfId="14702" xr:uid="{00000000-0005-0000-0000-00006A390000}"/>
    <cellStyle name="Normal 18 3 3 2 2 3 2" xfId="14703" xr:uid="{00000000-0005-0000-0000-00006B390000}"/>
    <cellStyle name="Normal 18 3 3 2 2 4" xfId="14704" xr:uid="{00000000-0005-0000-0000-00006C390000}"/>
    <cellStyle name="Normal 18 3 3 2 3" xfId="14705" xr:uid="{00000000-0005-0000-0000-00006D390000}"/>
    <cellStyle name="Normal 18 3 3 2 3 2" xfId="14706" xr:uid="{00000000-0005-0000-0000-00006E390000}"/>
    <cellStyle name="Normal 18 3 3 2 4" xfId="14707" xr:uid="{00000000-0005-0000-0000-00006F390000}"/>
    <cellStyle name="Normal 18 3 3 2 4 2" xfId="14708" xr:uid="{00000000-0005-0000-0000-000070390000}"/>
    <cellStyle name="Normal 18 3 3 2 5" xfId="14709" xr:uid="{00000000-0005-0000-0000-000071390000}"/>
    <cellStyle name="Normal 18 3 3 2 5 2" xfId="14710" xr:uid="{00000000-0005-0000-0000-000072390000}"/>
    <cellStyle name="Normal 18 3 3 2 6" xfId="14711" xr:uid="{00000000-0005-0000-0000-000073390000}"/>
    <cellStyle name="Normal 18 3 3 2 6 2" xfId="14712" xr:uid="{00000000-0005-0000-0000-000074390000}"/>
    <cellStyle name="Normal 18 3 3 2 7" xfId="14713" xr:uid="{00000000-0005-0000-0000-000075390000}"/>
    <cellStyle name="Normal 18 3 3 3" xfId="14714" xr:uid="{00000000-0005-0000-0000-000076390000}"/>
    <cellStyle name="Normal 18 3 3 3 2" xfId="14715" xr:uid="{00000000-0005-0000-0000-000077390000}"/>
    <cellStyle name="Normal 18 3 3 3 2 2" xfId="14716" xr:uid="{00000000-0005-0000-0000-000078390000}"/>
    <cellStyle name="Normal 18 3 3 3 3" xfId="14717" xr:uid="{00000000-0005-0000-0000-000079390000}"/>
    <cellStyle name="Normal 18 3 3 3 3 2" xfId="14718" xr:uid="{00000000-0005-0000-0000-00007A390000}"/>
    <cellStyle name="Normal 18 3 3 3 4" xfId="14719" xr:uid="{00000000-0005-0000-0000-00007B390000}"/>
    <cellStyle name="Normal 18 3 3 3 4 2" xfId="14720" xr:uid="{00000000-0005-0000-0000-00007C390000}"/>
    <cellStyle name="Normal 18 3 3 3 5" xfId="14721" xr:uid="{00000000-0005-0000-0000-00007D390000}"/>
    <cellStyle name="Normal 18 3 3 3 5 2" xfId="14722" xr:uid="{00000000-0005-0000-0000-00007E390000}"/>
    <cellStyle name="Normal 18 3 3 3 6" xfId="14723" xr:uid="{00000000-0005-0000-0000-00007F390000}"/>
    <cellStyle name="Normal 18 3 3 4" xfId="14724" xr:uid="{00000000-0005-0000-0000-000080390000}"/>
    <cellStyle name="Normal 18 3 3 4 2" xfId="14725" xr:uid="{00000000-0005-0000-0000-000081390000}"/>
    <cellStyle name="Normal 18 3 3 4 2 2" xfId="14726" xr:uid="{00000000-0005-0000-0000-000082390000}"/>
    <cellStyle name="Normal 18 3 3 4 3" xfId="14727" xr:uid="{00000000-0005-0000-0000-000083390000}"/>
    <cellStyle name="Normal 18 3 3 5" xfId="14728" xr:uid="{00000000-0005-0000-0000-000084390000}"/>
    <cellStyle name="Normal 18 3 3 5 2" xfId="14729" xr:uid="{00000000-0005-0000-0000-000085390000}"/>
    <cellStyle name="Normal 18 3 3 6" xfId="14730" xr:uid="{00000000-0005-0000-0000-000086390000}"/>
    <cellStyle name="Normal 18 3 3 6 2" xfId="14731" xr:uid="{00000000-0005-0000-0000-000087390000}"/>
    <cellStyle name="Normal 18 3 3 7" xfId="14732" xr:uid="{00000000-0005-0000-0000-000088390000}"/>
    <cellStyle name="Normal 18 3 3 7 2" xfId="14733" xr:uid="{00000000-0005-0000-0000-000089390000}"/>
    <cellStyle name="Normal 18 3 3 8" xfId="14734" xr:uid="{00000000-0005-0000-0000-00008A390000}"/>
    <cellStyle name="Normal 18 3 4" xfId="14735" xr:uid="{00000000-0005-0000-0000-00008B390000}"/>
    <cellStyle name="Normal 18 3 4 2" xfId="14736" xr:uid="{00000000-0005-0000-0000-00008C390000}"/>
    <cellStyle name="Normal 18 3 4 2 2" xfId="14737" xr:uid="{00000000-0005-0000-0000-00008D390000}"/>
    <cellStyle name="Normal 18 3 4 2 2 2" xfId="14738" xr:uid="{00000000-0005-0000-0000-00008E390000}"/>
    <cellStyle name="Normal 18 3 4 2 3" xfId="14739" xr:uid="{00000000-0005-0000-0000-00008F390000}"/>
    <cellStyle name="Normal 18 3 4 2 3 2" xfId="14740" xr:uid="{00000000-0005-0000-0000-000090390000}"/>
    <cellStyle name="Normal 18 3 4 2 4" xfId="14741" xr:uid="{00000000-0005-0000-0000-000091390000}"/>
    <cellStyle name="Normal 18 3 4 3" xfId="14742" xr:uid="{00000000-0005-0000-0000-000092390000}"/>
    <cellStyle name="Normal 18 3 4 3 2" xfId="14743" xr:uid="{00000000-0005-0000-0000-000093390000}"/>
    <cellStyle name="Normal 18 3 4 4" xfId="14744" xr:uid="{00000000-0005-0000-0000-000094390000}"/>
    <cellStyle name="Normal 18 3 4 4 2" xfId="14745" xr:uid="{00000000-0005-0000-0000-000095390000}"/>
    <cellStyle name="Normal 18 3 4 5" xfId="14746" xr:uid="{00000000-0005-0000-0000-000096390000}"/>
    <cellStyle name="Normal 18 3 4 5 2" xfId="14747" xr:uid="{00000000-0005-0000-0000-000097390000}"/>
    <cellStyle name="Normal 18 3 4 6" xfId="14748" xr:uid="{00000000-0005-0000-0000-000098390000}"/>
    <cellStyle name="Normal 18 3 4 6 2" xfId="14749" xr:uid="{00000000-0005-0000-0000-000099390000}"/>
    <cellStyle name="Normal 18 3 4 7" xfId="14750" xr:uid="{00000000-0005-0000-0000-00009A390000}"/>
    <cellStyle name="Normal 18 3 5" xfId="14751" xr:uid="{00000000-0005-0000-0000-00009B390000}"/>
    <cellStyle name="Normal 18 3 5 2" xfId="14752" xr:uid="{00000000-0005-0000-0000-00009C390000}"/>
    <cellStyle name="Normal 18 3 5 2 2" xfId="14753" xr:uid="{00000000-0005-0000-0000-00009D390000}"/>
    <cellStyle name="Normal 18 3 5 3" xfId="14754" xr:uid="{00000000-0005-0000-0000-00009E390000}"/>
    <cellStyle name="Normal 18 3 5 3 2" xfId="14755" xr:uid="{00000000-0005-0000-0000-00009F390000}"/>
    <cellStyle name="Normal 18 3 5 4" xfId="14756" xr:uid="{00000000-0005-0000-0000-0000A0390000}"/>
    <cellStyle name="Normal 18 3 5 4 2" xfId="14757" xr:uid="{00000000-0005-0000-0000-0000A1390000}"/>
    <cellStyle name="Normal 18 3 5 5" xfId="14758" xr:uid="{00000000-0005-0000-0000-0000A2390000}"/>
    <cellStyle name="Normal 18 3 5 5 2" xfId="14759" xr:uid="{00000000-0005-0000-0000-0000A3390000}"/>
    <cellStyle name="Normal 18 3 5 6" xfId="14760" xr:uid="{00000000-0005-0000-0000-0000A4390000}"/>
    <cellStyle name="Normal 18 3 6" xfId="14761" xr:uid="{00000000-0005-0000-0000-0000A5390000}"/>
    <cellStyle name="Normal 18 3 6 2" xfId="14762" xr:uid="{00000000-0005-0000-0000-0000A6390000}"/>
    <cellStyle name="Normal 18 3 6 2 2" xfId="14763" xr:uid="{00000000-0005-0000-0000-0000A7390000}"/>
    <cellStyle name="Normal 18 3 6 3" xfId="14764" xr:uid="{00000000-0005-0000-0000-0000A8390000}"/>
    <cellStyle name="Normal 18 3 7" xfId="14765" xr:uid="{00000000-0005-0000-0000-0000A9390000}"/>
    <cellStyle name="Normal 18 3 7 2" xfId="14766" xr:uid="{00000000-0005-0000-0000-0000AA390000}"/>
    <cellStyle name="Normal 18 3 8" xfId="14767" xr:uid="{00000000-0005-0000-0000-0000AB390000}"/>
    <cellStyle name="Normal 18 3 8 2" xfId="14768" xr:uid="{00000000-0005-0000-0000-0000AC390000}"/>
    <cellStyle name="Normal 18 3 9" xfId="14769" xr:uid="{00000000-0005-0000-0000-0000AD390000}"/>
    <cellStyle name="Normal 18 3 9 2" xfId="14770" xr:uid="{00000000-0005-0000-0000-0000AE390000}"/>
    <cellStyle name="Normal 18 4" xfId="14771" xr:uid="{00000000-0005-0000-0000-0000AF390000}"/>
    <cellStyle name="Normal 18 4 2" xfId="14772" xr:uid="{00000000-0005-0000-0000-0000B0390000}"/>
    <cellStyle name="Normal 18 4 2 2" xfId="14773" xr:uid="{00000000-0005-0000-0000-0000B1390000}"/>
    <cellStyle name="Normal 18 4 2 2 2" xfId="14774" xr:uid="{00000000-0005-0000-0000-0000B2390000}"/>
    <cellStyle name="Normal 18 4 2 2 2 2" xfId="14775" xr:uid="{00000000-0005-0000-0000-0000B3390000}"/>
    <cellStyle name="Normal 18 4 2 2 3" xfId="14776" xr:uid="{00000000-0005-0000-0000-0000B4390000}"/>
    <cellStyle name="Normal 18 4 2 2 3 2" xfId="14777" xr:uid="{00000000-0005-0000-0000-0000B5390000}"/>
    <cellStyle name="Normal 18 4 2 2 4" xfId="14778" xr:uid="{00000000-0005-0000-0000-0000B6390000}"/>
    <cellStyle name="Normal 18 4 2 3" xfId="14779" xr:uid="{00000000-0005-0000-0000-0000B7390000}"/>
    <cellStyle name="Normal 18 4 2 3 2" xfId="14780" xr:uid="{00000000-0005-0000-0000-0000B8390000}"/>
    <cellStyle name="Normal 18 4 2 4" xfId="14781" xr:uid="{00000000-0005-0000-0000-0000B9390000}"/>
    <cellStyle name="Normal 18 4 2 4 2" xfId="14782" xr:uid="{00000000-0005-0000-0000-0000BA390000}"/>
    <cellStyle name="Normal 18 4 2 5" xfId="14783" xr:uid="{00000000-0005-0000-0000-0000BB390000}"/>
    <cellStyle name="Normal 18 4 2 5 2" xfId="14784" xr:uid="{00000000-0005-0000-0000-0000BC390000}"/>
    <cellStyle name="Normal 18 4 2 6" xfId="14785" xr:uid="{00000000-0005-0000-0000-0000BD390000}"/>
    <cellStyle name="Normal 18 4 2 6 2" xfId="14786" xr:uid="{00000000-0005-0000-0000-0000BE390000}"/>
    <cellStyle name="Normal 18 4 2 7" xfId="14787" xr:uid="{00000000-0005-0000-0000-0000BF390000}"/>
    <cellStyle name="Normal 18 4 3" xfId="14788" xr:uid="{00000000-0005-0000-0000-0000C0390000}"/>
    <cellStyle name="Normal 18 4 3 2" xfId="14789" xr:uid="{00000000-0005-0000-0000-0000C1390000}"/>
    <cellStyle name="Normal 18 4 3 2 2" xfId="14790" xr:uid="{00000000-0005-0000-0000-0000C2390000}"/>
    <cellStyle name="Normal 18 4 3 3" xfId="14791" xr:uid="{00000000-0005-0000-0000-0000C3390000}"/>
    <cellStyle name="Normal 18 4 3 3 2" xfId="14792" xr:uid="{00000000-0005-0000-0000-0000C4390000}"/>
    <cellStyle name="Normal 18 4 3 4" xfId="14793" xr:uid="{00000000-0005-0000-0000-0000C5390000}"/>
    <cellStyle name="Normal 18 4 3 4 2" xfId="14794" xr:uid="{00000000-0005-0000-0000-0000C6390000}"/>
    <cellStyle name="Normal 18 4 3 5" xfId="14795" xr:uid="{00000000-0005-0000-0000-0000C7390000}"/>
    <cellStyle name="Normal 18 4 3 5 2" xfId="14796" xr:uid="{00000000-0005-0000-0000-0000C8390000}"/>
    <cellStyle name="Normal 18 4 3 6" xfId="14797" xr:uid="{00000000-0005-0000-0000-0000C9390000}"/>
    <cellStyle name="Normal 18 4 4" xfId="14798" xr:uid="{00000000-0005-0000-0000-0000CA390000}"/>
    <cellStyle name="Normal 18 4 4 2" xfId="14799" xr:uid="{00000000-0005-0000-0000-0000CB390000}"/>
    <cellStyle name="Normal 18 4 4 2 2" xfId="14800" xr:uid="{00000000-0005-0000-0000-0000CC390000}"/>
    <cellStyle name="Normal 18 4 4 3" xfId="14801" xr:uid="{00000000-0005-0000-0000-0000CD390000}"/>
    <cellStyle name="Normal 18 4 5" xfId="14802" xr:uid="{00000000-0005-0000-0000-0000CE390000}"/>
    <cellStyle name="Normal 18 4 5 2" xfId="14803" xr:uid="{00000000-0005-0000-0000-0000CF390000}"/>
    <cellStyle name="Normal 18 4 6" xfId="14804" xr:uid="{00000000-0005-0000-0000-0000D0390000}"/>
    <cellStyle name="Normal 18 4 6 2" xfId="14805" xr:uid="{00000000-0005-0000-0000-0000D1390000}"/>
    <cellStyle name="Normal 18 4 7" xfId="14806" xr:uid="{00000000-0005-0000-0000-0000D2390000}"/>
    <cellStyle name="Normal 18 4 7 2" xfId="14807" xr:uid="{00000000-0005-0000-0000-0000D3390000}"/>
    <cellStyle name="Normal 18 4 8" xfId="14808" xr:uid="{00000000-0005-0000-0000-0000D4390000}"/>
    <cellStyle name="Normal 18 5" xfId="14809" xr:uid="{00000000-0005-0000-0000-0000D5390000}"/>
    <cellStyle name="Normal 18 5 2" xfId="14810" xr:uid="{00000000-0005-0000-0000-0000D6390000}"/>
    <cellStyle name="Normal 18 5 2 2" xfId="14811" xr:uid="{00000000-0005-0000-0000-0000D7390000}"/>
    <cellStyle name="Normal 18 5 2 2 2" xfId="14812" xr:uid="{00000000-0005-0000-0000-0000D8390000}"/>
    <cellStyle name="Normal 18 5 2 2 2 2" xfId="14813" xr:uid="{00000000-0005-0000-0000-0000D9390000}"/>
    <cellStyle name="Normal 18 5 2 2 3" xfId="14814" xr:uid="{00000000-0005-0000-0000-0000DA390000}"/>
    <cellStyle name="Normal 18 5 2 2 3 2" xfId="14815" xr:uid="{00000000-0005-0000-0000-0000DB390000}"/>
    <cellStyle name="Normal 18 5 2 2 4" xfId="14816" xr:uid="{00000000-0005-0000-0000-0000DC390000}"/>
    <cellStyle name="Normal 18 5 2 3" xfId="14817" xr:uid="{00000000-0005-0000-0000-0000DD390000}"/>
    <cellStyle name="Normal 18 5 2 3 2" xfId="14818" xr:uid="{00000000-0005-0000-0000-0000DE390000}"/>
    <cellStyle name="Normal 18 5 2 4" xfId="14819" xr:uid="{00000000-0005-0000-0000-0000DF390000}"/>
    <cellStyle name="Normal 18 5 2 4 2" xfId="14820" xr:uid="{00000000-0005-0000-0000-0000E0390000}"/>
    <cellStyle name="Normal 18 5 2 5" xfId="14821" xr:uid="{00000000-0005-0000-0000-0000E1390000}"/>
    <cellStyle name="Normal 18 5 2 5 2" xfId="14822" xr:uid="{00000000-0005-0000-0000-0000E2390000}"/>
    <cellStyle name="Normal 18 5 2 6" xfId="14823" xr:uid="{00000000-0005-0000-0000-0000E3390000}"/>
    <cellStyle name="Normal 18 5 2 6 2" xfId="14824" xr:uid="{00000000-0005-0000-0000-0000E4390000}"/>
    <cellStyle name="Normal 18 5 2 7" xfId="14825" xr:uid="{00000000-0005-0000-0000-0000E5390000}"/>
    <cellStyle name="Normal 18 5 3" xfId="14826" xr:uid="{00000000-0005-0000-0000-0000E6390000}"/>
    <cellStyle name="Normal 18 5 3 2" xfId="14827" xr:uid="{00000000-0005-0000-0000-0000E7390000}"/>
    <cellStyle name="Normal 18 5 3 2 2" xfId="14828" xr:uid="{00000000-0005-0000-0000-0000E8390000}"/>
    <cellStyle name="Normal 18 5 3 3" xfId="14829" xr:uid="{00000000-0005-0000-0000-0000E9390000}"/>
    <cellStyle name="Normal 18 5 3 3 2" xfId="14830" xr:uid="{00000000-0005-0000-0000-0000EA390000}"/>
    <cellStyle name="Normal 18 5 3 4" xfId="14831" xr:uid="{00000000-0005-0000-0000-0000EB390000}"/>
    <cellStyle name="Normal 18 5 3 4 2" xfId="14832" xr:uid="{00000000-0005-0000-0000-0000EC390000}"/>
    <cellStyle name="Normal 18 5 3 5" xfId="14833" xr:uid="{00000000-0005-0000-0000-0000ED390000}"/>
    <cellStyle name="Normal 18 5 3 5 2" xfId="14834" xr:uid="{00000000-0005-0000-0000-0000EE390000}"/>
    <cellStyle name="Normal 18 5 3 6" xfId="14835" xr:uid="{00000000-0005-0000-0000-0000EF390000}"/>
    <cellStyle name="Normal 18 5 4" xfId="14836" xr:uid="{00000000-0005-0000-0000-0000F0390000}"/>
    <cellStyle name="Normal 18 5 4 2" xfId="14837" xr:uid="{00000000-0005-0000-0000-0000F1390000}"/>
    <cellStyle name="Normal 18 5 4 2 2" xfId="14838" xr:uid="{00000000-0005-0000-0000-0000F2390000}"/>
    <cellStyle name="Normal 18 5 4 3" xfId="14839" xr:uid="{00000000-0005-0000-0000-0000F3390000}"/>
    <cellStyle name="Normal 18 5 5" xfId="14840" xr:uid="{00000000-0005-0000-0000-0000F4390000}"/>
    <cellStyle name="Normal 18 5 5 2" xfId="14841" xr:uid="{00000000-0005-0000-0000-0000F5390000}"/>
    <cellStyle name="Normal 18 5 6" xfId="14842" xr:uid="{00000000-0005-0000-0000-0000F6390000}"/>
    <cellStyle name="Normal 18 5 6 2" xfId="14843" xr:uid="{00000000-0005-0000-0000-0000F7390000}"/>
    <cellStyle name="Normal 18 5 7" xfId="14844" xr:uid="{00000000-0005-0000-0000-0000F8390000}"/>
    <cellStyle name="Normal 18 5 7 2" xfId="14845" xr:uid="{00000000-0005-0000-0000-0000F9390000}"/>
    <cellStyle name="Normal 18 5 8" xfId="14846" xr:uid="{00000000-0005-0000-0000-0000FA390000}"/>
    <cellStyle name="Normal 18 6" xfId="14847" xr:uid="{00000000-0005-0000-0000-0000FB390000}"/>
    <cellStyle name="Normal 18 6 2" xfId="14848" xr:uid="{00000000-0005-0000-0000-0000FC390000}"/>
    <cellStyle name="Normal 18 6 2 2" xfId="14849" xr:uid="{00000000-0005-0000-0000-0000FD390000}"/>
    <cellStyle name="Normal 18 6 2 2 2" xfId="14850" xr:uid="{00000000-0005-0000-0000-0000FE390000}"/>
    <cellStyle name="Normal 18 6 2 3" xfId="14851" xr:uid="{00000000-0005-0000-0000-0000FF390000}"/>
    <cellStyle name="Normal 18 6 2 3 2" xfId="14852" xr:uid="{00000000-0005-0000-0000-0000003A0000}"/>
    <cellStyle name="Normal 18 6 2 4" xfId="14853" xr:uid="{00000000-0005-0000-0000-0000013A0000}"/>
    <cellStyle name="Normal 18 6 3" xfId="14854" xr:uid="{00000000-0005-0000-0000-0000023A0000}"/>
    <cellStyle name="Normal 18 6 3 2" xfId="14855" xr:uid="{00000000-0005-0000-0000-0000033A0000}"/>
    <cellStyle name="Normal 18 6 4" xfId="14856" xr:uid="{00000000-0005-0000-0000-0000043A0000}"/>
    <cellStyle name="Normal 18 6 4 2" xfId="14857" xr:uid="{00000000-0005-0000-0000-0000053A0000}"/>
    <cellStyle name="Normal 18 6 5" xfId="14858" xr:uid="{00000000-0005-0000-0000-0000063A0000}"/>
    <cellStyle name="Normal 18 6 5 2" xfId="14859" xr:uid="{00000000-0005-0000-0000-0000073A0000}"/>
    <cellStyle name="Normal 18 6 6" xfId="14860" xr:uid="{00000000-0005-0000-0000-0000083A0000}"/>
    <cellStyle name="Normal 18 6 6 2" xfId="14861" xr:uid="{00000000-0005-0000-0000-0000093A0000}"/>
    <cellStyle name="Normal 18 6 7" xfId="14862" xr:uid="{00000000-0005-0000-0000-00000A3A0000}"/>
    <cellStyle name="Normal 18 7" xfId="14863" xr:uid="{00000000-0005-0000-0000-00000B3A0000}"/>
    <cellStyle name="Normal 18 7 2" xfId="14864" xr:uid="{00000000-0005-0000-0000-00000C3A0000}"/>
    <cellStyle name="Normal 18 7 2 2" xfId="14865" xr:uid="{00000000-0005-0000-0000-00000D3A0000}"/>
    <cellStyle name="Normal 18 7 3" xfId="14866" xr:uid="{00000000-0005-0000-0000-00000E3A0000}"/>
    <cellStyle name="Normal 18 7 4" xfId="14867" xr:uid="{00000000-0005-0000-0000-00000F3A0000}"/>
    <cellStyle name="Normal 18 7 4 2" xfId="14868" xr:uid="{00000000-0005-0000-0000-0000103A0000}"/>
    <cellStyle name="Normal 18 7 5" xfId="14869" xr:uid="{00000000-0005-0000-0000-0000113A0000}"/>
    <cellStyle name="Normal 18 7 5 2" xfId="14870" xr:uid="{00000000-0005-0000-0000-0000123A0000}"/>
    <cellStyle name="Normal 18 7 6" xfId="14871" xr:uid="{00000000-0005-0000-0000-0000133A0000}"/>
    <cellStyle name="Normal 18 8" xfId="14872" xr:uid="{00000000-0005-0000-0000-0000143A0000}"/>
    <cellStyle name="Normal 18 8 2" xfId="14873" xr:uid="{00000000-0005-0000-0000-0000153A0000}"/>
    <cellStyle name="Normal 18 8 2 2" xfId="14874" xr:uid="{00000000-0005-0000-0000-0000163A0000}"/>
    <cellStyle name="Normal 18 8 3" xfId="14875" xr:uid="{00000000-0005-0000-0000-0000173A0000}"/>
    <cellStyle name="Normal 18 9" xfId="14876" xr:uid="{00000000-0005-0000-0000-0000183A0000}"/>
    <cellStyle name="Normal 18 9 2" xfId="14877" xr:uid="{00000000-0005-0000-0000-0000193A0000}"/>
    <cellStyle name="Normal 18 9 2 2" xfId="14878" xr:uid="{00000000-0005-0000-0000-00001A3A0000}"/>
    <cellStyle name="Normal 18 9 3" xfId="14879" xr:uid="{00000000-0005-0000-0000-00001B3A0000}"/>
    <cellStyle name="Normal 19" xfId="14880" xr:uid="{00000000-0005-0000-0000-00001C3A0000}"/>
    <cellStyle name="Normal 19 10" xfId="14881" xr:uid="{00000000-0005-0000-0000-00001D3A0000}"/>
    <cellStyle name="Normal 19 10 2" xfId="14882" xr:uid="{00000000-0005-0000-0000-00001E3A0000}"/>
    <cellStyle name="Normal 19 11" xfId="14883" xr:uid="{00000000-0005-0000-0000-00001F3A0000}"/>
    <cellStyle name="Normal 19 11 2" xfId="14884" xr:uid="{00000000-0005-0000-0000-0000203A0000}"/>
    <cellStyle name="Normal 19 12" xfId="14885" xr:uid="{00000000-0005-0000-0000-0000213A0000}"/>
    <cellStyle name="Normal 19 12 2" xfId="14886" xr:uid="{00000000-0005-0000-0000-0000223A0000}"/>
    <cellStyle name="Normal 19 13" xfId="14887" xr:uid="{00000000-0005-0000-0000-0000233A0000}"/>
    <cellStyle name="Normal 19 2" xfId="14888" xr:uid="{00000000-0005-0000-0000-0000243A0000}"/>
    <cellStyle name="Normal 19 2 10" xfId="14889" xr:uid="{00000000-0005-0000-0000-0000253A0000}"/>
    <cellStyle name="Normal 19 2 10 2" xfId="14890" xr:uid="{00000000-0005-0000-0000-0000263A0000}"/>
    <cellStyle name="Normal 19 2 11" xfId="14891" xr:uid="{00000000-0005-0000-0000-0000273A0000}"/>
    <cellStyle name="Normal 19 2 2" xfId="14892" xr:uid="{00000000-0005-0000-0000-0000283A0000}"/>
    <cellStyle name="Normal 19 2 2 10" xfId="14893" xr:uid="{00000000-0005-0000-0000-0000293A0000}"/>
    <cellStyle name="Normal 19 2 2 2" xfId="14894" xr:uid="{00000000-0005-0000-0000-00002A3A0000}"/>
    <cellStyle name="Normal 19 2 2 2 2" xfId="14895" xr:uid="{00000000-0005-0000-0000-00002B3A0000}"/>
    <cellStyle name="Normal 19 2 2 2 2 2" xfId="14896" xr:uid="{00000000-0005-0000-0000-00002C3A0000}"/>
    <cellStyle name="Normal 19 2 2 2 2 2 2" xfId="14897" xr:uid="{00000000-0005-0000-0000-00002D3A0000}"/>
    <cellStyle name="Normal 19 2 2 2 2 2 2 2" xfId="14898" xr:uid="{00000000-0005-0000-0000-00002E3A0000}"/>
    <cellStyle name="Normal 19 2 2 2 2 2 3" xfId="14899" xr:uid="{00000000-0005-0000-0000-00002F3A0000}"/>
    <cellStyle name="Normal 19 2 2 2 2 2 3 2" xfId="14900" xr:uid="{00000000-0005-0000-0000-0000303A0000}"/>
    <cellStyle name="Normal 19 2 2 2 2 2 4" xfId="14901" xr:uid="{00000000-0005-0000-0000-0000313A0000}"/>
    <cellStyle name="Normal 19 2 2 2 2 3" xfId="14902" xr:uid="{00000000-0005-0000-0000-0000323A0000}"/>
    <cellStyle name="Normal 19 2 2 2 2 3 2" xfId="14903" xr:uid="{00000000-0005-0000-0000-0000333A0000}"/>
    <cellStyle name="Normal 19 2 2 2 2 4" xfId="14904" xr:uid="{00000000-0005-0000-0000-0000343A0000}"/>
    <cellStyle name="Normal 19 2 2 2 2 4 2" xfId="14905" xr:uid="{00000000-0005-0000-0000-0000353A0000}"/>
    <cellStyle name="Normal 19 2 2 2 2 5" xfId="14906" xr:uid="{00000000-0005-0000-0000-0000363A0000}"/>
    <cellStyle name="Normal 19 2 2 2 2 5 2" xfId="14907" xr:uid="{00000000-0005-0000-0000-0000373A0000}"/>
    <cellStyle name="Normal 19 2 2 2 2 6" xfId="14908" xr:uid="{00000000-0005-0000-0000-0000383A0000}"/>
    <cellStyle name="Normal 19 2 2 2 2 6 2" xfId="14909" xr:uid="{00000000-0005-0000-0000-0000393A0000}"/>
    <cellStyle name="Normal 19 2 2 2 2 7" xfId="14910" xr:uid="{00000000-0005-0000-0000-00003A3A0000}"/>
    <cellStyle name="Normal 19 2 2 2 3" xfId="14911" xr:uid="{00000000-0005-0000-0000-00003B3A0000}"/>
    <cellStyle name="Normal 19 2 2 2 3 2" xfId="14912" xr:uid="{00000000-0005-0000-0000-00003C3A0000}"/>
    <cellStyle name="Normal 19 2 2 2 3 2 2" xfId="14913" xr:uid="{00000000-0005-0000-0000-00003D3A0000}"/>
    <cellStyle name="Normal 19 2 2 2 3 3" xfId="14914" xr:uid="{00000000-0005-0000-0000-00003E3A0000}"/>
    <cellStyle name="Normal 19 2 2 2 3 3 2" xfId="14915" xr:uid="{00000000-0005-0000-0000-00003F3A0000}"/>
    <cellStyle name="Normal 19 2 2 2 3 4" xfId="14916" xr:uid="{00000000-0005-0000-0000-0000403A0000}"/>
    <cellStyle name="Normal 19 2 2 2 3 4 2" xfId="14917" xr:uid="{00000000-0005-0000-0000-0000413A0000}"/>
    <cellStyle name="Normal 19 2 2 2 3 5" xfId="14918" xr:uid="{00000000-0005-0000-0000-0000423A0000}"/>
    <cellStyle name="Normal 19 2 2 2 3 5 2" xfId="14919" xr:uid="{00000000-0005-0000-0000-0000433A0000}"/>
    <cellStyle name="Normal 19 2 2 2 3 6" xfId="14920" xr:uid="{00000000-0005-0000-0000-0000443A0000}"/>
    <cellStyle name="Normal 19 2 2 2 4" xfId="14921" xr:uid="{00000000-0005-0000-0000-0000453A0000}"/>
    <cellStyle name="Normal 19 2 2 2 4 2" xfId="14922" xr:uid="{00000000-0005-0000-0000-0000463A0000}"/>
    <cellStyle name="Normal 19 2 2 2 4 2 2" xfId="14923" xr:uid="{00000000-0005-0000-0000-0000473A0000}"/>
    <cellStyle name="Normal 19 2 2 2 4 3" xfId="14924" xr:uid="{00000000-0005-0000-0000-0000483A0000}"/>
    <cellStyle name="Normal 19 2 2 2 5" xfId="14925" xr:uid="{00000000-0005-0000-0000-0000493A0000}"/>
    <cellStyle name="Normal 19 2 2 2 5 2" xfId="14926" xr:uid="{00000000-0005-0000-0000-00004A3A0000}"/>
    <cellStyle name="Normal 19 2 2 2 6" xfId="14927" xr:uid="{00000000-0005-0000-0000-00004B3A0000}"/>
    <cellStyle name="Normal 19 2 2 2 6 2" xfId="14928" xr:uid="{00000000-0005-0000-0000-00004C3A0000}"/>
    <cellStyle name="Normal 19 2 2 2 7" xfId="14929" xr:uid="{00000000-0005-0000-0000-00004D3A0000}"/>
    <cellStyle name="Normal 19 2 2 2 7 2" xfId="14930" xr:uid="{00000000-0005-0000-0000-00004E3A0000}"/>
    <cellStyle name="Normal 19 2 2 2 8" xfId="14931" xr:uid="{00000000-0005-0000-0000-00004F3A0000}"/>
    <cellStyle name="Normal 19 2 2 3" xfId="14932" xr:uid="{00000000-0005-0000-0000-0000503A0000}"/>
    <cellStyle name="Normal 19 2 2 3 2" xfId="14933" xr:uid="{00000000-0005-0000-0000-0000513A0000}"/>
    <cellStyle name="Normal 19 2 2 3 2 2" xfId="14934" xr:uid="{00000000-0005-0000-0000-0000523A0000}"/>
    <cellStyle name="Normal 19 2 2 3 2 2 2" xfId="14935" xr:uid="{00000000-0005-0000-0000-0000533A0000}"/>
    <cellStyle name="Normal 19 2 2 3 2 2 2 2" xfId="14936" xr:uid="{00000000-0005-0000-0000-0000543A0000}"/>
    <cellStyle name="Normal 19 2 2 3 2 2 3" xfId="14937" xr:uid="{00000000-0005-0000-0000-0000553A0000}"/>
    <cellStyle name="Normal 19 2 2 3 2 2 3 2" xfId="14938" xr:uid="{00000000-0005-0000-0000-0000563A0000}"/>
    <cellStyle name="Normal 19 2 2 3 2 2 4" xfId="14939" xr:uid="{00000000-0005-0000-0000-0000573A0000}"/>
    <cellStyle name="Normal 19 2 2 3 2 3" xfId="14940" xr:uid="{00000000-0005-0000-0000-0000583A0000}"/>
    <cellStyle name="Normal 19 2 2 3 2 3 2" xfId="14941" xr:uid="{00000000-0005-0000-0000-0000593A0000}"/>
    <cellStyle name="Normal 19 2 2 3 2 4" xfId="14942" xr:uid="{00000000-0005-0000-0000-00005A3A0000}"/>
    <cellStyle name="Normal 19 2 2 3 2 4 2" xfId="14943" xr:uid="{00000000-0005-0000-0000-00005B3A0000}"/>
    <cellStyle name="Normal 19 2 2 3 2 5" xfId="14944" xr:uid="{00000000-0005-0000-0000-00005C3A0000}"/>
    <cellStyle name="Normal 19 2 2 3 2 5 2" xfId="14945" xr:uid="{00000000-0005-0000-0000-00005D3A0000}"/>
    <cellStyle name="Normal 19 2 2 3 2 6" xfId="14946" xr:uid="{00000000-0005-0000-0000-00005E3A0000}"/>
    <cellStyle name="Normal 19 2 2 3 2 6 2" xfId="14947" xr:uid="{00000000-0005-0000-0000-00005F3A0000}"/>
    <cellStyle name="Normal 19 2 2 3 2 7" xfId="14948" xr:uid="{00000000-0005-0000-0000-0000603A0000}"/>
    <cellStyle name="Normal 19 2 2 3 3" xfId="14949" xr:uid="{00000000-0005-0000-0000-0000613A0000}"/>
    <cellStyle name="Normal 19 2 2 3 3 2" xfId="14950" xr:uid="{00000000-0005-0000-0000-0000623A0000}"/>
    <cellStyle name="Normal 19 2 2 3 3 2 2" xfId="14951" xr:uid="{00000000-0005-0000-0000-0000633A0000}"/>
    <cellStyle name="Normal 19 2 2 3 3 3" xfId="14952" xr:uid="{00000000-0005-0000-0000-0000643A0000}"/>
    <cellStyle name="Normal 19 2 2 3 3 3 2" xfId="14953" xr:uid="{00000000-0005-0000-0000-0000653A0000}"/>
    <cellStyle name="Normal 19 2 2 3 3 4" xfId="14954" xr:uid="{00000000-0005-0000-0000-0000663A0000}"/>
    <cellStyle name="Normal 19 2 2 3 3 4 2" xfId="14955" xr:uid="{00000000-0005-0000-0000-0000673A0000}"/>
    <cellStyle name="Normal 19 2 2 3 3 5" xfId="14956" xr:uid="{00000000-0005-0000-0000-0000683A0000}"/>
    <cellStyle name="Normal 19 2 2 3 3 5 2" xfId="14957" xr:uid="{00000000-0005-0000-0000-0000693A0000}"/>
    <cellStyle name="Normal 19 2 2 3 3 6" xfId="14958" xr:uid="{00000000-0005-0000-0000-00006A3A0000}"/>
    <cellStyle name="Normal 19 2 2 3 4" xfId="14959" xr:uid="{00000000-0005-0000-0000-00006B3A0000}"/>
    <cellStyle name="Normal 19 2 2 3 4 2" xfId="14960" xr:uid="{00000000-0005-0000-0000-00006C3A0000}"/>
    <cellStyle name="Normal 19 2 2 3 4 2 2" xfId="14961" xr:uid="{00000000-0005-0000-0000-00006D3A0000}"/>
    <cellStyle name="Normal 19 2 2 3 4 3" xfId="14962" xr:uid="{00000000-0005-0000-0000-00006E3A0000}"/>
    <cellStyle name="Normal 19 2 2 3 5" xfId="14963" xr:uid="{00000000-0005-0000-0000-00006F3A0000}"/>
    <cellStyle name="Normal 19 2 2 3 5 2" xfId="14964" xr:uid="{00000000-0005-0000-0000-0000703A0000}"/>
    <cellStyle name="Normal 19 2 2 3 6" xfId="14965" xr:uid="{00000000-0005-0000-0000-0000713A0000}"/>
    <cellStyle name="Normal 19 2 2 3 6 2" xfId="14966" xr:uid="{00000000-0005-0000-0000-0000723A0000}"/>
    <cellStyle name="Normal 19 2 2 3 7" xfId="14967" xr:uid="{00000000-0005-0000-0000-0000733A0000}"/>
    <cellStyle name="Normal 19 2 2 3 7 2" xfId="14968" xr:uid="{00000000-0005-0000-0000-0000743A0000}"/>
    <cellStyle name="Normal 19 2 2 3 8" xfId="14969" xr:uid="{00000000-0005-0000-0000-0000753A0000}"/>
    <cellStyle name="Normal 19 2 2 4" xfId="14970" xr:uid="{00000000-0005-0000-0000-0000763A0000}"/>
    <cellStyle name="Normal 19 2 2 4 2" xfId="14971" xr:uid="{00000000-0005-0000-0000-0000773A0000}"/>
    <cellStyle name="Normal 19 2 2 4 2 2" xfId="14972" xr:uid="{00000000-0005-0000-0000-0000783A0000}"/>
    <cellStyle name="Normal 19 2 2 4 2 2 2" xfId="14973" xr:uid="{00000000-0005-0000-0000-0000793A0000}"/>
    <cellStyle name="Normal 19 2 2 4 2 3" xfId="14974" xr:uid="{00000000-0005-0000-0000-00007A3A0000}"/>
    <cellStyle name="Normal 19 2 2 4 2 3 2" xfId="14975" xr:uid="{00000000-0005-0000-0000-00007B3A0000}"/>
    <cellStyle name="Normal 19 2 2 4 2 4" xfId="14976" xr:uid="{00000000-0005-0000-0000-00007C3A0000}"/>
    <cellStyle name="Normal 19 2 2 4 3" xfId="14977" xr:uid="{00000000-0005-0000-0000-00007D3A0000}"/>
    <cellStyle name="Normal 19 2 2 4 3 2" xfId="14978" xr:uid="{00000000-0005-0000-0000-00007E3A0000}"/>
    <cellStyle name="Normal 19 2 2 4 4" xfId="14979" xr:uid="{00000000-0005-0000-0000-00007F3A0000}"/>
    <cellStyle name="Normal 19 2 2 4 4 2" xfId="14980" xr:uid="{00000000-0005-0000-0000-0000803A0000}"/>
    <cellStyle name="Normal 19 2 2 4 5" xfId="14981" xr:uid="{00000000-0005-0000-0000-0000813A0000}"/>
    <cellStyle name="Normal 19 2 2 4 5 2" xfId="14982" xr:uid="{00000000-0005-0000-0000-0000823A0000}"/>
    <cellStyle name="Normal 19 2 2 4 6" xfId="14983" xr:uid="{00000000-0005-0000-0000-0000833A0000}"/>
    <cellStyle name="Normal 19 2 2 4 6 2" xfId="14984" xr:uid="{00000000-0005-0000-0000-0000843A0000}"/>
    <cellStyle name="Normal 19 2 2 4 7" xfId="14985" xr:uid="{00000000-0005-0000-0000-0000853A0000}"/>
    <cellStyle name="Normal 19 2 2 5" xfId="14986" xr:uid="{00000000-0005-0000-0000-0000863A0000}"/>
    <cellStyle name="Normal 19 2 2 5 2" xfId="14987" xr:uid="{00000000-0005-0000-0000-0000873A0000}"/>
    <cellStyle name="Normal 19 2 2 5 2 2" xfId="14988" xr:uid="{00000000-0005-0000-0000-0000883A0000}"/>
    <cellStyle name="Normal 19 2 2 5 3" xfId="14989" xr:uid="{00000000-0005-0000-0000-0000893A0000}"/>
    <cellStyle name="Normal 19 2 2 5 3 2" xfId="14990" xr:uid="{00000000-0005-0000-0000-00008A3A0000}"/>
    <cellStyle name="Normal 19 2 2 5 4" xfId="14991" xr:uid="{00000000-0005-0000-0000-00008B3A0000}"/>
    <cellStyle name="Normal 19 2 2 5 4 2" xfId="14992" xr:uid="{00000000-0005-0000-0000-00008C3A0000}"/>
    <cellStyle name="Normal 19 2 2 5 5" xfId="14993" xr:uid="{00000000-0005-0000-0000-00008D3A0000}"/>
    <cellStyle name="Normal 19 2 2 5 5 2" xfId="14994" xr:uid="{00000000-0005-0000-0000-00008E3A0000}"/>
    <cellStyle name="Normal 19 2 2 5 6" xfId="14995" xr:uid="{00000000-0005-0000-0000-00008F3A0000}"/>
    <cellStyle name="Normal 19 2 2 6" xfId="14996" xr:uid="{00000000-0005-0000-0000-0000903A0000}"/>
    <cellStyle name="Normal 19 2 2 6 2" xfId="14997" xr:uid="{00000000-0005-0000-0000-0000913A0000}"/>
    <cellStyle name="Normal 19 2 2 6 2 2" xfId="14998" xr:uid="{00000000-0005-0000-0000-0000923A0000}"/>
    <cellStyle name="Normal 19 2 2 6 3" xfId="14999" xr:uid="{00000000-0005-0000-0000-0000933A0000}"/>
    <cellStyle name="Normal 19 2 2 7" xfId="15000" xr:uid="{00000000-0005-0000-0000-0000943A0000}"/>
    <cellStyle name="Normal 19 2 2 7 2" xfId="15001" xr:uid="{00000000-0005-0000-0000-0000953A0000}"/>
    <cellStyle name="Normal 19 2 2 8" xfId="15002" xr:uid="{00000000-0005-0000-0000-0000963A0000}"/>
    <cellStyle name="Normal 19 2 2 8 2" xfId="15003" xr:uid="{00000000-0005-0000-0000-0000973A0000}"/>
    <cellStyle name="Normal 19 2 2 9" xfId="15004" xr:uid="{00000000-0005-0000-0000-0000983A0000}"/>
    <cellStyle name="Normal 19 2 2 9 2" xfId="15005" xr:uid="{00000000-0005-0000-0000-0000993A0000}"/>
    <cellStyle name="Normal 19 2 3" xfId="15006" xr:uid="{00000000-0005-0000-0000-00009A3A0000}"/>
    <cellStyle name="Normal 19 2 3 2" xfId="15007" xr:uid="{00000000-0005-0000-0000-00009B3A0000}"/>
    <cellStyle name="Normal 19 2 3 2 2" xfId="15008" xr:uid="{00000000-0005-0000-0000-00009C3A0000}"/>
    <cellStyle name="Normal 19 2 3 2 2 2" xfId="15009" xr:uid="{00000000-0005-0000-0000-00009D3A0000}"/>
    <cellStyle name="Normal 19 2 3 2 2 2 2" xfId="15010" xr:uid="{00000000-0005-0000-0000-00009E3A0000}"/>
    <cellStyle name="Normal 19 2 3 2 2 3" xfId="15011" xr:uid="{00000000-0005-0000-0000-00009F3A0000}"/>
    <cellStyle name="Normal 19 2 3 2 2 3 2" xfId="15012" xr:uid="{00000000-0005-0000-0000-0000A03A0000}"/>
    <cellStyle name="Normal 19 2 3 2 2 4" xfId="15013" xr:uid="{00000000-0005-0000-0000-0000A13A0000}"/>
    <cellStyle name="Normal 19 2 3 2 3" xfId="15014" xr:uid="{00000000-0005-0000-0000-0000A23A0000}"/>
    <cellStyle name="Normal 19 2 3 2 3 2" xfId="15015" xr:uid="{00000000-0005-0000-0000-0000A33A0000}"/>
    <cellStyle name="Normal 19 2 3 2 4" xfId="15016" xr:uid="{00000000-0005-0000-0000-0000A43A0000}"/>
    <cellStyle name="Normal 19 2 3 2 4 2" xfId="15017" xr:uid="{00000000-0005-0000-0000-0000A53A0000}"/>
    <cellStyle name="Normal 19 2 3 2 5" xfId="15018" xr:uid="{00000000-0005-0000-0000-0000A63A0000}"/>
    <cellStyle name="Normal 19 2 3 2 5 2" xfId="15019" xr:uid="{00000000-0005-0000-0000-0000A73A0000}"/>
    <cellStyle name="Normal 19 2 3 2 6" xfId="15020" xr:uid="{00000000-0005-0000-0000-0000A83A0000}"/>
    <cellStyle name="Normal 19 2 3 2 6 2" xfId="15021" xr:uid="{00000000-0005-0000-0000-0000A93A0000}"/>
    <cellStyle name="Normal 19 2 3 2 7" xfId="15022" xr:uid="{00000000-0005-0000-0000-0000AA3A0000}"/>
    <cellStyle name="Normal 19 2 3 3" xfId="15023" xr:uid="{00000000-0005-0000-0000-0000AB3A0000}"/>
    <cellStyle name="Normal 19 2 3 3 2" xfId="15024" xr:uid="{00000000-0005-0000-0000-0000AC3A0000}"/>
    <cellStyle name="Normal 19 2 3 3 2 2" xfId="15025" xr:uid="{00000000-0005-0000-0000-0000AD3A0000}"/>
    <cellStyle name="Normal 19 2 3 3 3" xfId="15026" xr:uid="{00000000-0005-0000-0000-0000AE3A0000}"/>
    <cellStyle name="Normal 19 2 3 3 3 2" xfId="15027" xr:uid="{00000000-0005-0000-0000-0000AF3A0000}"/>
    <cellStyle name="Normal 19 2 3 3 4" xfId="15028" xr:uid="{00000000-0005-0000-0000-0000B03A0000}"/>
    <cellStyle name="Normal 19 2 3 3 4 2" xfId="15029" xr:uid="{00000000-0005-0000-0000-0000B13A0000}"/>
    <cellStyle name="Normal 19 2 3 3 5" xfId="15030" xr:uid="{00000000-0005-0000-0000-0000B23A0000}"/>
    <cellStyle name="Normal 19 2 3 3 5 2" xfId="15031" xr:uid="{00000000-0005-0000-0000-0000B33A0000}"/>
    <cellStyle name="Normal 19 2 3 3 6" xfId="15032" xr:uid="{00000000-0005-0000-0000-0000B43A0000}"/>
    <cellStyle name="Normal 19 2 3 4" xfId="15033" xr:uid="{00000000-0005-0000-0000-0000B53A0000}"/>
    <cellStyle name="Normal 19 2 3 4 2" xfId="15034" xr:uid="{00000000-0005-0000-0000-0000B63A0000}"/>
    <cellStyle name="Normal 19 2 3 4 2 2" xfId="15035" xr:uid="{00000000-0005-0000-0000-0000B73A0000}"/>
    <cellStyle name="Normal 19 2 3 4 3" xfId="15036" xr:uid="{00000000-0005-0000-0000-0000B83A0000}"/>
    <cellStyle name="Normal 19 2 3 5" xfId="15037" xr:uid="{00000000-0005-0000-0000-0000B93A0000}"/>
    <cellStyle name="Normal 19 2 3 5 2" xfId="15038" xr:uid="{00000000-0005-0000-0000-0000BA3A0000}"/>
    <cellStyle name="Normal 19 2 3 6" xfId="15039" xr:uid="{00000000-0005-0000-0000-0000BB3A0000}"/>
    <cellStyle name="Normal 19 2 3 6 2" xfId="15040" xr:uid="{00000000-0005-0000-0000-0000BC3A0000}"/>
    <cellStyle name="Normal 19 2 3 7" xfId="15041" xr:uid="{00000000-0005-0000-0000-0000BD3A0000}"/>
    <cellStyle name="Normal 19 2 3 7 2" xfId="15042" xr:uid="{00000000-0005-0000-0000-0000BE3A0000}"/>
    <cellStyle name="Normal 19 2 3 8" xfId="15043" xr:uid="{00000000-0005-0000-0000-0000BF3A0000}"/>
    <cellStyle name="Normal 19 2 4" xfId="15044" xr:uid="{00000000-0005-0000-0000-0000C03A0000}"/>
    <cellStyle name="Normal 19 2 4 2" xfId="15045" xr:uid="{00000000-0005-0000-0000-0000C13A0000}"/>
    <cellStyle name="Normal 19 2 4 2 2" xfId="15046" xr:uid="{00000000-0005-0000-0000-0000C23A0000}"/>
    <cellStyle name="Normal 19 2 4 2 2 2" xfId="15047" xr:uid="{00000000-0005-0000-0000-0000C33A0000}"/>
    <cellStyle name="Normal 19 2 4 2 2 2 2" xfId="15048" xr:uid="{00000000-0005-0000-0000-0000C43A0000}"/>
    <cellStyle name="Normal 19 2 4 2 2 3" xfId="15049" xr:uid="{00000000-0005-0000-0000-0000C53A0000}"/>
    <cellStyle name="Normal 19 2 4 2 2 3 2" xfId="15050" xr:uid="{00000000-0005-0000-0000-0000C63A0000}"/>
    <cellStyle name="Normal 19 2 4 2 2 4" xfId="15051" xr:uid="{00000000-0005-0000-0000-0000C73A0000}"/>
    <cellStyle name="Normal 19 2 4 2 3" xfId="15052" xr:uid="{00000000-0005-0000-0000-0000C83A0000}"/>
    <cellStyle name="Normal 19 2 4 2 3 2" xfId="15053" xr:uid="{00000000-0005-0000-0000-0000C93A0000}"/>
    <cellStyle name="Normal 19 2 4 2 4" xfId="15054" xr:uid="{00000000-0005-0000-0000-0000CA3A0000}"/>
    <cellStyle name="Normal 19 2 4 2 4 2" xfId="15055" xr:uid="{00000000-0005-0000-0000-0000CB3A0000}"/>
    <cellStyle name="Normal 19 2 4 2 5" xfId="15056" xr:uid="{00000000-0005-0000-0000-0000CC3A0000}"/>
    <cellStyle name="Normal 19 2 4 2 5 2" xfId="15057" xr:uid="{00000000-0005-0000-0000-0000CD3A0000}"/>
    <cellStyle name="Normal 19 2 4 2 6" xfId="15058" xr:uid="{00000000-0005-0000-0000-0000CE3A0000}"/>
    <cellStyle name="Normal 19 2 4 2 6 2" xfId="15059" xr:uid="{00000000-0005-0000-0000-0000CF3A0000}"/>
    <cellStyle name="Normal 19 2 4 2 7" xfId="15060" xr:uid="{00000000-0005-0000-0000-0000D03A0000}"/>
    <cellStyle name="Normal 19 2 4 3" xfId="15061" xr:uid="{00000000-0005-0000-0000-0000D13A0000}"/>
    <cellStyle name="Normal 19 2 4 3 2" xfId="15062" xr:uid="{00000000-0005-0000-0000-0000D23A0000}"/>
    <cellStyle name="Normal 19 2 4 3 2 2" xfId="15063" xr:uid="{00000000-0005-0000-0000-0000D33A0000}"/>
    <cellStyle name="Normal 19 2 4 3 3" xfId="15064" xr:uid="{00000000-0005-0000-0000-0000D43A0000}"/>
    <cellStyle name="Normal 19 2 4 3 3 2" xfId="15065" xr:uid="{00000000-0005-0000-0000-0000D53A0000}"/>
    <cellStyle name="Normal 19 2 4 3 4" xfId="15066" xr:uid="{00000000-0005-0000-0000-0000D63A0000}"/>
    <cellStyle name="Normal 19 2 4 3 4 2" xfId="15067" xr:uid="{00000000-0005-0000-0000-0000D73A0000}"/>
    <cellStyle name="Normal 19 2 4 3 5" xfId="15068" xr:uid="{00000000-0005-0000-0000-0000D83A0000}"/>
    <cellStyle name="Normal 19 2 4 3 5 2" xfId="15069" xr:uid="{00000000-0005-0000-0000-0000D93A0000}"/>
    <cellStyle name="Normal 19 2 4 3 6" xfId="15070" xr:uid="{00000000-0005-0000-0000-0000DA3A0000}"/>
    <cellStyle name="Normal 19 2 4 4" xfId="15071" xr:uid="{00000000-0005-0000-0000-0000DB3A0000}"/>
    <cellStyle name="Normal 19 2 4 4 2" xfId="15072" xr:uid="{00000000-0005-0000-0000-0000DC3A0000}"/>
    <cellStyle name="Normal 19 2 4 4 2 2" xfId="15073" xr:uid="{00000000-0005-0000-0000-0000DD3A0000}"/>
    <cellStyle name="Normal 19 2 4 4 3" xfId="15074" xr:uid="{00000000-0005-0000-0000-0000DE3A0000}"/>
    <cellStyle name="Normal 19 2 4 5" xfId="15075" xr:uid="{00000000-0005-0000-0000-0000DF3A0000}"/>
    <cellStyle name="Normal 19 2 4 5 2" xfId="15076" xr:uid="{00000000-0005-0000-0000-0000E03A0000}"/>
    <cellStyle name="Normal 19 2 4 6" xfId="15077" xr:uid="{00000000-0005-0000-0000-0000E13A0000}"/>
    <cellStyle name="Normal 19 2 4 6 2" xfId="15078" xr:uid="{00000000-0005-0000-0000-0000E23A0000}"/>
    <cellStyle name="Normal 19 2 4 7" xfId="15079" xr:uid="{00000000-0005-0000-0000-0000E33A0000}"/>
    <cellStyle name="Normal 19 2 4 7 2" xfId="15080" xr:uid="{00000000-0005-0000-0000-0000E43A0000}"/>
    <cellStyle name="Normal 19 2 4 8" xfId="15081" xr:uid="{00000000-0005-0000-0000-0000E53A0000}"/>
    <cellStyle name="Normal 19 2 5" xfId="15082" xr:uid="{00000000-0005-0000-0000-0000E63A0000}"/>
    <cellStyle name="Normal 19 2 5 2" xfId="15083" xr:uid="{00000000-0005-0000-0000-0000E73A0000}"/>
    <cellStyle name="Normal 19 2 5 2 2" xfId="15084" xr:uid="{00000000-0005-0000-0000-0000E83A0000}"/>
    <cellStyle name="Normal 19 2 5 2 2 2" xfId="15085" xr:uid="{00000000-0005-0000-0000-0000E93A0000}"/>
    <cellStyle name="Normal 19 2 5 2 3" xfId="15086" xr:uid="{00000000-0005-0000-0000-0000EA3A0000}"/>
    <cellStyle name="Normal 19 2 5 2 3 2" xfId="15087" xr:uid="{00000000-0005-0000-0000-0000EB3A0000}"/>
    <cellStyle name="Normal 19 2 5 2 4" xfId="15088" xr:uid="{00000000-0005-0000-0000-0000EC3A0000}"/>
    <cellStyle name="Normal 19 2 5 3" xfId="15089" xr:uid="{00000000-0005-0000-0000-0000ED3A0000}"/>
    <cellStyle name="Normal 19 2 5 3 2" xfId="15090" xr:uid="{00000000-0005-0000-0000-0000EE3A0000}"/>
    <cellStyle name="Normal 19 2 5 4" xfId="15091" xr:uid="{00000000-0005-0000-0000-0000EF3A0000}"/>
    <cellStyle name="Normal 19 2 5 4 2" xfId="15092" xr:uid="{00000000-0005-0000-0000-0000F03A0000}"/>
    <cellStyle name="Normal 19 2 5 5" xfId="15093" xr:uid="{00000000-0005-0000-0000-0000F13A0000}"/>
    <cellStyle name="Normal 19 2 5 5 2" xfId="15094" xr:uid="{00000000-0005-0000-0000-0000F23A0000}"/>
    <cellStyle name="Normal 19 2 5 6" xfId="15095" xr:uid="{00000000-0005-0000-0000-0000F33A0000}"/>
    <cellStyle name="Normal 19 2 5 6 2" xfId="15096" xr:uid="{00000000-0005-0000-0000-0000F43A0000}"/>
    <cellStyle name="Normal 19 2 5 7" xfId="15097" xr:uid="{00000000-0005-0000-0000-0000F53A0000}"/>
    <cellStyle name="Normal 19 2 6" xfId="15098" xr:uid="{00000000-0005-0000-0000-0000F63A0000}"/>
    <cellStyle name="Normal 19 2 6 2" xfId="15099" xr:uid="{00000000-0005-0000-0000-0000F73A0000}"/>
    <cellStyle name="Normal 19 2 6 2 2" xfId="15100" xr:uid="{00000000-0005-0000-0000-0000F83A0000}"/>
    <cellStyle name="Normal 19 2 6 3" xfId="15101" xr:uid="{00000000-0005-0000-0000-0000F93A0000}"/>
    <cellStyle name="Normal 19 2 6 3 2" xfId="15102" xr:uid="{00000000-0005-0000-0000-0000FA3A0000}"/>
    <cellStyle name="Normal 19 2 6 4" xfId="15103" xr:uid="{00000000-0005-0000-0000-0000FB3A0000}"/>
    <cellStyle name="Normal 19 2 6 4 2" xfId="15104" xr:uid="{00000000-0005-0000-0000-0000FC3A0000}"/>
    <cellStyle name="Normal 19 2 6 5" xfId="15105" xr:uid="{00000000-0005-0000-0000-0000FD3A0000}"/>
    <cellStyle name="Normal 19 2 6 5 2" xfId="15106" xr:uid="{00000000-0005-0000-0000-0000FE3A0000}"/>
    <cellStyle name="Normal 19 2 6 6" xfId="15107" xr:uid="{00000000-0005-0000-0000-0000FF3A0000}"/>
    <cellStyle name="Normal 19 2 7" xfId="15108" xr:uid="{00000000-0005-0000-0000-0000003B0000}"/>
    <cellStyle name="Normal 19 2 7 2" xfId="15109" xr:uid="{00000000-0005-0000-0000-0000013B0000}"/>
    <cellStyle name="Normal 19 2 7 2 2" xfId="15110" xr:uid="{00000000-0005-0000-0000-0000023B0000}"/>
    <cellStyle name="Normal 19 2 7 3" xfId="15111" xr:uid="{00000000-0005-0000-0000-0000033B0000}"/>
    <cellStyle name="Normal 19 2 8" xfId="15112" xr:uid="{00000000-0005-0000-0000-0000043B0000}"/>
    <cellStyle name="Normal 19 2 8 2" xfId="15113" xr:uid="{00000000-0005-0000-0000-0000053B0000}"/>
    <cellStyle name="Normal 19 2 9" xfId="15114" xr:uid="{00000000-0005-0000-0000-0000063B0000}"/>
    <cellStyle name="Normal 19 2 9 2" xfId="15115" xr:uid="{00000000-0005-0000-0000-0000073B0000}"/>
    <cellStyle name="Normal 19 3" xfId="15116" xr:uid="{00000000-0005-0000-0000-0000083B0000}"/>
    <cellStyle name="Normal 19 3 10" xfId="15117" xr:uid="{00000000-0005-0000-0000-0000093B0000}"/>
    <cellStyle name="Normal 19 3 2" xfId="15118" xr:uid="{00000000-0005-0000-0000-00000A3B0000}"/>
    <cellStyle name="Normal 19 3 2 2" xfId="15119" xr:uid="{00000000-0005-0000-0000-00000B3B0000}"/>
    <cellStyle name="Normal 19 3 2 2 2" xfId="15120" xr:uid="{00000000-0005-0000-0000-00000C3B0000}"/>
    <cellStyle name="Normal 19 3 2 2 2 2" xfId="15121" xr:uid="{00000000-0005-0000-0000-00000D3B0000}"/>
    <cellStyle name="Normal 19 3 2 2 2 2 2" xfId="15122" xr:uid="{00000000-0005-0000-0000-00000E3B0000}"/>
    <cellStyle name="Normal 19 3 2 2 2 3" xfId="15123" xr:uid="{00000000-0005-0000-0000-00000F3B0000}"/>
    <cellStyle name="Normal 19 3 2 2 2 3 2" xfId="15124" xr:uid="{00000000-0005-0000-0000-0000103B0000}"/>
    <cellStyle name="Normal 19 3 2 2 2 4" xfId="15125" xr:uid="{00000000-0005-0000-0000-0000113B0000}"/>
    <cellStyle name="Normal 19 3 2 2 3" xfId="15126" xr:uid="{00000000-0005-0000-0000-0000123B0000}"/>
    <cellStyle name="Normal 19 3 2 2 3 2" xfId="15127" xr:uid="{00000000-0005-0000-0000-0000133B0000}"/>
    <cellStyle name="Normal 19 3 2 2 4" xfId="15128" xr:uid="{00000000-0005-0000-0000-0000143B0000}"/>
    <cellStyle name="Normal 19 3 2 2 4 2" xfId="15129" xr:uid="{00000000-0005-0000-0000-0000153B0000}"/>
    <cellStyle name="Normal 19 3 2 2 5" xfId="15130" xr:uid="{00000000-0005-0000-0000-0000163B0000}"/>
    <cellStyle name="Normal 19 3 2 2 5 2" xfId="15131" xr:uid="{00000000-0005-0000-0000-0000173B0000}"/>
    <cellStyle name="Normal 19 3 2 2 6" xfId="15132" xr:uid="{00000000-0005-0000-0000-0000183B0000}"/>
    <cellStyle name="Normal 19 3 2 2 6 2" xfId="15133" xr:uid="{00000000-0005-0000-0000-0000193B0000}"/>
    <cellStyle name="Normal 19 3 2 2 7" xfId="15134" xr:uid="{00000000-0005-0000-0000-00001A3B0000}"/>
    <cellStyle name="Normal 19 3 2 3" xfId="15135" xr:uid="{00000000-0005-0000-0000-00001B3B0000}"/>
    <cellStyle name="Normal 19 3 2 3 2" xfId="15136" xr:uid="{00000000-0005-0000-0000-00001C3B0000}"/>
    <cellStyle name="Normal 19 3 2 3 2 2" xfId="15137" xr:uid="{00000000-0005-0000-0000-00001D3B0000}"/>
    <cellStyle name="Normal 19 3 2 3 3" xfId="15138" xr:uid="{00000000-0005-0000-0000-00001E3B0000}"/>
    <cellStyle name="Normal 19 3 2 3 3 2" xfId="15139" xr:uid="{00000000-0005-0000-0000-00001F3B0000}"/>
    <cellStyle name="Normal 19 3 2 3 4" xfId="15140" xr:uid="{00000000-0005-0000-0000-0000203B0000}"/>
    <cellStyle name="Normal 19 3 2 3 4 2" xfId="15141" xr:uid="{00000000-0005-0000-0000-0000213B0000}"/>
    <cellStyle name="Normal 19 3 2 3 5" xfId="15142" xr:uid="{00000000-0005-0000-0000-0000223B0000}"/>
    <cellStyle name="Normal 19 3 2 3 5 2" xfId="15143" xr:uid="{00000000-0005-0000-0000-0000233B0000}"/>
    <cellStyle name="Normal 19 3 2 3 6" xfId="15144" xr:uid="{00000000-0005-0000-0000-0000243B0000}"/>
    <cellStyle name="Normal 19 3 2 4" xfId="15145" xr:uid="{00000000-0005-0000-0000-0000253B0000}"/>
    <cellStyle name="Normal 19 3 2 4 2" xfId="15146" xr:uid="{00000000-0005-0000-0000-0000263B0000}"/>
    <cellStyle name="Normal 19 3 2 4 2 2" xfId="15147" xr:uid="{00000000-0005-0000-0000-0000273B0000}"/>
    <cellStyle name="Normal 19 3 2 4 3" xfId="15148" xr:uid="{00000000-0005-0000-0000-0000283B0000}"/>
    <cellStyle name="Normal 19 3 2 5" xfId="15149" xr:uid="{00000000-0005-0000-0000-0000293B0000}"/>
    <cellStyle name="Normal 19 3 2 5 2" xfId="15150" xr:uid="{00000000-0005-0000-0000-00002A3B0000}"/>
    <cellStyle name="Normal 19 3 2 6" xfId="15151" xr:uid="{00000000-0005-0000-0000-00002B3B0000}"/>
    <cellStyle name="Normal 19 3 2 6 2" xfId="15152" xr:uid="{00000000-0005-0000-0000-00002C3B0000}"/>
    <cellStyle name="Normal 19 3 2 7" xfId="15153" xr:uid="{00000000-0005-0000-0000-00002D3B0000}"/>
    <cellStyle name="Normal 19 3 2 7 2" xfId="15154" xr:uid="{00000000-0005-0000-0000-00002E3B0000}"/>
    <cellStyle name="Normal 19 3 2 8" xfId="15155" xr:uid="{00000000-0005-0000-0000-00002F3B0000}"/>
    <cellStyle name="Normal 19 3 3" xfId="15156" xr:uid="{00000000-0005-0000-0000-0000303B0000}"/>
    <cellStyle name="Normal 19 3 3 2" xfId="15157" xr:uid="{00000000-0005-0000-0000-0000313B0000}"/>
    <cellStyle name="Normal 19 3 3 2 2" xfId="15158" xr:uid="{00000000-0005-0000-0000-0000323B0000}"/>
    <cellStyle name="Normal 19 3 3 2 2 2" xfId="15159" xr:uid="{00000000-0005-0000-0000-0000333B0000}"/>
    <cellStyle name="Normal 19 3 3 2 2 2 2" xfId="15160" xr:uid="{00000000-0005-0000-0000-0000343B0000}"/>
    <cellStyle name="Normal 19 3 3 2 2 3" xfId="15161" xr:uid="{00000000-0005-0000-0000-0000353B0000}"/>
    <cellStyle name="Normal 19 3 3 2 2 3 2" xfId="15162" xr:uid="{00000000-0005-0000-0000-0000363B0000}"/>
    <cellStyle name="Normal 19 3 3 2 2 4" xfId="15163" xr:uid="{00000000-0005-0000-0000-0000373B0000}"/>
    <cellStyle name="Normal 19 3 3 2 3" xfId="15164" xr:uid="{00000000-0005-0000-0000-0000383B0000}"/>
    <cellStyle name="Normal 19 3 3 2 3 2" xfId="15165" xr:uid="{00000000-0005-0000-0000-0000393B0000}"/>
    <cellStyle name="Normal 19 3 3 2 4" xfId="15166" xr:uid="{00000000-0005-0000-0000-00003A3B0000}"/>
    <cellStyle name="Normal 19 3 3 2 4 2" xfId="15167" xr:uid="{00000000-0005-0000-0000-00003B3B0000}"/>
    <cellStyle name="Normal 19 3 3 2 5" xfId="15168" xr:uid="{00000000-0005-0000-0000-00003C3B0000}"/>
    <cellStyle name="Normal 19 3 3 2 5 2" xfId="15169" xr:uid="{00000000-0005-0000-0000-00003D3B0000}"/>
    <cellStyle name="Normal 19 3 3 2 6" xfId="15170" xr:uid="{00000000-0005-0000-0000-00003E3B0000}"/>
    <cellStyle name="Normal 19 3 3 2 6 2" xfId="15171" xr:uid="{00000000-0005-0000-0000-00003F3B0000}"/>
    <cellStyle name="Normal 19 3 3 2 7" xfId="15172" xr:uid="{00000000-0005-0000-0000-0000403B0000}"/>
    <cellStyle name="Normal 19 3 3 3" xfId="15173" xr:uid="{00000000-0005-0000-0000-0000413B0000}"/>
    <cellStyle name="Normal 19 3 3 3 2" xfId="15174" xr:uid="{00000000-0005-0000-0000-0000423B0000}"/>
    <cellStyle name="Normal 19 3 3 3 2 2" xfId="15175" xr:uid="{00000000-0005-0000-0000-0000433B0000}"/>
    <cellStyle name="Normal 19 3 3 3 3" xfId="15176" xr:uid="{00000000-0005-0000-0000-0000443B0000}"/>
    <cellStyle name="Normal 19 3 3 3 3 2" xfId="15177" xr:uid="{00000000-0005-0000-0000-0000453B0000}"/>
    <cellStyle name="Normal 19 3 3 3 4" xfId="15178" xr:uid="{00000000-0005-0000-0000-0000463B0000}"/>
    <cellStyle name="Normal 19 3 3 3 4 2" xfId="15179" xr:uid="{00000000-0005-0000-0000-0000473B0000}"/>
    <cellStyle name="Normal 19 3 3 3 5" xfId="15180" xr:uid="{00000000-0005-0000-0000-0000483B0000}"/>
    <cellStyle name="Normal 19 3 3 3 5 2" xfId="15181" xr:uid="{00000000-0005-0000-0000-0000493B0000}"/>
    <cellStyle name="Normal 19 3 3 3 6" xfId="15182" xr:uid="{00000000-0005-0000-0000-00004A3B0000}"/>
    <cellStyle name="Normal 19 3 3 4" xfId="15183" xr:uid="{00000000-0005-0000-0000-00004B3B0000}"/>
    <cellStyle name="Normal 19 3 3 4 2" xfId="15184" xr:uid="{00000000-0005-0000-0000-00004C3B0000}"/>
    <cellStyle name="Normal 19 3 3 4 2 2" xfId="15185" xr:uid="{00000000-0005-0000-0000-00004D3B0000}"/>
    <cellStyle name="Normal 19 3 3 4 3" xfId="15186" xr:uid="{00000000-0005-0000-0000-00004E3B0000}"/>
    <cellStyle name="Normal 19 3 3 5" xfId="15187" xr:uid="{00000000-0005-0000-0000-00004F3B0000}"/>
    <cellStyle name="Normal 19 3 3 5 2" xfId="15188" xr:uid="{00000000-0005-0000-0000-0000503B0000}"/>
    <cellStyle name="Normal 19 3 3 6" xfId="15189" xr:uid="{00000000-0005-0000-0000-0000513B0000}"/>
    <cellStyle name="Normal 19 3 3 6 2" xfId="15190" xr:uid="{00000000-0005-0000-0000-0000523B0000}"/>
    <cellStyle name="Normal 19 3 3 7" xfId="15191" xr:uid="{00000000-0005-0000-0000-0000533B0000}"/>
    <cellStyle name="Normal 19 3 3 7 2" xfId="15192" xr:uid="{00000000-0005-0000-0000-0000543B0000}"/>
    <cellStyle name="Normal 19 3 3 8" xfId="15193" xr:uid="{00000000-0005-0000-0000-0000553B0000}"/>
    <cellStyle name="Normal 19 3 4" xfId="15194" xr:uid="{00000000-0005-0000-0000-0000563B0000}"/>
    <cellStyle name="Normal 19 3 4 2" xfId="15195" xr:uid="{00000000-0005-0000-0000-0000573B0000}"/>
    <cellStyle name="Normal 19 3 4 2 2" xfId="15196" xr:uid="{00000000-0005-0000-0000-0000583B0000}"/>
    <cellStyle name="Normal 19 3 4 2 2 2" xfId="15197" xr:uid="{00000000-0005-0000-0000-0000593B0000}"/>
    <cellStyle name="Normal 19 3 4 2 3" xfId="15198" xr:uid="{00000000-0005-0000-0000-00005A3B0000}"/>
    <cellStyle name="Normal 19 3 4 2 3 2" xfId="15199" xr:uid="{00000000-0005-0000-0000-00005B3B0000}"/>
    <cellStyle name="Normal 19 3 4 2 4" xfId="15200" xr:uid="{00000000-0005-0000-0000-00005C3B0000}"/>
    <cellStyle name="Normal 19 3 4 3" xfId="15201" xr:uid="{00000000-0005-0000-0000-00005D3B0000}"/>
    <cellStyle name="Normal 19 3 4 3 2" xfId="15202" xr:uid="{00000000-0005-0000-0000-00005E3B0000}"/>
    <cellStyle name="Normal 19 3 4 4" xfId="15203" xr:uid="{00000000-0005-0000-0000-00005F3B0000}"/>
    <cellStyle name="Normal 19 3 4 4 2" xfId="15204" xr:uid="{00000000-0005-0000-0000-0000603B0000}"/>
    <cellStyle name="Normal 19 3 4 5" xfId="15205" xr:uid="{00000000-0005-0000-0000-0000613B0000}"/>
    <cellStyle name="Normal 19 3 4 5 2" xfId="15206" xr:uid="{00000000-0005-0000-0000-0000623B0000}"/>
    <cellStyle name="Normal 19 3 4 6" xfId="15207" xr:uid="{00000000-0005-0000-0000-0000633B0000}"/>
    <cellStyle name="Normal 19 3 4 6 2" xfId="15208" xr:uid="{00000000-0005-0000-0000-0000643B0000}"/>
    <cellStyle name="Normal 19 3 4 7" xfId="15209" xr:uid="{00000000-0005-0000-0000-0000653B0000}"/>
    <cellStyle name="Normal 19 3 5" xfId="15210" xr:uid="{00000000-0005-0000-0000-0000663B0000}"/>
    <cellStyle name="Normal 19 3 5 2" xfId="15211" xr:uid="{00000000-0005-0000-0000-0000673B0000}"/>
    <cellStyle name="Normal 19 3 5 2 2" xfId="15212" xr:uid="{00000000-0005-0000-0000-0000683B0000}"/>
    <cellStyle name="Normal 19 3 5 3" xfId="15213" xr:uid="{00000000-0005-0000-0000-0000693B0000}"/>
    <cellStyle name="Normal 19 3 5 3 2" xfId="15214" xr:uid="{00000000-0005-0000-0000-00006A3B0000}"/>
    <cellStyle name="Normal 19 3 5 4" xfId="15215" xr:uid="{00000000-0005-0000-0000-00006B3B0000}"/>
    <cellStyle name="Normal 19 3 5 4 2" xfId="15216" xr:uid="{00000000-0005-0000-0000-00006C3B0000}"/>
    <cellStyle name="Normal 19 3 5 5" xfId="15217" xr:uid="{00000000-0005-0000-0000-00006D3B0000}"/>
    <cellStyle name="Normal 19 3 5 5 2" xfId="15218" xr:uid="{00000000-0005-0000-0000-00006E3B0000}"/>
    <cellStyle name="Normal 19 3 5 6" xfId="15219" xr:uid="{00000000-0005-0000-0000-00006F3B0000}"/>
    <cellStyle name="Normal 19 3 6" xfId="15220" xr:uid="{00000000-0005-0000-0000-0000703B0000}"/>
    <cellStyle name="Normal 19 3 6 2" xfId="15221" xr:uid="{00000000-0005-0000-0000-0000713B0000}"/>
    <cellStyle name="Normal 19 3 6 2 2" xfId="15222" xr:uid="{00000000-0005-0000-0000-0000723B0000}"/>
    <cellStyle name="Normal 19 3 6 3" xfId="15223" xr:uid="{00000000-0005-0000-0000-0000733B0000}"/>
    <cellStyle name="Normal 19 3 7" xfId="15224" xr:uid="{00000000-0005-0000-0000-0000743B0000}"/>
    <cellStyle name="Normal 19 3 7 2" xfId="15225" xr:uid="{00000000-0005-0000-0000-0000753B0000}"/>
    <cellStyle name="Normal 19 3 8" xfId="15226" xr:uid="{00000000-0005-0000-0000-0000763B0000}"/>
    <cellStyle name="Normal 19 3 8 2" xfId="15227" xr:uid="{00000000-0005-0000-0000-0000773B0000}"/>
    <cellStyle name="Normal 19 3 9" xfId="15228" xr:uid="{00000000-0005-0000-0000-0000783B0000}"/>
    <cellStyle name="Normal 19 3 9 2" xfId="15229" xr:uid="{00000000-0005-0000-0000-0000793B0000}"/>
    <cellStyle name="Normal 19 4" xfId="15230" xr:uid="{00000000-0005-0000-0000-00007A3B0000}"/>
    <cellStyle name="Normal 19 4 2" xfId="15231" xr:uid="{00000000-0005-0000-0000-00007B3B0000}"/>
    <cellStyle name="Normal 19 4 2 2" xfId="15232" xr:uid="{00000000-0005-0000-0000-00007C3B0000}"/>
    <cellStyle name="Normal 19 4 2 2 2" xfId="15233" xr:uid="{00000000-0005-0000-0000-00007D3B0000}"/>
    <cellStyle name="Normal 19 4 2 2 2 2" xfId="15234" xr:uid="{00000000-0005-0000-0000-00007E3B0000}"/>
    <cellStyle name="Normal 19 4 2 2 3" xfId="15235" xr:uid="{00000000-0005-0000-0000-00007F3B0000}"/>
    <cellStyle name="Normal 19 4 2 2 3 2" xfId="15236" xr:uid="{00000000-0005-0000-0000-0000803B0000}"/>
    <cellStyle name="Normal 19 4 2 2 4" xfId="15237" xr:uid="{00000000-0005-0000-0000-0000813B0000}"/>
    <cellStyle name="Normal 19 4 2 3" xfId="15238" xr:uid="{00000000-0005-0000-0000-0000823B0000}"/>
    <cellStyle name="Normal 19 4 2 3 2" xfId="15239" xr:uid="{00000000-0005-0000-0000-0000833B0000}"/>
    <cellStyle name="Normal 19 4 2 4" xfId="15240" xr:uid="{00000000-0005-0000-0000-0000843B0000}"/>
    <cellStyle name="Normal 19 4 2 4 2" xfId="15241" xr:uid="{00000000-0005-0000-0000-0000853B0000}"/>
    <cellStyle name="Normal 19 4 2 5" xfId="15242" xr:uid="{00000000-0005-0000-0000-0000863B0000}"/>
    <cellStyle name="Normal 19 4 2 5 2" xfId="15243" xr:uid="{00000000-0005-0000-0000-0000873B0000}"/>
    <cellStyle name="Normal 19 4 2 6" xfId="15244" xr:uid="{00000000-0005-0000-0000-0000883B0000}"/>
    <cellStyle name="Normal 19 4 2 6 2" xfId="15245" xr:uid="{00000000-0005-0000-0000-0000893B0000}"/>
    <cellStyle name="Normal 19 4 2 7" xfId="15246" xr:uid="{00000000-0005-0000-0000-00008A3B0000}"/>
    <cellStyle name="Normal 19 4 3" xfId="15247" xr:uid="{00000000-0005-0000-0000-00008B3B0000}"/>
    <cellStyle name="Normal 19 4 3 2" xfId="15248" xr:uid="{00000000-0005-0000-0000-00008C3B0000}"/>
    <cellStyle name="Normal 19 4 3 2 2" xfId="15249" xr:uid="{00000000-0005-0000-0000-00008D3B0000}"/>
    <cellStyle name="Normal 19 4 3 3" xfId="15250" xr:uid="{00000000-0005-0000-0000-00008E3B0000}"/>
    <cellStyle name="Normal 19 4 3 3 2" xfId="15251" xr:uid="{00000000-0005-0000-0000-00008F3B0000}"/>
    <cellStyle name="Normal 19 4 3 4" xfId="15252" xr:uid="{00000000-0005-0000-0000-0000903B0000}"/>
    <cellStyle name="Normal 19 4 3 4 2" xfId="15253" xr:uid="{00000000-0005-0000-0000-0000913B0000}"/>
    <cellStyle name="Normal 19 4 3 5" xfId="15254" xr:uid="{00000000-0005-0000-0000-0000923B0000}"/>
    <cellStyle name="Normal 19 4 3 5 2" xfId="15255" xr:uid="{00000000-0005-0000-0000-0000933B0000}"/>
    <cellStyle name="Normal 19 4 3 6" xfId="15256" xr:uid="{00000000-0005-0000-0000-0000943B0000}"/>
    <cellStyle name="Normal 19 4 4" xfId="15257" xr:uid="{00000000-0005-0000-0000-0000953B0000}"/>
    <cellStyle name="Normal 19 4 4 2" xfId="15258" xr:uid="{00000000-0005-0000-0000-0000963B0000}"/>
    <cellStyle name="Normal 19 4 4 2 2" xfId="15259" xr:uid="{00000000-0005-0000-0000-0000973B0000}"/>
    <cellStyle name="Normal 19 4 4 3" xfId="15260" xr:uid="{00000000-0005-0000-0000-0000983B0000}"/>
    <cellStyle name="Normal 19 4 5" xfId="15261" xr:uid="{00000000-0005-0000-0000-0000993B0000}"/>
    <cellStyle name="Normal 19 4 5 2" xfId="15262" xr:uid="{00000000-0005-0000-0000-00009A3B0000}"/>
    <cellStyle name="Normal 19 4 6" xfId="15263" xr:uid="{00000000-0005-0000-0000-00009B3B0000}"/>
    <cellStyle name="Normal 19 4 6 2" xfId="15264" xr:uid="{00000000-0005-0000-0000-00009C3B0000}"/>
    <cellStyle name="Normal 19 4 7" xfId="15265" xr:uid="{00000000-0005-0000-0000-00009D3B0000}"/>
    <cellStyle name="Normal 19 4 7 2" xfId="15266" xr:uid="{00000000-0005-0000-0000-00009E3B0000}"/>
    <cellStyle name="Normal 19 4 8" xfId="15267" xr:uid="{00000000-0005-0000-0000-00009F3B0000}"/>
    <cellStyle name="Normal 19 5" xfId="15268" xr:uid="{00000000-0005-0000-0000-0000A03B0000}"/>
    <cellStyle name="Normal 19 5 2" xfId="15269" xr:uid="{00000000-0005-0000-0000-0000A13B0000}"/>
    <cellStyle name="Normal 19 5 2 2" xfId="15270" xr:uid="{00000000-0005-0000-0000-0000A23B0000}"/>
    <cellStyle name="Normal 19 5 2 2 2" xfId="15271" xr:uid="{00000000-0005-0000-0000-0000A33B0000}"/>
    <cellStyle name="Normal 19 5 2 2 2 2" xfId="15272" xr:uid="{00000000-0005-0000-0000-0000A43B0000}"/>
    <cellStyle name="Normal 19 5 2 2 3" xfId="15273" xr:uid="{00000000-0005-0000-0000-0000A53B0000}"/>
    <cellStyle name="Normal 19 5 2 2 3 2" xfId="15274" xr:uid="{00000000-0005-0000-0000-0000A63B0000}"/>
    <cellStyle name="Normal 19 5 2 2 4" xfId="15275" xr:uid="{00000000-0005-0000-0000-0000A73B0000}"/>
    <cellStyle name="Normal 19 5 2 3" xfId="15276" xr:uid="{00000000-0005-0000-0000-0000A83B0000}"/>
    <cellStyle name="Normal 19 5 2 3 2" xfId="15277" xr:uid="{00000000-0005-0000-0000-0000A93B0000}"/>
    <cellStyle name="Normal 19 5 2 4" xfId="15278" xr:uid="{00000000-0005-0000-0000-0000AA3B0000}"/>
    <cellStyle name="Normal 19 5 2 4 2" xfId="15279" xr:uid="{00000000-0005-0000-0000-0000AB3B0000}"/>
    <cellStyle name="Normal 19 5 2 5" xfId="15280" xr:uid="{00000000-0005-0000-0000-0000AC3B0000}"/>
    <cellStyle name="Normal 19 5 2 5 2" xfId="15281" xr:uid="{00000000-0005-0000-0000-0000AD3B0000}"/>
    <cellStyle name="Normal 19 5 2 6" xfId="15282" xr:uid="{00000000-0005-0000-0000-0000AE3B0000}"/>
    <cellStyle name="Normal 19 5 2 6 2" xfId="15283" xr:uid="{00000000-0005-0000-0000-0000AF3B0000}"/>
    <cellStyle name="Normal 19 5 2 7" xfId="15284" xr:uid="{00000000-0005-0000-0000-0000B03B0000}"/>
    <cellStyle name="Normal 19 5 3" xfId="15285" xr:uid="{00000000-0005-0000-0000-0000B13B0000}"/>
    <cellStyle name="Normal 19 5 3 2" xfId="15286" xr:uid="{00000000-0005-0000-0000-0000B23B0000}"/>
    <cellStyle name="Normal 19 5 3 2 2" xfId="15287" xr:uid="{00000000-0005-0000-0000-0000B33B0000}"/>
    <cellStyle name="Normal 19 5 3 3" xfId="15288" xr:uid="{00000000-0005-0000-0000-0000B43B0000}"/>
    <cellStyle name="Normal 19 5 3 3 2" xfId="15289" xr:uid="{00000000-0005-0000-0000-0000B53B0000}"/>
    <cellStyle name="Normal 19 5 3 4" xfId="15290" xr:uid="{00000000-0005-0000-0000-0000B63B0000}"/>
    <cellStyle name="Normal 19 5 3 4 2" xfId="15291" xr:uid="{00000000-0005-0000-0000-0000B73B0000}"/>
    <cellStyle name="Normal 19 5 3 5" xfId="15292" xr:uid="{00000000-0005-0000-0000-0000B83B0000}"/>
    <cellStyle name="Normal 19 5 3 5 2" xfId="15293" xr:uid="{00000000-0005-0000-0000-0000B93B0000}"/>
    <cellStyle name="Normal 19 5 3 6" xfId="15294" xr:uid="{00000000-0005-0000-0000-0000BA3B0000}"/>
    <cellStyle name="Normal 19 5 4" xfId="15295" xr:uid="{00000000-0005-0000-0000-0000BB3B0000}"/>
    <cellStyle name="Normal 19 5 4 2" xfId="15296" xr:uid="{00000000-0005-0000-0000-0000BC3B0000}"/>
    <cellStyle name="Normal 19 5 4 2 2" xfId="15297" xr:uid="{00000000-0005-0000-0000-0000BD3B0000}"/>
    <cellStyle name="Normal 19 5 4 3" xfId="15298" xr:uid="{00000000-0005-0000-0000-0000BE3B0000}"/>
    <cellStyle name="Normal 19 5 5" xfId="15299" xr:uid="{00000000-0005-0000-0000-0000BF3B0000}"/>
    <cellStyle name="Normal 19 5 5 2" xfId="15300" xr:uid="{00000000-0005-0000-0000-0000C03B0000}"/>
    <cellStyle name="Normal 19 5 6" xfId="15301" xr:uid="{00000000-0005-0000-0000-0000C13B0000}"/>
    <cellStyle name="Normal 19 5 6 2" xfId="15302" xr:uid="{00000000-0005-0000-0000-0000C23B0000}"/>
    <cellStyle name="Normal 19 5 7" xfId="15303" xr:uid="{00000000-0005-0000-0000-0000C33B0000}"/>
    <cellStyle name="Normal 19 5 7 2" xfId="15304" xr:uid="{00000000-0005-0000-0000-0000C43B0000}"/>
    <cellStyle name="Normal 19 5 8" xfId="15305" xr:uid="{00000000-0005-0000-0000-0000C53B0000}"/>
    <cellStyle name="Normal 19 6" xfId="15306" xr:uid="{00000000-0005-0000-0000-0000C63B0000}"/>
    <cellStyle name="Normal 19 6 2" xfId="15307" xr:uid="{00000000-0005-0000-0000-0000C73B0000}"/>
    <cellStyle name="Normal 19 6 2 2" xfId="15308" xr:uid="{00000000-0005-0000-0000-0000C83B0000}"/>
    <cellStyle name="Normal 19 6 2 2 2" xfId="15309" xr:uid="{00000000-0005-0000-0000-0000C93B0000}"/>
    <cellStyle name="Normal 19 6 2 3" xfId="15310" xr:uid="{00000000-0005-0000-0000-0000CA3B0000}"/>
    <cellStyle name="Normal 19 6 2 3 2" xfId="15311" xr:uid="{00000000-0005-0000-0000-0000CB3B0000}"/>
    <cellStyle name="Normal 19 6 2 4" xfId="15312" xr:uid="{00000000-0005-0000-0000-0000CC3B0000}"/>
    <cellStyle name="Normal 19 6 3" xfId="15313" xr:uid="{00000000-0005-0000-0000-0000CD3B0000}"/>
    <cellStyle name="Normal 19 6 3 2" xfId="15314" xr:uid="{00000000-0005-0000-0000-0000CE3B0000}"/>
    <cellStyle name="Normal 19 6 4" xfId="15315" xr:uid="{00000000-0005-0000-0000-0000CF3B0000}"/>
    <cellStyle name="Normal 19 6 4 2" xfId="15316" xr:uid="{00000000-0005-0000-0000-0000D03B0000}"/>
    <cellStyle name="Normal 19 6 5" xfId="15317" xr:uid="{00000000-0005-0000-0000-0000D13B0000}"/>
    <cellStyle name="Normal 19 6 5 2" xfId="15318" xr:uid="{00000000-0005-0000-0000-0000D23B0000}"/>
    <cellStyle name="Normal 19 6 6" xfId="15319" xr:uid="{00000000-0005-0000-0000-0000D33B0000}"/>
    <cellStyle name="Normal 19 6 6 2" xfId="15320" xr:uid="{00000000-0005-0000-0000-0000D43B0000}"/>
    <cellStyle name="Normal 19 6 7" xfId="15321" xr:uid="{00000000-0005-0000-0000-0000D53B0000}"/>
    <cellStyle name="Normal 19 7" xfId="15322" xr:uid="{00000000-0005-0000-0000-0000D63B0000}"/>
    <cellStyle name="Normal 19 7 2" xfId="15323" xr:uid="{00000000-0005-0000-0000-0000D73B0000}"/>
    <cellStyle name="Normal 19 7 2 2" xfId="15324" xr:uid="{00000000-0005-0000-0000-0000D83B0000}"/>
    <cellStyle name="Normal 19 7 3" xfId="15325" xr:uid="{00000000-0005-0000-0000-0000D93B0000}"/>
    <cellStyle name="Normal 19 7 4" xfId="15326" xr:uid="{00000000-0005-0000-0000-0000DA3B0000}"/>
    <cellStyle name="Normal 19 7 4 2" xfId="15327" xr:uid="{00000000-0005-0000-0000-0000DB3B0000}"/>
    <cellStyle name="Normal 19 7 5" xfId="15328" xr:uid="{00000000-0005-0000-0000-0000DC3B0000}"/>
    <cellStyle name="Normal 19 7 5 2" xfId="15329" xr:uid="{00000000-0005-0000-0000-0000DD3B0000}"/>
    <cellStyle name="Normal 19 7 6" xfId="15330" xr:uid="{00000000-0005-0000-0000-0000DE3B0000}"/>
    <cellStyle name="Normal 19 8" xfId="15331" xr:uid="{00000000-0005-0000-0000-0000DF3B0000}"/>
    <cellStyle name="Normal 19 8 2" xfId="15332" xr:uid="{00000000-0005-0000-0000-0000E03B0000}"/>
    <cellStyle name="Normal 19 8 2 2" xfId="15333" xr:uid="{00000000-0005-0000-0000-0000E13B0000}"/>
    <cellStyle name="Normal 19 8 3" xfId="15334" xr:uid="{00000000-0005-0000-0000-0000E23B0000}"/>
    <cellStyle name="Normal 19 9" xfId="15335" xr:uid="{00000000-0005-0000-0000-0000E33B0000}"/>
    <cellStyle name="Normal 19 9 2" xfId="15336" xr:uid="{00000000-0005-0000-0000-0000E43B0000}"/>
    <cellStyle name="Normal 19 9 2 2" xfId="15337" xr:uid="{00000000-0005-0000-0000-0000E53B0000}"/>
    <cellStyle name="Normal 19 9 3" xfId="15338" xr:uid="{00000000-0005-0000-0000-0000E63B0000}"/>
    <cellStyle name="Normal 2" xfId="5" xr:uid="{00000000-0005-0000-0000-0000E73B0000}"/>
    <cellStyle name="Normal 2 10" xfId="15339" xr:uid="{00000000-0005-0000-0000-0000E83B0000}"/>
    <cellStyle name="Normal 2 11" xfId="15340" xr:uid="{00000000-0005-0000-0000-0000E93B0000}"/>
    <cellStyle name="Normal 2 12" xfId="15341" xr:uid="{00000000-0005-0000-0000-0000EA3B0000}"/>
    <cellStyle name="Normal 2 13" xfId="15342" xr:uid="{00000000-0005-0000-0000-0000EB3B0000}"/>
    <cellStyle name="Normal 2 14" xfId="15343" xr:uid="{00000000-0005-0000-0000-0000EC3B0000}"/>
    <cellStyle name="Normal 2 15" xfId="15344" xr:uid="{00000000-0005-0000-0000-0000ED3B0000}"/>
    <cellStyle name="Normal 2 16" xfId="15345" xr:uid="{00000000-0005-0000-0000-0000EE3B0000}"/>
    <cellStyle name="Normal 2 17" xfId="15346" xr:uid="{00000000-0005-0000-0000-0000EF3B0000}"/>
    <cellStyle name="Normal 2 18" xfId="15347" xr:uid="{00000000-0005-0000-0000-0000F03B0000}"/>
    <cellStyle name="Normal 2 19" xfId="15348" xr:uid="{00000000-0005-0000-0000-0000F13B0000}"/>
    <cellStyle name="Normal 2 2" xfId="2" xr:uid="{00000000-0005-0000-0000-0000F23B0000}"/>
    <cellStyle name="Normal 2 2 10" xfId="15349" xr:uid="{00000000-0005-0000-0000-0000F33B0000}"/>
    <cellStyle name="Normal 2 2 11" xfId="15350" xr:uid="{00000000-0005-0000-0000-0000F43B0000}"/>
    <cellStyle name="Normal 2 2 2" xfId="15351" xr:uid="{00000000-0005-0000-0000-0000F53B0000}"/>
    <cellStyle name="Normal 2 2 2 2" xfId="15352" xr:uid="{00000000-0005-0000-0000-0000F63B0000}"/>
    <cellStyle name="Normal 2 2 3" xfId="15353" xr:uid="{00000000-0005-0000-0000-0000F73B0000}"/>
    <cellStyle name="Normal 2 2 4" xfId="15354" xr:uid="{00000000-0005-0000-0000-0000F83B0000}"/>
    <cellStyle name="Normal 2 2 5" xfId="15355" xr:uid="{00000000-0005-0000-0000-0000F93B0000}"/>
    <cellStyle name="Normal 2 2 6" xfId="15356" xr:uid="{00000000-0005-0000-0000-0000FA3B0000}"/>
    <cellStyle name="Normal 2 2 7" xfId="15357" xr:uid="{00000000-0005-0000-0000-0000FB3B0000}"/>
    <cellStyle name="Normal 2 2 8" xfId="15358" xr:uid="{00000000-0005-0000-0000-0000FC3B0000}"/>
    <cellStyle name="Normal 2 2 9" xfId="15359" xr:uid="{00000000-0005-0000-0000-0000FD3B0000}"/>
    <cellStyle name="Normal 2 2_Sheet1" xfId="15360" xr:uid="{00000000-0005-0000-0000-0000FE3B0000}"/>
    <cellStyle name="Normal 2 20" xfId="15361" xr:uid="{00000000-0005-0000-0000-0000FF3B0000}"/>
    <cellStyle name="Normal 2 21" xfId="15362" xr:uid="{00000000-0005-0000-0000-0000003C0000}"/>
    <cellStyle name="Normal 2 22" xfId="15363" xr:uid="{00000000-0005-0000-0000-0000013C0000}"/>
    <cellStyle name="Normal 2 23" xfId="15364" xr:uid="{00000000-0005-0000-0000-0000023C0000}"/>
    <cellStyle name="Normal 2 24" xfId="15365" xr:uid="{00000000-0005-0000-0000-0000033C0000}"/>
    <cellStyle name="Normal 2 25" xfId="15366" xr:uid="{00000000-0005-0000-0000-0000043C0000}"/>
    <cellStyle name="Normal 2 26" xfId="15367" xr:uid="{00000000-0005-0000-0000-0000053C0000}"/>
    <cellStyle name="Normal 2 27" xfId="15368" xr:uid="{00000000-0005-0000-0000-0000063C0000}"/>
    <cellStyle name="Normal 2 28" xfId="15369" xr:uid="{00000000-0005-0000-0000-0000073C0000}"/>
    <cellStyle name="Normal 2 29" xfId="15370" xr:uid="{00000000-0005-0000-0000-0000083C0000}"/>
    <cellStyle name="Normal 2 3" xfId="15371" xr:uid="{00000000-0005-0000-0000-0000093C0000}"/>
    <cellStyle name="Normal 2 3 2" xfId="15372" xr:uid="{00000000-0005-0000-0000-00000A3C0000}"/>
    <cellStyle name="Normal 2 30" xfId="15373" xr:uid="{00000000-0005-0000-0000-00000B3C0000}"/>
    <cellStyle name="Normal 2 31" xfId="15374" xr:uid="{00000000-0005-0000-0000-00000C3C0000}"/>
    <cellStyle name="Normal 2 32" xfId="15375" xr:uid="{00000000-0005-0000-0000-00000D3C0000}"/>
    <cellStyle name="Normal 2 33" xfId="15376" xr:uid="{00000000-0005-0000-0000-00000E3C0000}"/>
    <cellStyle name="Normal 2 34" xfId="15377" xr:uid="{00000000-0005-0000-0000-00000F3C0000}"/>
    <cellStyle name="Normal 2 35" xfId="15378" xr:uid="{00000000-0005-0000-0000-0000103C0000}"/>
    <cellStyle name="Normal 2 36" xfId="15379" xr:uid="{00000000-0005-0000-0000-0000113C0000}"/>
    <cellStyle name="Normal 2 37" xfId="15380" xr:uid="{00000000-0005-0000-0000-0000123C0000}"/>
    <cellStyle name="Normal 2 38" xfId="15381" xr:uid="{00000000-0005-0000-0000-0000133C0000}"/>
    <cellStyle name="Normal 2 39" xfId="15382" xr:uid="{00000000-0005-0000-0000-0000143C0000}"/>
    <cellStyle name="Normal 2 4" xfId="15383" xr:uid="{00000000-0005-0000-0000-0000153C0000}"/>
    <cellStyle name="Normal 2 4 10" xfId="15384" xr:uid="{00000000-0005-0000-0000-0000163C0000}"/>
    <cellStyle name="Normal 2 4 10 2" xfId="15385" xr:uid="{00000000-0005-0000-0000-0000173C0000}"/>
    <cellStyle name="Normal 2 4 10 2 2" xfId="15386" xr:uid="{00000000-0005-0000-0000-0000183C0000}"/>
    <cellStyle name="Normal 2 4 10 3" xfId="15387" xr:uid="{00000000-0005-0000-0000-0000193C0000}"/>
    <cellStyle name="Normal 2 4 11" xfId="15388" xr:uid="{00000000-0005-0000-0000-00001A3C0000}"/>
    <cellStyle name="Normal 2 4 11 2" xfId="15389" xr:uid="{00000000-0005-0000-0000-00001B3C0000}"/>
    <cellStyle name="Normal 2 4 11 2 2" xfId="15390" xr:uid="{00000000-0005-0000-0000-00001C3C0000}"/>
    <cellStyle name="Normal 2 4 11 3" xfId="15391" xr:uid="{00000000-0005-0000-0000-00001D3C0000}"/>
    <cellStyle name="Normal 2 4 12" xfId="15392" xr:uid="{00000000-0005-0000-0000-00001E3C0000}"/>
    <cellStyle name="Normal 2 4 12 2" xfId="15393" xr:uid="{00000000-0005-0000-0000-00001F3C0000}"/>
    <cellStyle name="Normal 2 4 13" xfId="15394" xr:uid="{00000000-0005-0000-0000-0000203C0000}"/>
    <cellStyle name="Normal 2 4 13 2" xfId="15395" xr:uid="{00000000-0005-0000-0000-0000213C0000}"/>
    <cellStyle name="Normal 2 4 14" xfId="15396" xr:uid="{00000000-0005-0000-0000-0000223C0000}"/>
    <cellStyle name="Normal 2 4 14 2" xfId="15397" xr:uid="{00000000-0005-0000-0000-0000233C0000}"/>
    <cellStyle name="Normal 2 4 15" xfId="15398" xr:uid="{00000000-0005-0000-0000-0000243C0000}"/>
    <cellStyle name="Normal 2 4 2" xfId="15399" xr:uid="{00000000-0005-0000-0000-0000253C0000}"/>
    <cellStyle name="Normal 2 4 2 10" xfId="15400" xr:uid="{00000000-0005-0000-0000-0000263C0000}"/>
    <cellStyle name="Normal 2 4 2 10 2" xfId="15401" xr:uid="{00000000-0005-0000-0000-0000273C0000}"/>
    <cellStyle name="Normal 2 4 2 11" xfId="15402" xr:uid="{00000000-0005-0000-0000-0000283C0000}"/>
    <cellStyle name="Normal 2 4 2 11 2" xfId="15403" xr:uid="{00000000-0005-0000-0000-0000293C0000}"/>
    <cellStyle name="Normal 2 4 2 12" xfId="15404" xr:uid="{00000000-0005-0000-0000-00002A3C0000}"/>
    <cellStyle name="Normal 2 4 2 2" xfId="15405" xr:uid="{00000000-0005-0000-0000-00002B3C0000}"/>
    <cellStyle name="Normal 2 4 2 2 10" xfId="15406" xr:uid="{00000000-0005-0000-0000-00002C3C0000}"/>
    <cellStyle name="Normal 2 4 2 2 10 2" xfId="15407" xr:uid="{00000000-0005-0000-0000-00002D3C0000}"/>
    <cellStyle name="Normal 2 4 2 2 11" xfId="15408" xr:uid="{00000000-0005-0000-0000-00002E3C0000}"/>
    <cellStyle name="Normal 2 4 2 2 2" xfId="15409" xr:uid="{00000000-0005-0000-0000-00002F3C0000}"/>
    <cellStyle name="Normal 2 4 2 2 2 10" xfId="15410" xr:uid="{00000000-0005-0000-0000-0000303C0000}"/>
    <cellStyle name="Normal 2 4 2 2 2 2" xfId="15411" xr:uid="{00000000-0005-0000-0000-0000313C0000}"/>
    <cellStyle name="Normal 2 4 2 2 2 2 2" xfId="15412" xr:uid="{00000000-0005-0000-0000-0000323C0000}"/>
    <cellStyle name="Normal 2 4 2 2 2 2 2 2" xfId="15413" xr:uid="{00000000-0005-0000-0000-0000333C0000}"/>
    <cellStyle name="Normal 2 4 2 2 2 2 2 2 2" xfId="15414" xr:uid="{00000000-0005-0000-0000-0000343C0000}"/>
    <cellStyle name="Normal 2 4 2 2 2 2 2 2 2 2" xfId="15415" xr:uid="{00000000-0005-0000-0000-0000353C0000}"/>
    <cellStyle name="Normal 2 4 2 2 2 2 2 2 3" xfId="15416" xr:uid="{00000000-0005-0000-0000-0000363C0000}"/>
    <cellStyle name="Normal 2 4 2 2 2 2 2 2 3 2" xfId="15417" xr:uid="{00000000-0005-0000-0000-0000373C0000}"/>
    <cellStyle name="Normal 2 4 2 2 2 2 2 2 4" xfId="15418" xr:uid="{00000000-0005-0000-0000-0000383C0000}"/>
    <cellStyle name="Normal 2 4 2 2 2 2 2 3" xfId="15419" xr:uid="{00000000-0005-0000-0000-0000393C0000}"/>
    <cellStyle name="Normal 2 4 2 2 2 2 2 3 2" xfId="15420" xr:uid="{00000000-0005-0000-0000-00003A3C0000}"/>
    <cellStyle name="Normal 2 4 2 2 2 2 2 4" xfId="15421" xr:uid="{00000000-0005-0000-0000-00003B3C0000}"/>
    <cellStyle name="Normal 2 4 2 2 2 2 2 4 2" xfId="15422" xr:uid="{00000000-0005-0000-0000-00003C3C0000}"/>
    <cellStyle name="Normal 2 4 2 2 2 2 2 5" xfId="15423" xr:uid="{00000000-0005-0000-0000-00003D3C0000}"/>
    <cellStyle name="Normal 2 4 2 2 2 2 2 5 2" xfId="15424" xr:uid="{00000000-0005-0000-0000-00003E3C0000}"/>
    <cellStyle name="Normal 2 4 2 2 2 2 2 6" xfId="15425" xr:uid="{00000000-0005-0000-0000-00003F3C0000}"/>
    <cellStyle name="Normal 2 4 2 2 2 2 2 6 2" xfId="15426" xr:uid="{00000000-0005-0000-0000-0000403C0000}"/>
    <cellStyle name="Normal 2 4 2 2 2 2 2 7" xfId="15427" xr:uid="{00000000-0005-0000-0000-0000413C0000}"/>
    <cellStyle name="Normal 2 4 2 2 2 2 3" xfId="15428" xr:uid="{00000000-0005-0000-0000-0000423C0000}"/>
    <cellStyle name="Normal 2 4 2 2 2 2 3 2" xfId="15429" xr:uid="{00000000-0005-0000-0000-0000433C0000}"/>
    <cellStyle name="Normal 2 4 2 2 2 2 3 2 2" xfId="15430" xr:uid="{00000000-0005-0000-0000-0000443C0000}"/>
    <cellStyle name="Normal 2 4 2 2 2 2 3 3" xfId="15431" xr:uid="{00000000-0005-0000-0000-0000453C0000}"/>
    <cellStyle name="Normal 2 4 2 2 2 2 3 3 2" xfId="15432" xr:uid="{00000000-0005-0000-0000-0000463C0000}"/>
    <cellStyle name="Normal 2 4 2 2 2 2 3 4" xfId="15433" xr:uid="{00000000-0005-0000-0000-0000473C0000}"/>
    <cellStyle name="Normal 2 4 2 2 2 2 3 4 2" xfId="15434" xr:uid="{00000000-0005-0000-0000-0000483C0000}"/>
    <cellStyle name="Normal 2 4 2 2 2 2 3 5" xfId="15435" xr:uid="{00000000-0005-0000-0000-0000493C0000}"/>
    <cellStyle name="Normal 2 4 2 2 2 2 3 5 2" xfId="15436" xr:uid="{00000000-0005-0000-0000-00004A3C0000}"/>
    <cellStyle name="Normal 2 4 2 2 2 2 3 6" xfId="15437" xr:uid="{00000000-0005-0000-0000-00004B3C0000}"/>
    <cellStyle name="Normal 2 4 2 2 2 2 4" xfId="15438" xr:uid="{00000000-0005-0000-0000-00004C3C0000}"/>
    <cellStyle name="Normal 2 4 2 2 2 2 4 2" xfId="15439" xr:uid="{00000000-0005-0000-0000-00004D3C0000}"/>
    <cellStyle name="Normal 2 4 2 2 2 2 4 2 2" xfId="15440" xr:uid="{00000000-0005-0000-0000-00004E3C0000}"/>
    <cellStyle name="Normal 2 4 2 2 2 2 4 3" xfId="15441" xr:uid="{00000000-0005-0000-0000-00004F3C0000}"/>
    <cellStyle name="Normal 2 4 2 2 2 2 5" xfId="15442" xr:uid="{00000000-0005-0000-0000-0000503C0000}"/>
    <cellStyle name="Normal 2 4 2 2 2 2 5 2" xfId="15443" xr:uid="{00000000-0005-0000-0000-0000513C0000}"/>
    <cellStyle name="Normal 2 4 2 2 2 2 6" xfId="15444" xr:uid="{00000000-0005-0000-0000-0000523C0000}"/>
    <cellStyle name="Normal 2 4 2 2 2 2 6 2" xfId="15445" xr:uid="{00000000-0005-0000-0000-0000533C0000}"/>
    <cellStyle name="Normal 2 4 2 2 2 2 7" xfId="15446" xr:uid="{00000000-0005-0000-0000-0000543C0000}"/>
    <cellStyle name="Normal 2 4 2 2 2 2 7 2" xfId="15447" xr:uid="{00000000-0005-0000-0000-0000553C0000}"/>
    <cellStyle name="Normal 2 4 2 2 2 2 8" xfId="15448" xr:uid="{00000000-0005-0000-0000-0000563C0000}"/>
    <cellStyle name="Normal 2 4 2 2 2 3" xfId="15449" xr:uid="{00000000-0005-0000-0000-0000573C0000}"/>
    <cellStyle name="Normal 2 4 2 2 2 3 2" xfId="15450" xr:uid="{00000000-0005-0000-0000-0000583C0000}"/>
    <cellStyle name="Normal 2 4 2 2 2 3 2 2" xfId="15451" xr:uid="{00000000-0005-0000-0000-0000593C0000}"/>
    <cellStyle name="Normal 2 4 2 2 2 3 2 2 2" xfId="15452" xr:uid="{00000000-0005-0000-0000-00005A3C0000}"/>
    <cellStyle name="Normal 2 4 2 2 2 3 2 2 2 2" xfId="15453" xr:uid="{00000000-0005-0000-0000-00005B3C0000}"/>
    <cellStyle name="Normal 2 4 2 2 2 3 2 2 3" xfId="15454" xr:uid="{00000000-0005-0000-0000-00005C3C0000}"/>
    <cellStyle name="Normal 2 4 2 2 2 3 2 2 3 2" xfId="15455" xr:uid="{00000000-0005-0000-0000-00005D3C0000}"/>
    <cellStyle name="Normal 2 4 2 2 2 3 2 2 4" xfId="15456" xr:uid="{00000000-0005-0000-0000-00005E3C0000}"/>
    <cellStyle name="Normal 2 4 2 2 2 3 2 3" xfId="15457" xr:uid="{00000000-0005-0000-0000-00005F3C0000}"/>
    <cellStyle name="Normal 2 4 2 2 2 3 2 3 2" xfId="15458" xr:uid="{00000000-0005-0000-0000-0000603C0000}"/>
    <cellStyle name="Normal 2 4 2 2 2 3 2 4" xfId="15459" xr:uid="{00000000-0005-0000-0000-0000613C0000}"/>
    <cellStyle name="Normal 2 4 2 2 2 3 2 4 2" xfId="15460" xr:uid="{00000000-0005-0000-0000-0000623C0000}"/>
    <cellStyle name="Normal 2 4 2 2 2 3 2 5" xfId="15461" xr:uid="{00000000-0005-0000-0000-0000633C0000}"/>
    <cellStyle name="Normal 2 4 2 2 2 3 2 5 2" xfId="15462" xr:uid="{00000000-0005-0000-0000-0000643C0000}"/>
    <cellStyle name="Normal 2 4 2 2 2 3 2 6" xfId="15463" xr:uid="{00000000-0005-0000-0000-0000653C0000}"/>
    <cellStyle name="Normal 2 4 2 2 2 3 2 6 2" xfId="15464" xr:uid="{00000000-0005-0000-0000-0000663C0000}"/>
    <cellStyle name="Normal 2 4 2 2 2 3 2 7" xfId="15465" xr:uid="{00000000-0005-0000-0000-0000673C0000}"/>
    <cellStyle name="Normal 2 4 2 2 2 3 3" xfId="15466" xr:uid="{00000000-0005-0000-0000-0000683C0000}"/>
    <cellStyle name="Normal 2 4 2 2 2 3 3 2" xfId="15467" xr:uid="{00000000-0005-0000-0000-0000693C0000}"/>
    <cellStyle name="Normal 2 4 2 2 2 3 3 2 2" xfId="15468" xr:uid="{00000000-0005-0000-0000-00006A3C0000}"/>
    <cellStyle name="Normal 2 4 2 2 2 3 3 3" xfId="15469" xr:uid="{00000000-0005-0000-0000-00006B3C0000}"/>
    <cellStyle name="Normal 2 4 2 2 2 3 3 3 2" xfId="15470" xr:uid="{00000000-0005-0000-0000-00006C3C0000}"/>
    <cellStyle name="Normal 2 4 2 2 2 3 3 4" xfId="15471" xr:uid="{00000000-0005-0000-0000-00006D3C0000}"/>
    <cellStyle name="Normal 2 4 2 2 2 3 3 4 2" xfId="15472" xr:uid="{00000000-0005-0000-0000-00006E3C0000}"/>
    <cellStyle name="Normal 2 4 2 2 2 3 3 5" xfId="15473" xr:uid="{00000000-0005-0000-0000-00006F3C0000}"/>
    <cellStyle name="Normal 2 4 2 2 2 3 3 5 2" xfId="15474" xr:uid="{00000000-0005-0000-0000-0000703C0000}"/>
    <cellStyle name="Normal 2 4 2 2 2 3 3 6" xfId="15475" xr:uid="{00000000-0005-0000-0000-0000713C0000}"/>
    <cellStyle name="Normal 2 4 2 2 2 3 4" xfId="15476" xr:uid="{00000000-0005-0000-0000-0000723C0000}"/>
    <cellStyle name="Normal 2 4 2 2 2 3 4 2" xfId="15477" xr:uid="{00000000-0005-0000-0000-0000733C0000}"/>
    <cellStyle name="Normal 2 4 2 2 2 3 4 2 2" xfId="15478" xr:uid="{00000000-0005-0000-0000-0000743C0000}"/>
    <cellStyle name="Normal 2 4 2 2 2 3 4 3" xfId="15479" xr:uid="{00000000-0005-0000-0000-0000753C0000}"/>
    <cellStyle name="Normal 2 4 2 2 2 3 5" xfId="15480" xr:uid="{00000000-0005-0000-0000-0000763C0000}"/>
    <cellStyle name="Normal 2 4 2 2 2 3 5 2" xfId="15481" xr:uid="{00000000-0005-0000-0000-0000773C0000}"/>
    <cellStyle name="Normal 2 4 2 2 2 3 6" xfId="15482" xr:uid="{00000000-0005-0000-0000-0000783C0000}"/>
    <cellStyle name="Normal 2 4 2 2 2 3 6 2" xfId="15483" xr:uid="{00000000-0005-0000-0000-0000793C0000}"/>
    <cellStyle name="Normal 2 4 2 2 2 3 7" xfId="15484" xr:uid="{00000000-0005-0000-0000-00007A3C0000}"/>
    <cellStyle name="Normal 2 4 2 2 2 3 7 2" xfId="15485" xr:uid="{00000000-0005-0000-0000-00007B3C0000}"/>
    <cellStyle name="Normal 2 4 2 2 2 3 8" xfId="15486" xr:uid="{00000000-0005-0000-0000-00007C3C0000}"/>
    <cellStyle name="Normal 2 4 2 2 2 4" xfId="15487" xr:uid="{00000000-0005-0000-0000-00007D3C0000}"/>
    <cellStyle name="Normal 2 4 2 2 2 4 2" xfId="15488" xr:uid="{00000000-0005-0000-0000-00007E3C0000}"/>
    <cellStyle name="Normal 2 4 2 2 2 4 2 2" xfId="15489" xr:uid="{00000000-0005-0000-0000-00007F3C0000}"/>
    <cellStyle name="Normal 2 4 2 2 2 4 2 2 2" xfId="15490" xr:uid="{00000000-0005-0000-0000-0000803C0000}"/>
    <cellStyle name="Normal 2 4 2 2 2 4 2 3" xfId="15491" xr:uid="{00000000-0005-0000-0000-0000813C0000}"/>
    <cellStyle name="Normal 2 4 2 2 2 4 2 3 2" xfId="15492" xr:uid="{00000000-0005-0000-0000-0000823C0000}"/>
    <cellStyle name="Normal 2 4 2 2 2 4 2 4" xfId="15493" xr:uid="{00000000-0005-0000-0000-0000833C0000}"/>
    <cellStyle name="Normal 2 4 2 2 2 4 3" xfId="15494" xr:uid="{00000000-0005-0000-0000-0000843C0000}"/>
    <cellStyle name="Normal 2 4 2 2 2 4 3 2" xfId="15495" xr:uid="{00000000-0005-0000-0000-0000853C0000}"/>
    <cellStyle name="Normal 2 4 2 2 2 4 4" xfId="15496" xr:uid="{00000000-0005-0000-0000-0000863C0000}"/>
    <cellStyle name="Normal 2 4 2 2 2 4 4 2" xfId="15497" xr:uid="{00000000-0005-0000-0000-0000873C0000}"/>
    <cellStyle name="Normal 2 4 2 2 2 4 5" xfId="15498" xr:uid="{00000000-0005-0000-0000-0000883C0000}"/>
    <cellStyle name="Normal 2 4 2 2 2 4 5 2" xfId="15499" xr:uid="{00000000-0005-0000-0000-0000893C0000}"/>
    <cellStyle name="Normal 2 4 2 2 2 4 6" xfId="15500" xr:uid="{00000000-0005-0000-0000-00008A3C0000}"/>
    <cellStyle name="Normal 2 4 2 2 2 4 6 2" xfId="15501" xr:uid="{00000000-0005-0000-0000-00008B3C0000}"/>
    <cellStyle name="Normal 2 4 2 2 2 4 7" xfId="15502" xr:uid="{00000000-0005-0000-0000-00008C3C0000}"/>
    <cellStyle name="Normal 2 4 2 2 2 5" xfId="15503" xr:uid="{00000000-0005-0000-0000-00008D3C0000}"/>
    <cellStyle name="Normal 2 4 2 2 2 5 2" xfId="15504" xr:uid="{00000000-0005-0000-0000-00008E3C0000}"/>
    <cellStyle name="Normal 2 4 2 2 2 5 2 2" xfId="15505" xr:uid="{00000000-0005-0000-0000-00008F3C0000}"/>
    <cellStyle name="Normal 2 4 2 2 2 5 3" xfId="15506" xr:uid="{00000000-0005-0000-0000-0000903C0000}"/>
    <cellStyle name="Normal 2 4 2 2 2 5 3 2" xfId="15507" xr:uid="{00000000-0005-0000-0000-0000913C0000}"/>
    <cellStyle name="Normal 2 4 2 2 2 5 4" xfId="15508" xr:uid="{00000000-0005-0000-0000-0000923C0000}"/>
    <cellStyle name="Normal 2 4 2 2 2 5 4 2" xfId="15509" xr:uid="{00000000-0005-0000-0000-0000933C0000}"/>
    <cellStyle name="Normal 2 4 2 2 2 5 5" xfId="15510" xr:uid="{00000000-0005-0000-0000-0000943C0000}"/>
    <cellStyle name="Normal 2 4 2 2 2 5 5 2" xfId="15511" xr:uid="{00000000-0005-0000-0000-0000953C0000}"/>
    <cellStyle name="Normal 2 4 2 2 2 5 6" xfId="15512" xr:uid="{00000000-0005-0000-0000-0000963C0000}"/>
    <cellStyle name="Normal 2 4 2 2 2 6" xfId="15513" xr:uid="{00000000-0005-0000-0000-0000973C0000}"/>
    <cellStyle name="Normal 2 4 2 2 2 6 2" xfId="15514" xr:uid="{00000000-0005-0000-0000-0000983C0000}"/>
    <cellStyle name="Normal 2 4 2 2 2 6 2 2" xfId="15515" xr:uid="{00000000-0005-0000-0000-0000993C0000}"/>
    <cellStyle name="Normal 2 4 2 2 2 6 3" xfId="15516" xr:uid="{00000000-0005-0000-0000-00009A3C0000}"/>
    <cellStyle name="Normal 2 4 2 2 2 7" xfId="15517" xr:uid="{00000000-0005-0000-0000-00009B3C0000}"/>
    <cellStyle name="Normal 2 4 2 2 2 7 2" xfId="15518" xr:uid="{00000000-0005-0000-0000-00009C3C0000}"/>
    <cellStyle name="Normal 2 4 2 2 2 8" xfId="15519" xr:uid="{00000000-0005-0000-0000-00009D3C0000}"/>
    <cellStyle name="Normal 2 4 2 2 2 8 2" xfId="15520" xr:uid="{00000000-0005-0000-0000-00009E3C0000}"/>
    <cellStyle name="Normal 2 4 2 2 2 9" xfId="15521" xr:uid="{00000000-0005-0000-0000-00009F3C0000}"/>
    <cellStyle name="Normal 2 4 2 2 2 9 2" xfId="15522" xr:uid="{00000000-0005-0000-0000-0000A03C0000}"/>
    <cellStyle name="Normal 2 4 2 2 3" xfId="15523" xr:uid="{00000000-0005-0000-0000-0000A13C0000}"/>
    <cellStyle name="Normal 2 4 2 2 3 2" xfId="15524" xr:uid="{00000000-0005-0000-0000-0000A23C0000}"/>
    <cellStyle name="Normal 2 4 2 2 3 2 2" xfId="15525" xr:uid="{00000000-0005-0000-0000-0000A33C0000}"/>
    <cellStyle name="Normal 2 4 2 2 3 2 2 2" xfId="15526" xr:uid="{00000000-0005-0000-0000-0000A43C0000}"/>
    <cellStyle name="Normal 2 4 2 2 3 2 2 2 2" xfId="15527" xr:uid="{00000000-0005-0000-0000-0000A53C0000}"/>
    <cellStyle name="Normal 2 4 2 2 3 2 2 3" xfId="15528" xr:uid="{00000000-0005-0000-0000-0000A63C0000}"/>
    <cellStyle name="Normal 2 4 2 2 3 2 2 3 2" xfId="15529" xr:uid="{00000000-0005-0000-0000-0000A73C0000}"/>
    <cellStyle name="Normal 2 4 2 2 3 2 2 4" xfId="15530" xr:uid="{00000000-0005-0000-0000-0000A83C0000}"/>
    <cellStyle name="Normal 2 4 2 2 3 2 3" xfId="15531" xr:uid="{00000000-0005-0000-0000-0000A93C0000}"/>
    <cellStyle name="Normal 2 4 2 2 3 2 3 2" xfId="15532" xr:uid="{00000000-0005-0000-0000-0000AA3C0000}"/>
    <cellStyle name="Normal 2 4 2 2 3 2 4" xfId="15533" xr:uid="{00000000-0005-0000-0000-0000AB3C0000}"/>
    <cellStyle name="Normal 2 4 2 2 3 2 4 2" xfId="15534" xr:uid="{00000000-0005-0000-0000-0000AC3C0000}"/>
    <cellStyle name="Normal 2 4 2 2 3 2 5" xfId="15535" xr:uid="{00000000-0005-0000-0000-0000AD3C0000}"/>
    <cellStyle name="Normal 2 4 2 2 3 2 5 2" xfId="15536" xr:uid="{00000000-0005-0000-0000-0000AE3C0000}"/>
    <cellStyle name="Normal 2 4 2 2 3 2 6" xfId="15537" xr:uid="{00000000-0005-0000-0000-0000AF3C0000}"/>
    <cellStyle name="Normal 2 4 2 2 3 2 6 2" xfId="15538" xr:uid="{00000000-0005-0000-0000-0000B03C0000}"/>
    <cellStyle name="Normal 2 4 2 2 3 2 7" xfId="15539" xr:uid="{00000000-0005-0000-0000-0000B13C0000}"/>
    <cellStyle name="Normal 2 4 2 2 3 3" xfId="15540" xr:uid="{00000000-0005-0000-0000-0000B23C0000}"/>
    <cellStyle name="Normal 2 4 2 2 3 3 2" xfId="15541" xr:uid="{00000000-0005-0000-0000-0000B33C0000}"/>
    <cellStyle name="Normal 2 4 2 2 3 3 2 2" xfId="15542" xr:uid="{00000000-0005-0000-0000-0000B43C0000}"/>
    <cellStyle name="Normal 2 4 2 2 3 3 3" xfId="15543" xr:uid="{00000000-0005-0000-0000-0000B53C0000}"/>
    <cellStyle name="Normal 2 4 2 2 3 3 3 2" xfId="15544" xr:uid="{00000000-0005-0000-0000-0000B63C0000}"/>
    <cellStyle name="Normal 2 4 2 2 3 3 4" xfId="15545" xr:uid="{00000000-0005-0000-0000-0000B73C0000}"/>
    <cellStyle name="Normal 2 4 2 2 3 3 4 2" xfId="15546" xr:uid="{00000000-0005-0000-0000-0000B83C0000}"/>
    <cellStyle name="Normal 2 4 2 2 3 3 5" xfId="15547" xr:uid="{00000000-0005-0000-0000-0000B93C0000}"/>
    <cellStyle name="Normal 2 4 2 2 3 3 5 2" xfId="15548" xr:uid="{00000000-0005-0000-0000-0000BA3C0000}"/>
    <cellStyle name="Normal 2 4 2 2 3 3 6" xfId="15549" xr:uid="{00000000-0005-0000-0000-0000BB3C0000}"/>
    <cellStyle name="Normal 2 4 2 2 3 4" xfId="15550" xr:uid="{00000000-0005-0000-0000-0000BC3C0000}"/>
    <cellStyle name="Normal 2 4 2 2 3 4 2" xfId="15551" xr:uid="{00000000-0005-0000-0000-0000BD3C0000}"/>
    <cellStyle name="Normal 2 4 2 2 3 4 2 2" xfId="15552" xr:uid="{00000000-0005-0000-0000-0000BE3C0000}"/>
    <cellStyle name="Normal 2 4 2 2 3 4 3" xfId="15553" xr:uid="{00000000-0005-0000-0000-0000BF3C0000}"/>
    <cellStyle name="Normal 2 4 2 2 3 5" xfId="15554" xr:uid="{00000000-0005-0000-0000-0000C03C0000}"/>
    <cellStyle name="Normal 2 4 2 2 3 5 2" xfId="15555" xr:uid="{00000000-0005-0000-0000-0000C13C0000}"/>
    <cellStyle name="Normal 2 4 2 2 3 6" xfId="15556" xr:uid="{00000000-0005-0000-0000-0000C23C0000}"/>
    <cellStyle name="Normal 2 4 2 2 3 6 2" xfId="15557" xr:uid="{00000000-0005-0000-0000-0000C33C0000}"/>
    <cellStyle name="Normal 2 4 2 2 3 7" xfId="15558" xr:uid="{00000000-0005-0000-0000-0000C43C0000}"/>
    <cellStyle name="Normal 2 4 2 2 3 7 2" xfId="15559" xr:uid="{00000000-0005-0000-0000-0000C53C0000}"/>
    <cellStyle name="Normal 2 4 2 2 3 8" xfId="15560" xr:uid="{00000000-0005-0000-0000-0000C63C0000}"/>
    <cellStyle name="Normal 2 4 2 2 4" xfId="15561" xr:uid="{00000000-0005-0000-0000-0000C73C0000}"/>
    <cellStyle name="Normal 2 4 2 2 4 2" xfId="15562" xr:uid="{00000000-0005-0000-0000-0000C83C0000}"/>
    <cellStyle name="Normal 2 4 2 2 4 2 2" xfId="15563" xr:uid="{00000000-0005-0000-0000-0000C93C0000}"/>
    <cellStyle name="Normal 2 4 2 2 4 2 2 2" xfId="15564" xr:uid="{00000000-0005-0000-0000-0000CA3C0000}"/>
    <cellStyle name="Normal 2 4 2 2 4 2 2 2 2" xfId="15565" xr:uid="{00000000-0005-0000-0000-0000CB3C0000}"/>
    <cellStyle name="Normal 2 4 2 2 4 2 2 3" xfId="15566" xr:uid="{00000000-0005-0000-0000-0000CC3C0000}"/>
    <cellStyle name="Normal 2 4 2 2 4 2 2 3 2" xfId="15567" xr:uid="{00000000-0005-0000-0000-0000CD3C0000}"/>
    <cellStyle name="Normal 2 4 2 2 4 2 2 4" xfId="15568" xr:uid="{00000000-0005-0000-0000-0000CE3C0000}"/>
    <cellStyle name="Normal 2 4 2 2 4 2 3" xfId="15569" xr:uid="{00000000-0005-0000-0000-0000CF3C0000}"/>
    <cellStyle name="Normal 2 4 2 2 4 2 3 2" xfId="15570" xr:uid="{00000000-0005-0000-0000-0000D03C0000}"/>
    <cellStyle name="Normal 2 4 2 2 4 2 4" xfId="15571" xr:uid="{00000000-0005-0000-0000-0000D13C0000}"/>
    <cellStyle name="Normal 2 4 2 2 4 2 4 2" xfId="15572" xr:uid="{00000000-0005-0000-0000-0000D23C0000}"/>
    <cellStyle name="Normal 2 4 2 2 4 2 5" xfId="15573" xr:uid="{00000000-0005-0000-0000-0000D33C0000}"/>
    <cellStyle name="Normal 2 4 2 2 4 2 5 2" xfId="15574" xr:uid="{00000000-0005-0000-0000-0000D43C0000}"/>
    <cellStyle name="Normal 2 4 2 2 4 2 6" xfId="15575" xr:uid="{00000000-0005-0000-0000-0000D53C0000}"/>
    <cellStyle name="Normal 2 4 2 2 4 2 6 2" xfId="15576" xr:uid="{00000000-0005-0000-0000-0000D63C0000}"/>
    <cellStyle name="Normal 2 4 2 2 4 2 7" xfId="15577" xr:uid="{00000000-0005-0000-0000-0000D73C0000}"/>
    <cellStyle name="Normal 2 4 2 2 4 3" xfId="15578" xr:uid="{00000000-0005-0000-0000-0000D83C0000}"/>
    <cellStyle name="Normal 2 4 2 2 4 3 2" xfId="15579" xr:uid="{00000000-0005-0000-0000-0000D93C0000}"/>
    <cellStyle name="Normal 2 4 2 2 4 3 2 2" xfId="15580" xr:uid="{00000000-0005-0000-0000-0000DA3C0000}"/>
    <cellStyle name="Normal 2 4 2 2 4 3 3" xfId="15581" xr:uid="{00000000-0005-0000-0000-0000DB3C0000}"/>
    <cellStyle name="Normal 2 4 2 2 4 3 3 2" xfId="15582" xr:uid="{00000000-0005-0000-0000-0000DC3C0000}"/>
    <cellStyle name="Normal 2 4 2 2 4 3 4" xfId="15583" xr:uid="{00000000-0005-0000-0000-0000DD3C0000}"/>
    <cellStyle name="Normal 2 4 2 2 4 3 4 2" xfId="15584" xr:uid="{00000000-0005-0000-0000-0000DE3C0000}"/>
    <cellStyle name="Normal 2 4 2 2 4 3 5" xfId="15585" xr:uid="{00000000-0005-0000-0000-0000DF3C0000}"/>
    <cellStyle name="Normal 2 4 2 2 4 3 5 2" xfId="15586" xr:uid="{00000000-0005-0000-0000-0000E03C0000}"/>
    <cellStyle name="Normal 2 4 2 2 4 3 6" xfId="15587" xr:uid="{00000000-0005-0000-0000-0000E13C0000}"/>
    <cellStyle name="Normal 2 4 2 2 4 4" xfId="15588" xr:uid="{00000000-0005-0000-0000-0000E23C0000}"/>
    <cellStyle name="Normal 2 4 2 2 4 4 2" xfId="15589" xr:uid="{00000000-0005-0000-0000-0000E33C0000}"/>
    <cellStyle name="Normal 2 4 2 2 4 4 2 2" xfId="15590" xr:uid="{00000000-0005-0000-0000-0000E43C0000}"/>
    <cellStyle name="Normal 2 4 2 2 4 4 3" xfId="15591" xr:uid="{00000000-0005-0000-0000-0000E53C0000}"/>
    <cellStyle name="Normal 2 4 2 2 4 5" xfId="15592" xr:uid="{00000000-0005-0000-0000-0000E63C0000}"/>
    <cellStyle name="Normal 2 4 2 2 4 5 2" xfId="15593" xr:uid="{00000000-0005-0000-0000-0000E73C0000}"/>
    <cellStyle name="Normal 2 4 2 2 4 6" xfId="15594" xr:uid="{00000000-0005-0000-0000-0000E83C0000}"/>
    <cellStyle name="Normal 2 4 2 2 4 6 2" xfId="15595" xr:uid="{00000000-0005-0000-0000-0000E93C0000}"/>
    <cellStyle name="Normal 2 4 2 2 4 7" xfId="15596" xr:uid="{00000000-0005-0000-0000-0000EA3C0000}"/>
    <cellStyle name="Normal 2 4 2 2 4 7 2" xfId="15597" xr:uid="{00000000-0005-0000-0000-0000EB3C0000}"/>
    <cellStyle name="Normal 2 4 2 2 4 8" xfId="15598" xr:uid="{00000000-0005-0000-0000-0000EC3C0000}"/>
    <cellStyle name="Normal 2 4 2 2 5" xfId="15599" xr:uid="{00000000-0005-0000-0000-0000ED3C0000}"/>
    <cellStyle name="Normal 2 4 2 2 5 2" xfId="15600" xr:uid="{00000000-0005-0000-0000-0000EE3C0000}"/>
    <cellStyle name="Normal 2 4 2 2 5 2 2" xfId="15601" xr:uid="{00000000-0005-0000-0000-0000EF3C0000}"/>
    <cellStyle name="Normal 2 4 2 2 5 2 2 2" xfId="15602" xr:uid="{00000000-0005-0000-0000-0000F03C0000}"/>
    <cellStyle name="Normal 2 4 2 2 5 2 3" xfId="15603" xr:uid="{00000000-0005-0000-0000-0000F13C0000}"/>
    <cellStyle name="Normal 2 4 2 2 5 2 3 2" xfId="15604" xr:uid="{00000000-0005-0000-0000-0000F23C0000}"/>
    <cellStyle name="Normal 2 4 2 2 5 2 4" xfId="15605" xr:uid="{00000000-0005-0000-0000-0000F33C0000}"/>
    <cellStyle name="Normal 2 4 2 2 5 3" xfId="15606" xr:uid="{00000000-0005-0000-0000-0000F43C0000}"/>
    <cellStyle name="Normal 2 4 2 2 5 3 2" xfId="15607" xr:uid="{00000000-0005-0000-0000-0000F53C0000}"/>
    <cellStyle name="Normal 2 4 2 2 5 4" xfId="15608" xr:uid="{00000000-0005-0000-0000-0000F63C0000}"/>
    <cellStyle name="Normal 2 4 2 2 5 4 2" xfId="15609" xr:uid="{00000000-0005-0000-0000-0000F73C0000}"/>
    <cellStyle name="Normal 2 4 2 2 5 5" xfId="15610" xr:uid="{00000000-0005-0000-0000-0000F83C0000}"/>
    <cellStyle name="Normal 2 4 2 2 5 5 2" xfId="15611" xr:uid="{00000000-0005-0000-0000-0000F93C0000}"/>
    <cellStyle name="Normal 2 4 2 2 5 6" xfId="15612" xr:uid="{00000000-0005-0000-0000-0000FA3C0000}"/>
    <cellStyle name="Normal 2 4 2 2 5 6 2" xfId="15613" xr:uid="{00000000-0005-0000-0000-0000FB3C0000}"/>
    <cellStyle name="Normal 2 4 2 2 5 7" xfId="15614" xr:uid="{00000000-0005-0000-0000-0000FC3C0000}"/>
    <cellStyle name="Normal 2 4 2 2 6" xfId="15615" xr:uid="{00000000-0005-0000-0000-0000FD3C0000}"/>
    <cellStyle name="Normal 2 4 2 2 6 2" xfId="15616" xr:uid="{00000000-0005-0000-0000-0000FE3C0000}"/>
    <cellStyle name="Normal 2 4 2 2 6 2 2" xfId="15617" xr:uid="{00000000-0005-0000-0000-0000FF3C0000}"/>
    <cellStyle name="Normal 2 4 2 2 6 3" xfId="15618" xr:uid="{00000000-0005-0000-0000-0000003D0000}"/>
    <cellStyle name="Normal 2 4 2 2 6 3 2" xfId="15619" xr:uid="{00000000-0005-0000-0000-0000013D0000}"/>
    <cellStyle name="Normal 2 4 2 2 6 4" xfId="15620" xr:uid="{00000000-0005-0000-0000-0000023D0000}"/>
    <cellStyle name="Normal 2 4 2 2 6 4 2" xfId="15621" xr:uid="{00000000-0005-0000-0000-0000033D0000}"/>
    <cellStyle name="Normal 2 4 2 2 6 5" xfId="15622" xr:uid="{00000000-0005-0000-0000-0000043D0000}"/>
    <cellStyle name="Normal 2 4 2 2 6 5 2" xfId="15623" xr:uid="{00000000-0005-0000-0000-0000053D0000}"/>
    <cellStyle name="Normal 2 4 2 2 6 6" xfId="15624" xr:uid="{00000000-0005-0000-0000-0000063D0000}"/>
    <cellStyle name="Normal 2 4 2 2 7" xfId="15625" xr:uid="{00000000-0005-0000-0000-0000073D0000}"/>
    <cellStyle name="Normal 2 4 2 2 7 2" xfId="15626" xr:uid="{00000000-0005-0000-0000-0000083D0000}"/>
    <cellStyle name="Normal 2 4 2 2 7 2 2" xfId="15627" xr:uid="{00000000-0005-0000-0000-0000093D0000}"/>
    <cellStyle name="Normal 2 4 2 2 7 3" xfId="15628" xr:uid="{00000000-0005-0000-0000-00000A3D0000}"/>
    <cellStyle name="Normal 2 4 2 2 8" xfId="15629" xr:uid="{00000000-0005-0000-0000-00000B3D0000}"/>
    <cellStyle name="Normal 2 4 2 2 8 2" xfId="15630" xr:uid="{00000000-0005-0000-0000-00000C3D0000}"/>
    <cellStyle name="Normal 2 4 2 2 9" xfId="15631" xr:uid="{00000000-0005-0000-0000-00000D3D0000}"/>
    <cellStyle name="Normal 2 4 2 2 9 2" xfId="15632" xr:uid="{00000000-0005-0000-0000-00000E3D0000}"/>
    <cellStyle name="Normal 2 4 2 3" xfId="15633" xr:uid="{00000000-0005-0000-0000-00000F3D0000}"/>
    <cellStyle name="Normal 2 4 2 3 10" xfId="15634" xr:uid="{00000000-0005-0000-0000-0000103D0000}"/>
    <cellStyle name="Normal 2 4 2 3 2" xfId="15635" xr:uid="{00000000-0005-0000-0000-0000113D0000}"/>
    <cellStyle name="Normal 2 4 2 3 2 2" xfId="15636" xr:uid="{00000000-0005-0000-0000-0000123D0000}"/>
    <cellStyle name="Normal 2 4 2 3 2 2 2" xfId="15637" xr:uid="{00000000-0005-0000-0000-0000133D0000}"/>
    <cellStyle name="Normal 2 4 2 3 2 2 2 2" xfId="15638" xr:uid="{00000000-0005-0000-0000-0000143D0000}"/>
    <cellStyle name="Normal 2 4 2 3 2 2 2 2 2" xfId="15639" xr:uid="{00000000-0005-0000-0000-0000153D0000}"/>
    <cellStyle name="Normal 2 4 2 3 2 2 2 3" xfId="15640" xr:uid="{00000000-0005-0000-0000-0000163D0000}"/>
    <cellStyle name="Normal 2 4 2 3 2 2 2 3 2" xfId="15641" xr:uid="{00000000-0005-0000-0000-0000173D0000}"/>
    <cellStyle name="Normal 2 4 2 3 2 2 2 4" xfId="15642" xr:uid="{00000000-0005-0000-0000-0000183D0000}"/>
    <cellStyle name="Normal 2 4 2 3 2 2 3" xfId="15643" xr:uid="{00000000-0005-0000-0000-0000193D0000}"/>
    <cellStyle name="Normal 2 4 2 3 2 2 3 2" xfId="15644" xr:uid="{00000000-0005-0000-0000-00001A3D0000}"/>
    <cellStyle name="Normal 2 4 2 3 2 2 4" xfId="15645" xr:uid="{00000000-0005-0000-0000-00001B3D0000}"/>
    <cellStyle name="Normal 2 4 2 3 2 2 4 2" xfId="15646" xr:uid="{00000000-0005-0000-0000-00001C3D0000}"/>
    <cellStyle name="Normal 2 4 2 3 2 2 5" xfId="15647" xr:uid="{00000000-0005-0000-0000-00001D3D0000}"/>
    <cellStyle name="Normal 2 4 2 3 2 2 5 2" xfId="15648" xr:uid="{00000000-0005-0000-0000-00001E3D0000}"/>
    <cellStyle name="Normal 2 4 2 3 2 2 6" xfId="15649" xr:uid="{00000000-0005-0000-0000-00001F3D0000}"/>
    <cellStyle name="Normal 2 4 2 3 2 2 6 2" xfId="15650" xr:uid="{00000000-0005-0000-0000-0000203D0000}"/>
    <cellStyle name="Normal 2 4 2 3 2 2 7" xfId="15651" xr:uid="{00000000-0005-0000-0000-0000213D0000}"/>
    <cellStyle name="Normal 2 4 2 3 2 3" xfId="15652" xr:uid="{00000000-0005-0000-0000-0000223D0000}"/>
    <cellStyle name="Normal 2 4 2 3 2 3 2" xfId="15653" xr:uid="{00000000-0005-0000-0000-0000233D0000}"/>
    <cellStyle name="Normal 2 4 2 3 2 3 2 2" xfId="15654" xr:uid="{00000000-0005-0000-0000-0000243D0000}"/>
    <cellStyle name="Normal 2 4 2 3 2 3 3" xfId="15655" xr:uid="{00000000-0005-0000-0000-0000253D0000}"/>
    <cellStyle name="Normal 2 4 2 3 2 3 3 2" xfId="15656" xr:uid="{00000000-0005-0000-0000-0000263D0000}"/>
    <cellStyle name="Normal 2 4 2 3 2 3 4" xfId="15657" xr:uid="{00000000-0005-0000-0000-0000273D0000}"/>
    <cellStyle name="Normal 2 4 2 3 2 3 4 2" xfId="15658" xr:uid="{00000000-0005-0000-0000-0000283D0000}"/>
    <cellStyle name="Normal 2 4 2 3 2 3 5" xfId="15659" xr:uid="{00000000-0005-0000-0000-0000293D0000}"/>
    <cellStyle name="Normal 2 4 2 3 2 3 5 2" xfId="15660" xr:uid="{00000000-0005-0000-0000-00002A3D0000}"/>
    <cellStyle name="Normal 2 4 2 3 2 3 6" xfId="15661" xr:uid="{00000000-0005-0000-0000-00002B3D0000}"/>
    <cellStyle name="Normal 2 4 2 3 2 4" xfId="15662" xr:uid="{00000000-0005-0000-0000-00002C3D0000}"/>
    <cellStyle name="Normal 2 4 2 3 2 4 2" xfId="15663" xr:uid="{00000000-0005-0000-0000-00002D3D0000}"/>
    <cellStyle name="Normal 2 4 2 3 2 4 2 2" xfId="15664" xr:uid="{00000000-0005-0000-0000-00002E3D0000}"/>
    <cellStyle name="Normal 2 4 2 3 2 4 3" xfId="15665" xr:uid="{00000000-0005-0000-0000-00002F3D0000}"/>
    <cellStyle name="Normal 2 4 2 3 2 5" xfId="15666" xr:uid="{00000000-0005-0000-0000-0000303D0000}"/>
    <cellStyle name="Normal 2 4 2 3 2 5 2" xfId="15667" xr:uid="{00000000-0005-0000-0000-0000313D0000}"/>
    <cellStyle name="Normal 2 4 2 3 2 6" xfId="15668" xr:uid="{00000000-0005-0000-0000-0000323D0000}"/>
    <cellStyle name="Normal 2 4 2 3 2 6 2" xfId="15669" xr:uid="{00000000-0005-0000-0000-0000333D0000}"/>
    <cellStyle name="Normal 2 4 2 3 2 7" xfId="15670" xr:uid="{00000000-0005-0000-0000-0000343D0000}"/>
    <cellStyle name="Normal 2 4 2 3 2 7 2" xfId="15671" xr:uid="{00000000-0005-0000-0000-0000353D0000}"/>
    <cellStyle name="Normal 2 4 2 3 2 8" xfId="15672" xr:uid="{00000000-0005-0000-0000-0000363D0000}"/>
    <cellStyle name="Normal 2 4 2 3 3" xfId="15673" xr:uid="{00000000-0005-0000-0000-0000373D0000}"/>
    <cellStyle name="Normal 2 4 2 3 3 2" xfId="15674" xr:uid="{00000000-0005-0000-0000-0000383D0000}"/>
    <cellStyle name="Normal 2 4 2 3 3 2 2" xfId="15675" xr:uid="{00000000-0005-0000-0000-0000393D0000}"/>
    <cellStyle name="Normal 2 4 2 3 3 2 2 2" xfId="15676" xr:uid="{00000000-0005-0000-0000-00003A3D0000}"/>
    <cellStyle name="Normal 2 4 2 3 3 2 2 2 2" xfId="15677" xr:uid="{00000000-0005-0000-0000-00003B3D0000}"/>
    <cellStyle name="Normal 2 4 2 3 3 2 2 3" xfId="15678" xr:uid="{00000000-0005-0000-0000-00003C3D0000}"/>
    <cellStyle name="Normal 2 4 2 3 3 2 2 3 2" xfId="15679" xr:uid="{00000000-0005-0000-0000-00003D3D0000}"/>
    <cellStyle name="Normal 2 4 2 3 3 2 2 4" xfId="15680" xr:uid="{00000000-0005-0000-0000-00003E3D0000}"/>
    <cellStyle name="Normal 2 4 2 3 3 2 3" xfId="15681" xr:uid="{00000000-0005-0000-0000-00003F3D0000}"/>
    <cellStyle name="Normal 2 4 2 3 3 2 3 2" xfId="15682" xr:uid="{00000000-0005-0000-0000-0000403D0000}"/>
    <cellStyle name="Normal 2 4 2 3 3 2 4" xfId="15683" xr:uid="{00000000-0005-0000-0000-0000413D0000}"/>
    <cellStyle name="Normal 2 4 2 3 3 2 4 2" xfId="15684" xr:uid="{00000000-0005-0000-0000-0000423D0000}"/>
    <cellStyle name="Normal 2 4 2 3 3 2 5" xfId="15685" xr:uid="{00000000-0005-0000-0000-0000433D0000}"/>
    <cellStyle name="Normal 2 4 2 3 3 2 5 2" xfId="15686" xr:uid="{00000000-0005-0000-0000-0000443D0000}"/>
    <cellStyle name="Normal 2 4 2 3 3 2 6" xfId="15687" xr:uid="{00000000-0005-0000-0000-0000453D0000}"/>
    <cellStyle name="Normal 2 4 2 3 3 2 6 2" xfId="15688" xr:uid="{00000000-0005-0000-0000-0000463D0000}"/>
    <cellStyle name="Normal 2 4 2 3 3 2 7" xfId="15689" xr:uid="{00000000-0005-0000-0000-0000473D0000}"/>
    <cellStyle name="Normal 2 4 2 3 3 3" xfId="15690" xr:uid="{00000000-0005-0000-0000-0000483D0000}"/>
    <cellStyle name="Normal 2 4 2 3 3 3 2" xfId="15691" xr:uid="{00000000-0005-0000-0000-0000493D0000}"/>
    <cellStyle name="Normal 2 4 2 3 3 3 2 2" xfId="15692" xr:uid="{00000000-0005-0000-0000-00004A3D0000}"/>
    <cellStyle name="Normal 2 4 2 3 3 3 3" xfId="15693" xr:uid="{00000000-0005-0000-0000-00004B3D0000}"/>
    <cellStyle name="Normal 2 4 2 3 3 3 3 2" xfId="15694" xr:uid="{00000000-0005-0000-0000-00004C3D0000}"/>
    <cellStyle name="Normal 2 4 2 3 3 3 4" xfId="15695" xr:uid="{00000000-0005-0000-0000-00004D3D0000}"/>
    <cellStyle name="Normal 2 4 2 3 3 3 4 2" xfId="15696" xr:uid="{00000000-0005-0000-0000-00004E3D0000}"/>
    <cellStyle name="Normal 2 4 2 3 3 3 5" xfId="15697" xr:uid="{00000000-0005-0000-0000-00004F3D0000}"/>
    <cellStyle name="Normal 2 4 2 3 3 3 5 2" xfId="15698" xr:uid="{00000000-0005-0000-0000-0000503D0000}"/>
    <cellStyle name="Normal 2 4 2 3 3 3 6" xfId="15699" xr:uid="{00000000-0005-0000-0000-0000513D0000}"/>
    <cellStyle name="Normal 2 4 2 3 3 4" xfId="15700" xr:uid="{00000000-0005-0000-0000-0000523D0000}"/>
    <cellStyle name="Normal 2 4 2 3 3 4 2" xfId="15701" xr:uid="{00000000-0005-0000-0000-0000533D0000}"/>
    <cellStyle name="Normal 2 4 2 3 3 4 2 2" xfId="15702" xr:uid="{00000000-0005-0000-0000-0000543D0000}"/>
    <cellStyle name="Normal 2 4 2 3 3 4 3" xfId="15703" xr:uid="{00000000-0005-0000-0000-0000553D0000}"/>
    <cellStyle name="Normal 2 4 2 3 3 5" xfId="15704" xr:uid="{00000000-0005-0000-0000-0000563D0000}"/>
    <cellStyle name="Normal 2 4 2 3 3 5 2" xfId="15705" xr:uid="{00000000-0005-0000-0000-0000573D0000}"/>
    <cellStyle name="Normal 2 4 2 3 3 6" xfId="15706" xr:uid="{00000000-0005-0000-0000-0000583D0000}"/>
    <cellStyle name="Normal 2 4 2 3 3 6 2" xfId="15707" xr:uid="{00000000-0005-0000-0000-0000593D0000}"/>
    <cellStyle name="Normal 2 4 2 3 3 7" xfId="15708" xr:uid="{00000000-0005-0000-0000-00005A3D0000}"/>
    <cellStyle name="Normal 2 4 2 3 3 7 2" xfId="15709" xr:uid="{00000000-0005-0000-0000-00005B3D0000}"/>
    <cellStyle name="Normal 2 4 2 3 3 8" xfId="15710" xr:uid="{00000000-0005-0000-0000-00005C3D0000}"/>
    <cellStyle name="Normal 2 4 2 3 4" xfId="15711" xr:uid="{00000000-0005-0000-0000-00005D3D0000}"/>
    <cellStyle name="Normal 2 4 2 3 4 2" xfId="15712" xr:uid="{00000000-0005-0000-0000-00005E3D0000}"/>
    <cellStyle name="Normal 2 4 2 3 4 2 2" xfId="15713" xr:uid="{00000000-0005-0000-0000-00005F3D0000}"/>
    <cellStyle name="Normal 2 4 2 3 4 2 2 2" xfId="15714" xr:uid="{00000000-0005-0000-0000-0000603D0000}"/>
    <cellStyle name="Normal 2 4 2 3 4 2 3" xfId="15715" xr:uid="{00000000-0005-0000-0000-0000613D0000}"/>
    <cellStyle name="Normal 2 4 2 3 4 2 3 2" xfId="15716" xr:uid="{00000000-0005-0000-0000-0000623D0000}"/>
    <cellStyle name="Normal 2 4 2 3 4 2 4" xfId="15717" xr:uid="{00000000-0005-0000-0000-0000633D0000}"/>
    <cellStyle name="Normal 2 4 2 3 4 3" xfId="15718" xr:uid="{00000000-0005-0000-0000-0000643D0000}"/>
    <cellStyle name="Normal 2 4 2 3 4 3 2" xfId="15719" xr:uid="{00000000-0005-0000-0000-0000653D0000}"/>
    <cellStyle name="Normal 2 4 2 3 4 4" xfId="15720" xr:uid="{00000000-0005-0000-0000-0000663D0000}"/>
    <cellStyle name="Normal 2 4 2 3 4 4 2" xfId="15721" xr:uid="{00000000-0005-0000-0000-0000673D0000}"/>
    <cellStyle name="Normal 2 4 2 3 4 5" xfId="15722" xr:uid="{00000000-0005-0000-0000-0000683D0000}"/>
    <cellStyle name="Normal 2 4 2 3 4 5 2" xfId="15723" xr:uid="{00000000-0005-0000-0000-0000693D0000}"/>
    <cellStyle name="Normal 2 4 2 3 4 6" xfId="15724" xr:uid="{00000000-0005-0000-0000-00006A3D0000}"/>
    <cellStyle name="Normal 2 4 2 3 4 6 2" xfId="15725" xr:uid="{00000000-0005-0000-0000-00006B3D0000}"/>
    <cellStyle name="Normal 2 4 2 3 4 7" xfId="15726" xr:uid="{00000000-0005-0000-0000-00006C3D0000}"/>
    <cellStyle name="Normal 2 4 2 3 5" xfId="15727" xr:uid="{00000000-0005-0000-0000-00006D3D0000}"/>
    <cellStyle name="Normal 2 4 2 3 5 2" xfId="15728" xr:uid="{00000000-0005-0000-0000-00006E3D0000}"/>
    <cellStyle name="Normal 2 4 2 3 5 2 2" xfId="15729" xr:uid="{00000000-0005-0000-0000-00006F3D0000}"/>
    <cellStyle name="Normal 2 4 2 3 5 3" xfId="15730" xr:uid="{00000000-0005-0000-0000-0000703D0000}"/>
    <cellStyle name="Normal 2 4 2 3 5 3 2" xfId="15731" xr:uid="{00000000-0005-0000-0000-0000713D0000}"/>
    <cellStyle name="Normal 2 4 2 3 5 4" xfId="15732" xr:uid="{00000000-0005-0000-0000-0000723D0000}"/>
    <cellStyle name="Normal 2 4 2 3 5 4 2" xfId="15733" xr:uid="{00000000-0005-0000-0000-0000733D0000}"/>
    <cellStyle name="Normal 2 4 2 3 5 5" xfId="15734" xr:uid="{00000000-0005-0000-0000-0000743D0000}"/>
    <cellStyle name="Normal 2 4 2 3 5 5 2" xfId="15735" xr:uid="{00000000-0005-0000-0000-0000753D0000}"/>
    <cellStyle name="Normal 2 4 2 3 5 6" xfId="15736" xr:uid="{00000000-0005-0000-0000-0000763D0000}"/>
    <cellStyle name="Normal 2 4 2 3 6" xfId="15737" xr:uid="{00000000-0005-0000-0000-0000773D0000}"/>
    <cellStyle name="Normal 2 4 2 3 6 2" xfId="15738" xr:uid="{00000000-0005-0000-0000-0000783D0000}"/>
    <cellStyle name="Normal 2 4 2 3 6 2 2" xfId="15739" xr:uid="{00000000-0005-0000-0000-0000793D0000}"/>
    <cellStyle name="Normal 2 4 2 3 6 3" xfId="15740" xr:uid="{00000000-0005-0000-0000-00007A3D0000}"/>
    <cellStyle name="Normal 2 4 2 3 7" xfId="15741" xr:uid="{00000000-0005-0000-0000-00007B3D0000}"/>
    <cellStyle name="Normal 2 4 2 3 7 2" xfId="15742" xr:uid="{00000000-0005-0000-0000-00007C3D0000}"/>
    <cellStyle name="Normal 2 4 2 3 8" xfId="15743" xr:uid="{00000000-0005-0000-0000-00007D3D0000}"/>
    <cellStyle name="Normal 2 4 2 3 8 2" xfId="15744" xr:uid="{00000000-0005-0000-0000-00007E3D0000}"/>
    <cellStyle name="Normal 2 4 2 3 9" xfId="15745" xr:uid="{00000000-0005-0000-0000-00007F3D0000}"/>
    <cellStyle name="Normal 2 4 2 3 9 2" xfId="15746" xr:uid="{00000000-0005-0000-0000-0000803D0000}"/>
    <cellStyle name="Normal 2 4 2 4" xfId="15747" xr:uid="{00000000-0005-0000-0000-0000813D0000}"/>
    <cellStyle name="Normal 2 4 2 4 2" xfId="15748" xr:uid="{00000000-0005-0000-0000-0000823D0000}"/>
    <cellStyle name="Normal 2 4 2 4 2 2" xfId="15749" xr:uid="{00000000-0005-0000-0000-0000833D0000}"/>
    <cellStyle name="Normal 2 4 2 4 2 2 2" xfId="15750" xr:uid="{00000000-0005-0000-0000-0000843D0000}"/>
    <cellStyle name="Normal 2 4 2 4 2 2 2 2" xfId="15751" xr:uid="{00000000-0005-0000-0000-0000853D0000}"/>
    <cellStyle name="Normal 2 4 2 4 2 2 3" xfId="15752" xr:uid="{00000000-0005-0000-0000-0000863D0000}"/>
    <cellStyle name="Normal 2 4 2 4 2 2 3 2" xfId="15753" xr:uid="{00000000-0005-0000-0000-0000873D0000}"/>
    <cellStyle name="Normal 2 4 2 4 2 2 4" xfId="15754" xr:uid="{00000000-0005-0000-0000-0000883D0000}"/>
    <cellStyle name="Normal 2 4 2 4 2 3" xfId="15755" xr:uid="{00000000-0005-0000-0000-0000893D0000}"/>
    <cellStyle name="Normal 2 4 2 4 2 3 2" xfId="15756" xr:uid="{00000000-0005-0000-0000-00008A3D0000}"/>
    <cellStyle name="Normal 2 4 2 4 2 4" xfId="15757" xr:uid="{00000000-0005-0000-0000-00008B3D0000}"/>
    <cellStyle name="Normal 2 4 2 4 2 4 2" xfId="15758" xr:uid="{00000000-0005-0000-0000-00008C3D0000}"/>
    <cellStyle name="Normal 2 4 2 4 2 5" xfId="15759" xr:uid="{00000000-0005-0000-0000-00008D3D0000}"/>
    <cellStyle name="Normal 2 4 2 4 2 5 2" xfId="15760" xr:uid="{00000000-0005-0000-0000-00008E3D0000}"/>
    <cellStyle name="Normal 2 4 2 4 2 6" xfId="15761" xr:uid="{00000000-0005-0000-0000-00008F3D0000}"/>
    <cellStyle name="Normal 2 4 2 4 2 6 2" xfId="15762" xr:uid="{00000000-0005-0000-0000-0000903D0000}"/>
    <cellStyle name="Normal 2 4 2 4 2 7" xfId="15763" xr:uid="{00000000-0005-0000-0000-0000913D0000}"/>
    <cellStyle name="Normal 2 4 2 4 3" xfId="15764" xr:uid="{00000000-0005-0000-0000-0000923D0000}"/>
    <cellStyle name="Normal 2 4 2 4 3 2" xfId="15765" xr:uid="{00000000-0005-0000-0000-0000933D0000}"/>
    <cellStyle name="Normal 2 4 2 4 3 2 2" xfId="15766" xr:uid="{00000000-0005-0000-0000-0000943D0000}"/>
    <cellStyle name="Normal 2 4 2 4 3 3" xfId="15767" xr:uid="{00000000-0005-0000-0000-0000953D0000}"/>
    <cellStyle name="Normal 2 4 2 4 3 3 2" xfId="15768" xr:uid="{00000000-0005-0000-0000-0000963D0000}"/>
    <cellStyle name="Normal 2 4 2 4 3 4" xfId="15769" xr:uid="{00000000-0005-0000-0000-0000973D0000}"/>
    <cellStyle name="Normal 2 4 2 4 3 4 2" xfId="15770" xr:uid="{00000000-0005-0000-0000-0000983D0000}"/>
    <cellStyle name="Normal 2 4 2 4 3 5" xfId="15771" xr:uid="{00000000-0005-0000-0000-0000993D0000}"/>
    <cellStyle name="Normal 2 4 2 4 3 5 2" xfId="15772" xr:uid="{00000000-0005-0000-0000-00009A3D0000}"/>
    <cellStyle name="Normal 2 4 2 4 3 6" xfId="15773" xr:uid="{00000000-0005-0000-0000-00009B3D0000}"/>
    <cellStyle name="Normal 2 4 2 4 4" xfId="15774" xr:uid="{00000000-0005-0000-0000-00009C3D0000}"/>
    <cellStyle name="Normal 2 4 2 4 4 2" xfId="15775" xr:uid="{00000000-0005-0000-0000-00009D3D0000}"/>
    <cellStyle name="Normal 2 4 2 4 4 2 2" xfId="15776" xr:uid="{00000000-0005-0000-0000-00009E3D0000}"/>
    <cellStyle name="Normal 2 4 2 4 4 3" xfId="15777" xr:uid="{00000000-0005-0000-0000-00009F3D0000}"/>
    <cellStyle name="Normal 2 4 2 4 5" xfId="15778" xr:uid="{00000000-0005-0000-0000-0000A03D0000}"/>
    <cellStyle name="Normal 2 4 2 4 5 2" xfId="15779" xr:uid="{00000000-0005-0000-0000-0000A13D0000}"/>
    <cellStyle name="Normal 2 4 2 4 6" xfId="15780" xr:uid="{00000000-0005-0000-0000-0000A23D0000}"/>
    <cellStyle name="Normal 2 4 2 4 6 2" xfId="15781" xr:uid="{00000000-0005-0000-0000-0000A33D0000}"/>
    <cellStyle name="Normal 2 4 2 4 7" xfId="15782" xr:uid="{00000000-0005-0000-0000-0000A43D0000}"/>
    <cellStyle name="Normal 2 4 2 4 7 2" xfId="15783" xr:uid="{00000000-0005-0000-0000-0000A53D0000}"/>
    <cellStyle name="Normal 2 4 2 4 8" xfId="15784" xr:uid="{00000000-0005-0000-0000-0000A63D0000}"/>
    <cellStyle name="Normal 2 4 2 5" xfId="15785" xr:uid="{00000000-0005-0000-0000-0000A73D0000}"/>
    <cellStyle name="Normal 2 4 2 5 2" xfId="15786" xr:uid="{00000000-0005-0000-0000-0000A83D0000}"/>
    <cellStyle name="Normal 2 4 2 5 2 2" xfId="15787" xr:uid="{00000000-0005-0000-0000-0000A93D0000}"/>
    <cellStyle name="Normal 2 4 2 5 2 2 2" xfId="15788" xr:uid="{00000000-0005-0000-0000-0000AA3D0000}"/>
    <cellStyle name="Normal 2 4 2 5 2 2 2 2" xfId="15789" xr:uid="{00000000-0005-0000-0000-0000AB3D0000}"/>
    <cellStyle name="Normal 2 4 2 5 2 2 3" xfId="15790" xr:uid="{00000000-0005-0000-0000-0000AC3D0000}"/>
    <cellStyle name="Normal 2 4 2 5 2 2 3 2" xfId="15791" xr:uid="{00000000-0005-0000-0000-0000AD3D0000}"/>
    <cellStyle name="Normal 2 4 2 5 2 2 4" xfId="15792" xr:uid="{00000000-0005-0000-0000-0000AE3D0000}"/>
    <cellStyle name="Normal 2 4 2 5 2 3" xfId="15793" xr:uid="{00000000-0005-0000-0000-0000AF3D0000}"/>
    <cellStyle name="Normal 2 4 2 5 2 3 2" xfId="15794" xr:uid="{00000000-0005-0000-0000-0000B03D0000}"/>
    <cellStyle name="Normal 2 4 2 5 2 4" xfId="15795" xr:uid="{00000000-0005-0000-0000-0000B13D0000}"/>
    <cellStyle name="Normal 2 4 2 5 2 4 2" xfId="15796" xr:uid="{00000000-0005-0000-0000-0000B23D0000}"/>
    <cellStyle name="Normal 2 4 2 5 2 5" xfId="15797" xr:uid="{00000000-0005-0000-0000-0000B33D0000}"/>
    <cellStyle name="Normal 2 4 2 5 2 5 2" xfId="15798" xr:uid="{00000000-0005-0000-0000-0000B43D0000}"/>
    <cellStyle name="Normal 2 4 2 5 2 6" xfId="15799" xr:uid="{00000000-0005-0000-0000-0000B53D0000}"/>
    <cellStyle name="Normal 2 4 2 5 2 6 2" xfId="15800" xr:uid="{00000000-0005-0000-0000-0000B63D0000}"/>
    <cellStyle name="Normal 2 4 2 5 2 7" xfId="15801" xr:uid="{00000000-0005-0000-0000-0000B73D0000}"/>
    <cellStyle name="Normal 2 4 2 5 3" xfId="15802" xr:uid="{00000000-0005-0000-0000-0000B83D0000}"/>
    <cellStyle name="Normal 2 4 2 5 3 2" xfId="15803" xr:uid="{00000000-0005-0000-0000-0000B93D0000}"/>
    <cellStyle name="Normal 2 4 2 5 3 2 2" xfId="15804" xr:uid="{00000000-0005-0000-0000-0000BA3D0000}"/>
    <cellStyle name="Normal 2 4 2 5 3 3" xfId="15805" xr:uid="{00000000-0005-0000-0000-0000BB3D0000}"/>
    <cellStyle name="Normal 2 4 2 5 3 3 2" xfId="15806" xr:uid="{00000000-0005-0000-0000-0000BC3D0000}"/>
    <cellStyle name="Normal 2 4 2 5 3 4" xfId="15807" xr:uid="{00000000-0005-0000-0000-0000BD3D0000}"/>
    <cellStyle name="Normal 2 4 2 5 3 4 2" xfId="15808" xr:uid="{00000000-0005-0000-0000-0000BE3D0000}"/>
    <cellStyle name="Normal 2 4 2 5 3 5" xfId="15809" xr:uid="{00000000-0005-0000-0000-0000BF3D0000}"/>
    <cellStyle name="Normal 2 4 2 5 3 5 2" xfId="15810" xr:uid="{00000000-0005-0000-0000-0000C03D0000}"/>
    <cellStyle name="Normal 2 4 2 5 3 6" xfId="15811" xr:uid="{00000000-0005-0000-0000-0000C13D0000}"/>
    <cellStyle name="Normal 2 4 2 5 4" xfId="15812" xr:uid="{00000000-0005-0000-0000-0000C23D0000}"/>
    <cellStyle name="Normal 2 4 2 5 4 2" xfId="15813" xr:uid="{00000000-0005-0000-0000-0000C33D0000}"/>
    <cellStyle name="Normal 2 4 2 5 4 2 2" xfId="15814" xr:uid="{00000000-0005-0000-0000-0000C43D0000}"/>
    <cellStyle name="Normal 2 4 2 5 4 3" xfId="15815" xr:uid="{00000000-0005-0000-0000-0000C53D0000}"/>
    <cellStyle name="Normal 2 4 2 5 5" xfId="15816" xr:uid="{00000000-0005-0000-0000-0000C63D0000}"/>
    <cellStyle name="Normal 2 4 2 5 5 2" xfId="15817" xr:uid="{00000000-0005-0000-0000-0000C73D0000}"/>
    <cellStyle name="Normal 2 4 2 5 6" xfId="15818" xr:uid="{00000000-0005-0000-0000-0000C83D0000}"/>
    <cellStyle name="Normal 2 4 2 5 6 2" xfId="15819" xr:uid="{00000000-0005-0000-0000-0000C93D0000}"/>
    <cellStyle name="Normal 2 4 2 5 7" xfId="15820" xr:uid="{00000000-0005-0000-0000-0000CA3D0000}"/>
    <cellStyle name="Normal 2 4 2 5 7 2" xfId="15821" xr:uid="{00000000-0005-0000-0000-0000CB3D0000}"/>
    <cellStyle name="Normal 2 4 2 5 8" xfId="15822" xr:uid="{00000000-0005-0000-0000-0000CC3D0000}"/>
    <cellStyle name="Normal 2 4 2 6" xfId="15823" xr:uid="{00000000-0005-0000-0000-0000CD3D0000}"/>
    <cellStyle name="Normal 2 4 2 6 2" xfId="15824" xr:uid="{00000000-0005-0000-0000-0000CE3D0000}"/>
    <cellStyle name="Normal 2 4 2 6 2 2" xfId="15825" xr:uid="{00000000-0005-0000-0000-0000CF3D0000}"/>
    <cellStyle name="Normal 2 4 2 6 2 2 2" xfId="15826" xr:uid="{00000000-0005-0000-0000-0000D03D0000}"/>
    <cellStyle name="Normal 2 4 2 6 2 3" xfId="15827" xr:uid="{00000000-0005-0000-0000-0000D13D0000}"/>
    <cellStyle name="Normal 2 4 2 6 2 3 2" xfId="15828" xr:uid="{00000000-0005-0000-0000-0000D23D0000}"/>
    <cellStyle name="Normal 2 4 2 6 2 4" xfId="15829" xr:uid="{00000000-0005-0000-0000-0000D33D0000}"/>
    <cellStyle name="Normal 2 4 2 6 3" xfId="15830" xr:uid="{00000000-0005-0000-0000-0000D43D0000}"/>
    <cellStyle name="Normal 2 4 2 6 3 2" xfId="15831" xr:uid="{00000000-0005-0000-0000-0000D53D0000}"/>
    <cellStyle name="Normal 2 4 2 6 4" xfId="15832" xr:uid="{00000000-0005-0000-0000-0000D63D0000}"/>
    <cellStyle name="Normal 2 4 2 6 4 2" xfId="15833" xr:uid="{00000000-0005-0000-0000-0000D73D0000}"/>
    <cellStyle name="Normal 2 4 2 6 5" xfId="15834" xr:uid="{00000000-0005-0000-0000-0000D83D0000}"/>
    <cellStyle name="Normal 2 4 2 6 5 2" xfId="15835" xr:uid="{00000000-0005-0000-0000-0000D93D0000}"/>
    <cellStyle name="Normal 2 4 2 6 6" xfId="15836" xr:uid="{00000000-0005-0000-0000-0000DA3D0000}"/>
    <cellStyle name="Normal 2 4 2 6 6 2" xfId="15837" xr:uid="{00000000-0005-0000-0000-0000DB3D0000}"/>
    <cellStyle name="Normal 2 4 2 6 7" xfId="15838" xr:uid="{00000000-0005-0000-0000-0000DC3D0000}"/>
    <cellStyle name="Normal 2 4 2 7" xfId="15839" xr:uid="{00000000-0005-0000-0000-0000DD3D0000}"/>
    <cellStyle name="Normal 2 4 2 7 2" xfId="15840" xr:uid="{00000000-0005-0000-0000-0000DE3D0000}"/>
    <cellStyle name="Normal 2 4 2 7 2 2" xfId="15841" xr:uid="{00000000-0005-0000-0000-0000DF3D0000}"/>
    <cellStyle name="Normal 2 4 2 7 3" xfId="15842" xr:uid="{00000000-0005-0000-0000-0000E03D0000}"/>
    <cellStyle name="Normal 2 4 2 7 3 2" xfId="15843" xr:uid="{00000000-0005-0000-0000-0000E13D0000}"/>
    <cellStyle name="Normal 2 4 2 7 4" xfId="15844" xr:uid="{00000000-0005-0000-0000-0000E23D0000}"/>
    <cellStyle name="Normal 2 4 2 7 4 2" xfId="15845" xr:uid="{00000000-0005-0000-0000-0000E33D0000}"/>
    <cellStyle name="Normal 2 4 2 7 5" xfId="15846" xr:uid="{00000000-0005-0000-0000-0000E43D0000}"/>
    <cellStyle name="Normal 2 4 2 7 5 2" xfId="15847" xr:uid="{00000000-0005-0000-0000-0000E53D0000}"/>
    <cellStyle name="Normal 2 4 2 7 6" xfId="15848" xr:uid="{00000000-0005-0000-0000-0000E63D0000}"/>
    <cellStyle name="Normal 2 4 2 8" xfId="15849" xr:uid="{00000000-0005-0000-0000-0000E73D0000}"/>
    <cellStyle name="Normal 2 4 2 8 2" xfId="15850" xr:uid="{00000000-0005-0000-0000-0000E83D0000}"/>
    <cellStyle name="Normal 2 4 2 8 2 2" xfId="15851" xr:uid="{00000000-0005-0000-0000-0000E93D0000}"/>
    <cellStyle name="Normal 2 4 2 8 3" xfId="15852" xr:uid="{00000000-0005-0000-0000-0000EA3D0000}"/>
    <cellStyle name="Normal 2 4 2 9" xfId="15853" xr:uid="{00000000-0005-0000-0000-0000EB3D0000}"/>
    <cellStyle name="Normal 2 4 2 9 2" xfId="15854" xr:uid="{00000000-0005-0000-0000-0000EC3D0000}"/>
    <cellStyle name="Normal 2 4 3" xfId="15855" xr:uid="{00000000-0005-0000-0000-0000ED3D0000}"/>
    <cellStyle name="Normal 2 4 3 2" xfId="15856" xr:uid="{00000000-0005-0000-0000-0000EE3D0000}"/>
    <cellStyle name="Normal 2 4 4" xfId="15857" xr:uid="{00000000-0005-0000-0000-0000EF3D0000}"/>
    <cellStyle name="Normal 2 4 4 10" xfId="15858" xr:uid="{00000000-0005-0000-0000-0000F03D0000}"/>
    <cellStyle name="Normal 2 4 4 10 2" xfId="15859" xr:uid="{00000000-0005-0000-0000-0000F13D0000}"/>
    <cellStyle name="Normal 2 4 4 11" xfId="15860" xr:uid="{00000000-0005-0000-0000-0000F23D0000}"/>
    <cellStyle name="Normal 2 4 4 2" xfId="15861" xr:uid="{00000000-0005-0000-0000-0000F33D0000}"/>
    <cellStyle name="Normal 2 4 4 2 10" xfId="15862" xr:uid="{00000000-0005-0000-0000-0000F43D0000}"/>
    <cellStyle name="Normal 2 4 4 2 2" xfId="15863" xr:uid="{00000000-0005-0000-0000-0000F53D0000}"/>
    <cellStyle name="Normal 2 4 4 2 2 2" xfId="15864" xr:uid="{00000000-0005-0000-0000-0000F63D0000}"/>
    <cellStyle name="Normal 2 4 4 2 2 2 2" xfId="15865" xr:uid="{00000000-0005-0000-0000-0000F73D0000}"/>
    <cellStyle name="Normal 2 4 4 2 2 2 2 2" xfId="15866" xr:uid="{00000000-0005-0000-0000-0000F83D0000}"/>
    <cellStyle name="Normal 2 4 4 2 2 2 2 2 2" xfId="15867" xr:uid="{00000000-0005-0000-0000-0000F93D0000}"/>
    <cellStyle name="Normal 2 4 4 2 2 2 2 3" xfId="15868" xr:uid="{00000000-0005-0000-0000-0000FA3D0000}"/>
    <cellStyle name="Normal 2 4 4 2 2 2 2 3 2" xfId="15869" xr:uid="{00000000-0005-0000-0000-0000FB3D0000}"/>
    <cellStyle name="Normal 2 4 4 2 2 2 2 4" xfId="15870" xr:uid="{00000000-0005-0000-0000-0000FC3D0000}"/>
    <cellStyle name="Normal 2 4 4 2 2 2 3" xfId="15871" xr:uid="{00000000-0005-0000-0000-0000FD3D0000}"/>
    <cellStyle name="Normal 2 4 4 2 2 2 3 2" xfId="15872" xr:uid="{00000000-0005-0000-0000-0000FE3D0000}"/>
    <cellStyle name="Normal 2 4 4 2 2 2 4" xfId="15873" xr:uid="{00000000-0005-0000-0000-0000FF3D0000}"/>
    <cellStyle name="Normal 2 4 4 2 2 2 4 2" xfId="15874" xr:uid="{00000000-0005-0000-0000-0000003E0000}"/>
    <cellStyle name="Normal 2 4 4 2 2 2 5" xfId="15875" xr:uid="{00000000-0005-0000-0000-0000013E0000}"/>
    <cellStyle name="Normal 2 4 4 2 2 2 5 2" xfId="15876" xr:uid="{00000000-0005-0000-0000-0000023E0000}"/>
    <cellStyle name="Normal 2 4 4 2 2 2 6" xfId="15877" xr:uid="{00000000-0005-0000-0000-0000033E0000}"/>
    <cellStyle name="Normal 2 4 4 2 2 2 6 2" xfId="15878" xr:uid="{00000000-0005-0000-0000-0000043E0000}"/>
    <cellStyle name="Normal 2 4 4 2 2 2 7" xfId="15879" xr:uid="{00000000-0005-0000-0000-0000053E0000}"/>
    <cellStyle name="Normal 2 4 4 2 2 3" xfId="15880" xr:uid="{00000000-0005-0000-0000-0000063E0000}"/>
    <cellStyle name="Normal 2 4 4 2 2 3 2" xfId="15881" xr:uid="{00000000-0005-0000-0000-0000073E0000}"/>
    <cellStyle name="Normal 2 4 4 2 2 3 2 2" xfId="15882" xr:uid="{00000000-0005-0000-0000-0000083E0000}"/>
    <cellStyle name="Normal 2 4 4 2 2 3 3" xfId="15883" xr:uid="{00000000-0005-0000-0000-0000093E0000}"/>
    <cellStyle name="Normal 2 4 4 2 2 3 3 2" xfId="15884" xr:uid="{00000000-0005-0000-0000-00000A3E0000}"/>
    <cellStyle name="Normal 2 4 4 2 2 3 4" xfId="15885" xr:uid="{00000000-0005-0000-0000-00000B3E0000}"/>
    <cellStyle name="Normal 2 4 4 2 2 3 4 2" xfId="15886" xr:uid="{00000000-0005-0000-0000-00000C3E0000}"/>
    <cellStyle name="Normal 2 4 4 2 2 3 5" xfId="15887" xr:uid="{00000000-0005-0000-0000-00000D3E0000}"/>
    <cellStyle name="Normal 2 4 4 2 2 3 5 2" xfId="15888" xr:uid="{00000000-0005-0000-0000-00000E3E0000}"/>
    <cellStyle name="Normal 2 4 4 2 2 3 6" xfId="15889" xr:uid="{00000000-0005-0000-0000-00000F3E0000}"/>
    <cellStyle name="Normal 2 4 4 2 2 4" xfId="15890" xr:uid="{00000000-0005-0000-0000-0000103E0000}"/>
    <cellStyle name="Normal 2 4 4 2 2 4 2" xfId="15891" xr:uid="{00000000-0005-0000-0000-0000113E0000}"/>
    <cellStyle name="Normal 2 4 4 2 2 4 2 2" xfId="15892" xr:uid="{00000000-0005-0000-0000-0000123E0000}"/>
    <cellStyle name="Normal 2 4 4 2 2 4 3" xfId="15893" xr:uid="{00000000-0005-0000-0000-0000133E0000}"/>
    <cellStyle name="Normal 2 4 4 2 2 5" xfId="15894" xr:uid="{00000000-0005-0000-0000-0000143E0000}"/>
    <cellStyle name="Normal 2 4 4 2 2 5 2" xfId="15895" xr:uid="{00000000-0005-0000-0000-0000153E0000}"/>
    <cellStyle name="Normal 2 4 4 2 2 6" xfId="15896" xr:uid="{00000000-0005-0000-0000-0000163E0000}"/>
    <cellStyle name="Normal 2 4 4 2 2 6 2" xfId="15897" xr:uid="{00000000-0005-0000-0000-0000173E0000}"/>
    <cellStyle name="Normal 2 4 4 2 2 7" xfId="15898" xr:uid="{00000000-0005-0000-0000-0000183E0000}"/>
    <cellStyle name="Normal 2 4 4 2 2 7 2" xfId="15899" xr:uid="{00000000-0005-0000-0000-0000193E0000}"/>
    <cellStyle name="Normal 2 4 4 2 2 8" xfId="15900" xr:uid="{00000000-0005-0000-0000-00001A3E0000}"/>
    <cellStyle name="Normal 2 4 4 2 3" xfId="15901" xr:uid="{00000000-0005-0000-0000-00001B3E0000}"/>
    <cellStyle name="Normal 2 4 4 2 3 2" xfId="15902" xr:uid="{00000000-0005-0000-0000-00001C3E0000}"/>
    <cellStyle name="Normal 2 4 4 2 3 2 2" xfId="15903" xr:uid="{00000000-0005-0000-0000-00001D3E0000}"/>
    <cellStyle name="Normal 2 4 4 2 3 2 2 2" xfId="15904" xr:uid="{00000000-0005-0000-0000-00001E3E0000}"/>
    <cellStyle name="Normal 2 4 4 2 3 2 2 2 2" xfId="15905" xr:uid="{00000000-0005-0000-0000-00001F3E0000}"/>
    <cellStyle name="Normal 2 4 4 2 3 2 2 3" xfId="15906" xr:uid="{00000000-0005-0000-0000-0000203E0000}"/>
    <cellStyle name="Normal 2 4 4 2 3 2 2 3 2" xfId="15907" xr:uid="{00000000-0005-0000-0000-0000213E0000}"/>
    <cellStyle name="Normal 2 4 4 2 3 2 2 4" xfId="15908" xr:uid="{00000000-0005-0000-0000-0000223E0000}"/>
    <cellStyle name="Normal 2 4 4 2 3 2 3" xfId="15909" xr:uid="{00000000-0005-0000-0000-0000233E0000}"/>
    <cellStyle name="Normal 2 4 4 2 3 2 3 2" xfId="15910" xr:uid="{00000000-0005-0000-0000-0000243E0000}"/>
    <cellStyle name="Normal 2 4 4 2 3 2 4" xfId="15911" xr:uid="{00000000-0005-0000-0000-0000253E0000}"/>
    <cellStyle name="Normal 2 4 4 2 3 2 4 2" xfId="15912" xr:uid="{00000000-0005-0000-0000-0000263E0000}"/>
    <cellStyle name="Normal 2 4 4 2 3 2 5" xfId="15913" xr:uid="{00000000-0005-0000-0000-0000273E0000}"/>
    <cellStyle name="Normal 2 4 4 2 3 2 5 2" xfId="15914" xr:uid="{00000000-0005-0000-0000-0000283E0000}"/>
    <cellStyle name="Normal 2 4 4 2 3 2 6" xfId="15915" xr:uid="{00000000-0005-0000-0000-0000293E0000}"/>
    <cellStyle name="Normal 2 4 4 2 3 2 6 2" xfId="15916" xr:uid="{00000000-0005-0000-0000-00002A3E0000}"/>
    <cellStyle name="Normal 2 4 4 2 3 2 7" xfId="15917" xr:uid="{00000000-0005-0000-0000-00002B3E0000}"/>
    <cellStyle name="Normal 2 4 4 2 3 3" xfId="15918" xr:uid="{00000000-0005-0000-0000-00002C3E0000}"/>
    <cellStyle name="Normal 2 4 4 2 3 3 2" xfId="15919" xr:uid="{00000000-0005-0000-0000-00002D3E0000}"/>
    <cellStyle name="Normal 2 4 4 2 3 3 2 2" xfId="15920" xr:uid="{00000000-0005-0000-0000-00002E3E0000}"/>
    <cellStyle name="Normal 2 4 4 2 3 3 3" xfId="15921" xr:uid="{00000000-0005-0000-0000-00002F3E0000}"/>
    <cellStyle name="Normal 2 4 4 2 3 3 3 2" xfId="15922" xr:uid="{00000000-0005-0000-0000-0000303E0000}"/>
    <cellStyle name="Normal 2 4 4 2 3 3 4" xfId="15923" xr:uid="{00000000-0005-0000-0000-0000313E0000}"/>
    <cellStyle name="Normal 2 4 4 2 3 3 4 2" xfId="15924" xr:uid="{00000000-0005-0000-0000-0000323E0000}"/>
    <cellStyle name="Normal 2 4 4 2 3 3 5" xfId="15925" xr:uid="{00000000-0005-0000-0000-0000333E0000}"/>
    <cellStyle name="Normal 2 4 4 2 3 3 5 2" xfId="15926" xr:uid="{00000000-0005-0000-0000-0000343E0000}"/>
    <cellStyle name="Normal 2 4 4 2 3 3 6" xfId="15927" xr:uid="{00000000-0005-0000-0000-0000353E0000}"/>
    <cellStyle name="Normal 2 4 4 2 3 4" xfId="15928" xr:uid="{00000000-0005-0000-0000-0000363E0000}"/>
    <cellStyle name="Normal 2 4 4 2 3 4 2" xfId="15929" xr:uid="{00000000-0005-0000-0000-0000373E0000}"/>
    <cellStyle name="Normal 2 4 4 2 3 4 2 2" xfId="15930" xr:uid="{00000000-0005-0000-0000-0000383E0000}"/>
    <cellStyle name="Normal 2 4 4 2 3 4 3" xfId="15931" xr:uid="{00000000-0005-0000-0000-0000393E0000}"/>
    <cellStyle name="Normal 2 4 4 2 3 5" xfId="15932" xr:uid="{00000000-0005-0000-0000-00003A3E0000}"/>
    <cellStyle name="Normal 2 4 4 2 3 5 2" xfId="15933" xr:uid="{00000000-0005-0000-0000-00003B3E0000}"/>
    <cellStyle name="Normal 2 4 4 2 3 6" xfId="15934" xr:uid="{00000000-0005-0000-0000-00003C3E0000}"/>
    <cellStyle name="Normal 2 4 4 2 3 6 2" xfId="15935" xr:uid="{00000000-0005-0000-0000-00003D3E0000}"/>
    <cellStyle name="Normal 2 4 4 2 3 7" xfId="15936" xr:uid="{00000000-0005-0000-0000-00003E3E0000}"/>
    <cellStyle name="Normal 2 4 4 2 3 7 2" xfId="15937" xr:uid="{00000000-0005-0000-0000-00003F3E0000}"/>
    <cellStyle name="Normal 2 4 4 2 3 8" xfId="15938" xr:uid="{00000000-0005-0000-0000-0000403E0000}"/>
    <cellStyle name="Normal 2 4 4 2 4" xfId="15939" xr:uid="{00000000-0005-0000-0000-0000413E0000}"/>
    <cellStyle name="Normal 2 4 4 2 4 2" xfId="15940" xr:uid="{00000000-0005-0000-0000-0000423E0000}"/>
    <cellStyle name="Normal 2 4 4 2 4 2 2" xfId="15941" xr:uid="{00000000-0005-0000-0000-0000433E0000}"/>
    <cellStyle name="Normal 2 4 4 2 4 2 2 2" xfId="15942" xr:uid="{00000000-0005-0000-0000-0000443E0000}"/>
    <cellStyle name="Normal 2 4 4 2 4 2 3" xfId="15943" xr:uid="{00000000-0005-0000-0000-0000453E0000}"/>
    <cellStyle name="Normal 2 4 4 2 4 2 3 2" xfId="15944" xr:uid="{00000000-0005-0000-0000-0000463E0000}"/>
    <cellStyle name="Normal 2 4 4 2 4 2 4" xfId="15945" xr:uid="{00000000-0005-0000-0000-0000473E0000}"/>
    <cellStyle name="Normal 2 4 4 2 4 3" xfId="15946" xr:uid="{00000000-0005-0000-0000-0000483E0000}"/>
    <cellStyle name="Normal 2 4 4 2 4 3 2" xfId="15947" xr:uid="{00000000-0005-0000-0000-0000493E0000}"/>
    <cellStyle name="Normal 2 4 4 2 4 4" xfId="15948" xr:uid="{00000000-0005-0000-0000-00004A3E0000}"/>
    <cellStyle name="Normal 2 4 4 2 4 4 2" xfId="15949" xr:uid="{00000000-0005-0000-0000-00004B3E0000}"/>
    <cellStyle name="Normal 2 4 4 2 4 5" xfId="15950" xr:uid="{00000000-0005-0000-0000-00004C3E0000}"/>
    <cellStyle name="Normal 2 4 4 2 4 5 2" xfId="15951" xr:uid="{00000000-0005-0000-0000-00004D3E0000}"/>
    <cellStyle name="Normal 2 4 4 2 4 6" xfId="15952" xr:uid="{00000000-0005-0000-0000-00004E3E0000}"/>
    <cellStyle name="Normal 2 4 4 2 4 6 2" xfId="15953" xr:uid="{00000000-0005-0000-0000-00004F3E0000}"/>
    <cellStyle name="Normal 2 4 4 2 4 7" xfId="15954" xr:uid="{00000000-0005-0000-0000-0000503E0000}"/>
    <cellStyle name="Normal 2 4 4 2 5" xfId="15955" xr:uid="{00000000-0005-0000-0000-0000513E0000}"/>
    <cellStyle name="Normal 2 4 4 2 5 2" xfId="15956" xr:uid="{00000000-0005-0000-0000-0000523E0000}"/>
    <cellStyle name="Normal 2 4 4 2 5 2 2" xfId="15957" xr:uid="{00000000-0005-0000-0000-0000533E0000}"/>
    <cellStyle name="Normal 2 4 4 2 5 3" xfId="15958" xr:uid="{00000000-0005-0000-0000-0000543E0000}"/>
    <cellStyle name="Normal 2 4 4 2 5 3 2" xfId="15959" xr:uid="{00000000-0005-0000-0000-0000553E0000}"/>
    <cellStyle name="Normal 2 4 4 2 5 4" xfId="15960" xr:uid="{00000000-0005-0000-0000-0000563E0000}"/>
    <cellStyle name="Normal 2 4 4 2 5 4 2" xfId="15961" xr:uid="{00000000-0005-0000-0000-0000573E0000}"/>
    <cellStyle name="Normal 2 4 4 2 5 5" xfId="15962" xr:uid="{00000000-0005-0000-0000-0000583E0000}"/>
    <cellStyle name="Normal 2 4 4 2 5 5 2" xfId="15963" xr:uid="{00000000-0005-0000-0000-0000593E0000}"/>
    <cellStyle name="Normal 2 4 4 2 5 6" xfId="15964" xr:uid="{00000000-0005-0000-0000-00005A3E0000}"/>
    <cellStyle name="Normal 2 4 4 2 6" xfId="15965" xr:uid="{00000000-0005-0000-0000-00005B3E0000}"/>
    <cellStyle name="Normal 2 4 4 2 6 2" xfId="15966" xr:uid="{00000000-0005-0000-0000-00005C3E0000}"/>
    <cellStyle name="Normal 2 4 4 2 6 2 2" xfId="15967" xr:uid="{00000000-0005-0000-0000-00005D3E0000}"/>
    <cellStyle name="Normal 2 4 4 2 6 3" xfId="15968" xr:uid="{00000000-0005-0000-0000-00005E3E0000}"/>
    <cellStyle name="Normal 2 4 4 2 7" xfId="15969" xr:uid="{00000000-0005-0000-0000-00005F3E0000}"/>
    <cellStyle name="Normal 2 4 4 2 7 2" xfId="15970" xr:uid="{00000000-0005-0000-0000-0000603E0000}"/>
    <cellStyle name="Normal 2 4 4 2 8" xfId="15971" xr:uid="{00000000-0005-0000-0000-0000613E0000}"/>
    <cellStyle name="Normal 2 4 4 2 8 2" xfId="15972" xr:uid="{00000000-0005-0000-0000-0000623E0000}"/>
    <cellStyle name="Normal 2 4 4 2 9" xfId="15973" xr:uid="{00000000-0005-0000-0000-0000633E0000}"/>
    <cellStyle name="Normal 2 4 4 2 9 2" xfId="15974" xr:uid="{00000000-0005-0000-0000-0000643E0000}"/>
    <cellStyle name="Normal 2 4 4 3" xfId="15975" xr:uid="{00000000-0005-0000-0000-0000653E0000}"/>
    <cellStyle name="Normal 2 4 4 3 2" xfId="15976" xr:uid="{00000000-0005-0000-0000-0000663E0000}"/>
    <cellStyle name="Normal 2 4 4 3 2 2" xfId="15977" xr:uid="{00000000-0005-0000-0000-0000673E0000}"/>
    <cellStyle name="Normal 2 4 4 3 2 2 2" xfId="15978" xr:uid="{00000000-0005-0000-0000-0000683E0000}"/>
    <cellStyle name="Normal 2 4 4 3 2 2 2 2" xfId="15979" xr:uid="{00000000-0005-0000-0000-0000693E0000}"/>
    <cellStyle name="Normal 2 4 4 3 2 2 3" xfId="15980" xr:uid="{00000000-0005-0000-0000-00006A3E0000}"/>
    <cellStyle name="Normal 2 4 4 3 2 2 3 2" xfId="15981" xr:uid="{00000000-0005-0000-0000-00006B3E0000}"/>
    <cellStyle name="Normal 2 4 4 3 2 2 4" xfId="15982" xr:uid="{00000000-0005-0000-0000-00006C3E0000}"/>
    <cellStyle name="Normal 2 4 4 3 2 3" xfId="15983" xr:uid="{00000000-0005-0000-0000-00006D3E0000}"/>
    <cellStyle name="Normal 2 4 4 3 2 3 2" xfId="15984" xr:uid="{00000000-0005-0000-0000-00006E3E0000}"/>
    <cellStyle name="Normal 2 4 4 3 2 4" xfId="15985" xr:uid="{00000000-0005-0000-0000-00006F3E0000}"/>
    <cellStyle name="Normal 2 4 4 3 2 4 2" xfId="15986" xr:uid="{00000000-0005-0000-0000-0000703E0000}"/>
    <cellStyle name="Normal 2 4 4 3 2 5" xfId="15987" xr:uid="{00000000-0005-0000-0000-0000713E0000}"/>
    <cellStyle name="Normal 2 4 4 3 2 5 2" xfId="15988" xr:uid="{00000000-0005-0000-0000-0000723E0000}"/>
    <cellStyle name="Normal 2 4 4 3 2 6" xfId="15989" xr:uid="{00000000-0005-0000-0000-0000733E0000}"/>
    <cellStyle name="Normal 2 4 4 3 2 6 2" xfId="15990" xr:uid="{00000000-0005-0000-0000-0000743E0000}"/>
    <cellStyle name="Normal 2 4 4 3 2 7" xfId="15991" xr:uid="{00000000-0005-0000-0000-0000753E0000}"/>
    <cellStyle name="Normal 2 4 4 3 3" xfId="15992" xr:uid="{00000000-0005-0000-0000-0000763E0000}"/>
    <cellStyle name="Normal 2 4 4 3 3 2" xfId="15993" xr:uid="{00000000-0005-0000-0000-0000773E0000}"/>
    <cellStyle name="Normal 2 4 4 3 3 2 2" xfId="15994" xr:uid="{00000000-0005-0000-0000-0000783E0000}"/>
    <cellStyle name="Normal 2 4 4 3 3 3" xfId="15995" xr:uid="{00000000-0005-0000-0000-0000793E0000}"/>
    <cellStyle name="Normal 2 4 4 3 3 3 2" xfId="15996" xr:uid="{00000000-0005-0000-0000-00007A3E0000}"/>
    <cellStyle name="Normal 2 4 4 3 3 4" xfId="15997" xr:uid="{00000000-0005-0000-0000-00007B3E0000}"/>
    <cellStyle name="Normal 2 4 4 3 3 4 2" xfId="15998" xr:uid="{00000000-0005-0000-0000-00007C3E0000}"/>
    <cellStyle name="Normal 2 4 4 3 3 5" xfId="15999" xr:uid="{00000000-0005-0000-0000-00007D3E0000}"/>
    <cellStyle name="Normal 2 4 4 3 3 5 2" xfId="16000" xr:uid="{00000000-0005-0000-0000-00007E3E0000}"/>
    <cellStyle name="Normal 2 4 4 3 3 6" xfId="16001" xr:uid="{00000000-0005-0000-0000-00007F3E0000}"/>
    <cellStyle name="Normal 2 4 4 3 4" xfId="16002" xr:uid="{00000000-0005-0000-0000-0000803E0000}"/>
    <cellStyle name="Normal 2 4 4 3 4 2" xfId="16003" xr:uid="{00000000-0005-0000-0000-0000813E0000}"/>
    <cellStyle name="Normal 2 4 4 3 4 2 2" xfId="16004" xr:uid="{00000000-0005-0000-0000-0000823E0000}"/>
    <cellStyle name="Normal 2 4 4 3 4 3" xfId="16005" xr:uid="{00000000-0005-0000-0000-0000833E0000}"/>
    <cellStyle name="Normal 2 4 4 3 5" xfId="16006" xr:uid="{00000000-0005-0000-0000-0000843E0000}"/>
    <cellStyle name="Normal 2 4 4 3 5 2" xfId="16007" xr:uid="{00000000-0005-0000-0000-0000853E0000}"/>
    <cellStyle name="Normal 2 4 4 3 6" xfId="16008" xr:uid="{00000000-0005-0000-0000-0000863E0000}"/>
    <cellStyle name="Normal 2 4 4 3 6 2" xfId="16009" xr:uid="{00000000-0005-0000-0000-0000873E0000}"/>
    <cellStyle name="Normal 2 4 4 3 7" xfId="16010" xr:uid="{00000000-0005-0000-0000-0000883E0000}"/>
    <cellStyle name="Normal 2 4 4 3 7 2" xfId="16011" xr:uid="{00000000-0005-0000-0000-0000893E0000}"/>
    <cellStyle name="Normal 2 4 4 3 8" xfId="16012" xr:uid="{00000000-0005-0000-0000-00008A3E0000}"/>
    <cellStyle name="Normal 2 4 4 4" xfId="16013" xr:uid="{00000000-0005-0000-0000-00008B3E0000}"/>
    <cellStyle name="Normal 2 4 4 4 2" xfId="16014" xr:uid="{00000000-0005-0000-0000-00008C3E0000}"/>
    <cellStyle name="Normal 2 4 4 4 2 2" xfId="16015" xr:uid="{00000000-0005-0000-0000-00008D3E0000}"/>
    <cellStyle name="Normal 2 4 4 4 2 2 2" xfId="16016" xr:uid="{00000000-0005-0000-0000-00008E3E0000}"/>
    <cellStyle name="Normal 2 4 4 4 2 2 2 2" xfId="16017" xr:uid="{00000000-0005-0000-0000-00008F3E0000}"/>
    <cellStyle name="Normal 2 4 4 4 2 2 3" xfId="16018" xr:uid="{00000000-0005-0000-0000-0000903E0000}"/>
    <cellStyle name="Normal 2 4 4 4 2 2 3 2" xfId="16019" xr:uid="{00000000-0005-0000-0000-0000913E0000}"/>
    <cellStyle name="Normal 2 4 4 4 2 2 4" xfId="16020" xr:uid="{00000000-0005-0000-0000-0000923E0000}"/>
    <cellStyle name="Normal 2 4 4 4 2 3" xfId="16021" xr:uid="{00000000-0005-0000-0000-0000933E0000}"/>
    <cellStyle name="Normal 2 4 4 4 2 3 2" xfId="16022" xr:uid="{00000000-0005-0000-0000-0000943E0000}"/>
    <cellStyle name="Normal 2 4 4 4 2 4" xfId="16023" xr:uid="{00000000-0005-0000-0000-0000953E0000}"/>
    <cellStyle name="Normal 2 4 4 4 2 4 2" xfId="16024" xr:uid="{00000000-0005-0000-0000-0000963E0000}"/>
    <cellStyle name="Normal 2 4 4 4 2 5" xfId="16025" xr:uid="{00000000-0005-0000-0000-0000973E0000}"/>
    <cellStyle name="Normal 2 4 4 4 2 5 2" xfId="16026" xr:uid="{00000000-0005-0000-0000-0000983E0000}"/>
    <cellStyle name="Normal 2 4 4 4 2 6" xfId="16027" xr:uid="{00000000-0005-0000-0000-0000993E0000}"/>
    <cellStyle name="Normal 2 4 4 4 2 6 2" xfId="16028" xr:uid="{00000000-0005-0000-0000-00009A3E0000}"/>
    <cellStyle name="Normal 2 4 4 4 2 7" xfId="16029" xr:uid="{00000000-0005-0000-0000-00009B3E0000}"/>
    <cellStyle name="Normal 2 4 4 4 3" xfId="16030" xr:uid="{00000000-0005-0000-0000-00009C3E0000}"/>
    <cellStyle name="Normal 2 4 4 4 3 2" xfId="16031" xr:uid="{00000000-0005-0000-0000-00009D3E0000}"/>
    <cellStyle name="Normal 2 4 4 4 3 2 2" xfId="16032" xr:uid="{00000000-0005-0000-0000-00009E3E0000}"/>
    <cellStyle name="Normal 2 4 4 4 3 3" xfId="16033" xr:uid="{00000000-0005-0000-0000-00009F3E0000}"/>
    <cellStyle name="Normal 2 4 4 4 3 3 2" xfId="16034" xr:uid="{00000000-0005-0000-0000-0000A03E0000}"/>
    <cellStyle name="Normal 2 4 4 4 3 4" xfId="16035" xr:uid="{00000000-0005-0000-0000-0000A13E0000}"/>
    <cellStyle name="Normal 2 4 4 4 3 4 2" xfId="16036" xr:uid="{00000000-0005-0000-0000-0000A23E0000}"/>
    <cellStyle name="Normal 2 4 4 4 3 5" xfId="16037" xr:uid="{00000000-0005-0000-0000-0000A33E0000}"/>
    <cellStyle name="Normal 2 4 4 4 3 5 2" xfId="16038" xr:uid="{00000000-0005-0000-0000-0000A43E0000}"/>
    <cellStyle name="Normal 2 4 4 4 3 6" xfId="16039" xr:uid="{00000000-0005-0000-0000-0000A53E0000}"/>
    <cellStyle name="Normal 2 4 4 4 4" xfId="16040" xr:uid="{00000000-0005-0000-0000-0000A63E0000}"/>
    <cellStyle name="Normal 2 4 4 4 4 2" xfId="16041" xr:uid="{00000000-0005-0000-0000-0000A73E0000}"/>
    <cellStyle name="Normal 2 4 4 4 4 2 2" xfId="16042" xr:uid="{00000000-0005-0000-0000-0000A83E0000}"/>
    <cellStyle name="Normal 2 4 4 4 4 3" xfId="16043" xr:uid="{00000000-0005-0000-0000-0000A93E0000}"/>
    <cellStyle name="Normal 2 4 4 4 5" xfId="16044" xr:uid="{00000000-0005-0000-0000-0000AA3E0000}"/>
    <cellStyle name="Normal 2 4 4 4 5 2" xfId="16045" xr:uid="{00000000-0005-0000-0000-0000AB3E0000}"/>
    <cellStyle name="Normal 2 4 4 4 6" xfId="16046" xr:uid="{00000000-0005-0000-0000-0000AC3E0000}"/>
    <cellStyle name="Normal 2 4 4 4 6 2" xfId="16047" xr:uid="{00000000-0005-0000-0000-0000AD3E0000}"/>
    <cellStyle name="Normal 2 4 4 4 7" xfId="16048" xr:uid="{00000000-0005-0000-0000-0000AE3E0000}"/>
    <cellStyle name="Normal 2 4 4 4 7 2" xfId="16049" xr:uid="{00000000-0005-0000-0000-0000AF3E0000}"/>
    <cellStyle name="Normal 2 4 4 4 8" xfId="16050" xr:uid="{00000000-0005-0000-0000-0000B03E0000}"/>
    <cellStyle name="Normal 2 4 4 5" xfId="16051" xr:uid="{00000000-0005-0000-0000-0000B13E0000}"/>
    <cellStyle name="Normal 2 4 4 5 2" xfId="16052" xr:uid="{00000000-0005-0000-0000-0000B23E0000}"/>
    <cellStyle name="Normal 2 4 4 5 2 2" xfId="16053" xr:uid="{00000000-0005-0000-0000-0000B33E0000}"/>
    <cellStyle name="Normal 2 4 4 5 2 2 2" xfId="16054" xr:uid="{00000000-0005-0000-0000-0000B43E0000}"/>
    <cellStyle name="Normal 2 4 4 5 2 3" xfId="16055" xr:uid="{00000000-0005-0000-0000-0000B53E0000}"/>
    <cellStyle name="Normal 2 4 4 5 2 3 2" xfId="16056" xr:uid="{00000000-0005-0000-0000-0000B63E0000}"/>
    <cellStyle name="Normal 2 4 4 5 2 4" xfId="16057" xr:uid="{00000000-0005-0000-0000-0000B73E0000}"/>
    <cellStyle name="Normal 2 4 4 5 3" xfId="16058" xr:uid="{00000000-0005-0000-0000-0000B83E0000}"/>
    <cellStyle name="Normal 2 4 4 5 3 2" xfId="16059" xr:uid="{00000000-0005-0000-0000-0000B93E0000}"/>
    <cellStyle name="Normal 2 4 4 5 4" xfId="16060" xr:uid="{00000000-0005-0000-0000-0000BA3E0000}"/>
    <cellStyle name="Normal 2 4 4 5 4 2" xfId="16061" xr:uid="{00000000-0005-0000-0000-0000BB3E0000}"/>
    <cellStyle name="Normal 2 4 4 5 5" xfId="16062" xr:uid="{00000000-0005-0000-0000-0000BC3E0000}"/>
    <cellStyle name="Normal 2 4 4 5 5 2" xfId="16063" xr:uid="{00000000-0005-0000-0000-0000BD3E0000}"/>
    <cellStyle name="Normal 2 4 4 5 6" xfId="16064" xr:uid="{00000000-0005-0000-0000-0000BE3E0000}"/>
    <cellStyle name="Normal 2 4 4 5 6 2" xfId="16065" xr:uid="{00000000-0005-0000-0000-0000BF3E0000}"/>
    <cellStyle name="Normal 2 4 4 5 7" xfId="16066" xr:uid="{00000000-0005-0000-0000-0000C03E0000}"/>
    <cellStyle name="Normal 2 4 4 6" xfId="16067" xr:uid="{00000000-0005-0000-0000-0000C13E0000}"/>
    <cellStyle name="Normal 2 4 4 6 2" xfId="16068" xr:uid="{00000000-0005-0000-0000-0000C23E0000}"/>
    <cellStyle name="Normal 2 4 4 6 2 2" xfId="16069" xr:uid="{00000000-0005-0000-0000-0000C33E0000}"/>
    <cellStyle name="Normal 2 4 4 6 3" xfId="16070" xr:uid="{00000000-0005-0000-0000-0000C43E0000}"/>
    <cellStyle name="Normal 2 4 4 6 3 2" xfId="16071" xr:uid="{00000000-0005-0000-0000-0000C53E0000}"/>
    <cellStyle name="Normal 2 4 4 6 4" xfId="16072" xr:uid="{00000000-0005-0000-0000-0000C63E0000}"/>
    <cellStyle name="Normal 2 4 4 6 4 2" xfId="16073" xr:uid="{00000000-0005-0000-0000-0000C73E0000}"/>
    <cellStyle name="Normal 2 4 4 6 5" xfId="16074" xr:uid="{00000000-0005-0000-0000-0000C83E0000}"/>
    <cellStyle name="Normal 2 4 4 6 5 2" xfId="16075" xr:uid="{00000000-0005-0000-0000-0000C93E0000}"/>
    <cellStyle name="Normal 2 4 4 6 6" xfId="16076" xr:uid="{00000000-0005-0000-0000-0000CA3E0000}"/>
    <cellStyle name="Normal 2 4 4 7" xfId="16077" xr:uid="{00000000-0005-0000-0000-0000CB3E0000}"/>
    <cellStyle name="Normal 2 4 4 7 2" xfId="16078" xr:uid="{00000000-0005-0000-0000-0000CC3E0000}"/>
    <cellStyle name="Normal 2 4 4 7 2 2" xfId="16079" xr:uid="{00000000-0005-0000-0000-0000CD3E0000}"/>
    <cellStyle name="Normal 2 4 4 7 3" xfId="16080" xr:uid="{00000000-0005-0000-0000-0000CE3E0000}"/>
    <cellStyle name="Normal 2 4 4 8" xfId="16081" xr:uid="{00000000-0005-0000-0000-0000CF3E0000}"/>
    <cellStyle name="Normal 2 4 4 8 2" xfId="16082" xr:uid="{00000000-0005-0000-0000-0000D03E0000}"/>
    <cellStyle name="Normal 2 4 4 9" xfId="16083" xr:uid="{00000000-0005-0000-0000-0000D13E0000}"/>
    <cellStyle name="Normal 2 4 4 9 2" xfId="16084" xr:uid="{00000000-0005-0000-0000-0000D23E0000}"/>
    <cellStyle name="Normal 2 4 5" xfId="16085" xr:uid="{00000000-0005-0000-0000-0000D33E0000}"/>
    <cellStyle name="Normal 2 4 5 10" xfId="16086" xr:uid="{00000000-0005-0000-0000-0000D43E0000}"/>
    <cellStyle name="Normal 2 4 5 2" xfId="16087" xr:uid="{00000000-0005-0000-0000-0000D53E0000}"/>
    <cellStyle name="Normal 2 4 5 2 2" xfId="16088" xr:uid="{00000000-0005-0000-0000-0000D63E0000}"/>
    <cellStyle name="Normal 2 4 5 2 2 2" xfId="16089" xr:uid="{00000000-0005-0000-0000-0000D73E0000}"/>
    <cellStyle name="Normal 2 4 5 2 2 2 2" xfId="16090" xr:uid="{00000000-0005-0000-0000-0000D83E0000}"/>
    <cellStyle name="Normal 2 4 5 2 2 2 2 2" xfId="16091" xr:uid="{00000000-0005-0000-0000-0000D93E0000}"/>
    <cellStyle name="Normal 2 4 5 2 2 2 3" xfId="16092" xr:uid="{00000000-0005-0000-0000-0000DA3E0000}"/>
    <cellStyle name="Normal 2 4 5 2 2 2 3 2" xfId="16093" xr:uid="{00000000-0005-0000-0000-0000DB3E0000}"/>
    <cellStyle name="Normal 2 4 5 2 2 2 4" xfId="16094" xr:uid="{00000000-0005-0000-0000-0000DC3E0000}"/>
    <cellStyle name="Normal 2 4 5 2 2 3" xfId="16095" xr:uid="{00000000-0005-0000-0000-0000DD3E0000}"/>
    <cellStyle name="Normal 2 4 5 2 2 3 2" xfId="16096" xr:uid="{00000000-0005-0000-0000-0000DE3E0000}"/>
    <cellStyle name="Normal 2 4 5 2 2 4" xfId="16097" xr:uid="{00000000-0005-0000-0000-0000DF3E0000}"/>
    <cellStyle name="Normal 2 4 5 2 2 4 2" xfId="16098" xr:uid="{00000000-0005-0000-0000-0000E03E0000}"/>
    <cellStyle name="Normal 2 4 5 2 2 5" xfId="16099" xr:uid="{00000000-0005-0000-0000-0000E13E0000}"/>
    <cellStyle name="Normal 2 4 5 2 2 5 2" xfId="16100" xr:uid="{00000000-0005-0000-0000-0000E23E0000}"/>
    <cellStyle name="Normal 2 4 5 2 2 6" xfId="16101" xr:uid="{00000000-0005-0000-0000-0000E33E0000}"/>
    <cellStyle name="Normal 2 4 5 2 2 6 2" xfId="16102" xr:uid="{00000000-0005-0000-0000-0000E43E0000}"/>
    <cellStyle name="Normal 2 4 5 2 2 7" xfId="16103" xr:uid="{00000000-0005-0000-0000-0000E53E0000}"/>
    <cellStyle name="Normal 2 4 5 2 3" xfId="16104" xr:uid="{00000000-0005-0000-0000-0000E63E0000}"/>
    <cellStyle name="Normal 2 4 5 2 3 2" xfId="16105" xr:uid="{00000000-0005-0000-0000-0000E73E0000}"/>
    <cellStyle name="Normal 2 4 5 2 3 2 2" xfId="16106" xr:uid="{00000000-0005-0000-0000-0000E83E0000}"/>
    <cellStyle name="Normal 2 4 5 2 3 3" xfId="16107" xr:uid="{00000000-0005-0000-0000-0000E93E0000}"/>
    <cellStyle name="Normal 2 4 5 2 3 3 2" xfId="16108" xr:uid="{00000000-0005-0000-0000-0000EA3E0000}"/>
    <cellStyle name="Normal 2 4 5 2 3 4" xfId="16109" xr:uid="{00000000-0005-0000-0000-0000EB3E0000}"/>
    <cellStyle name="Normal 2 4 5 2 3 4 2" xfId="16110" xr:uid="{00000000-0005-0000-0000-0000EC3E0000}"/>
    <cellStyle name="Normal 2 4 5 2 3 5" xfId="16111" xr:uid="{00000000-0005-0000-0000-0000ED3E0000}"/>
    <cellStyle name="Normal 2 4 5 2 3 5 2" xfId="16112" xr:uid="{00000000-0005-0000-0000-0000EE3E0000}"/>
    <cellStyle name="Normal 2 4 5 2 3 6" xfId="16113" xr:uid="{00000000-0005-0000-0000-0000EF3E0000}"/>
    <cellStyle name="Normal 2 4 5 2 4" xfId="16114" xr:uid="{00000000-0005-0000-0000-0000F03E0000}"/>
    <cellStyle name="Normal 2 4 5 2 4 2" xfId="16115" xr:uid="{00000000-0005-0000-0000-0000F13E0000}"/>
    <cellStyle name="Normal 2 4 5 2 4 2 2" xfId="16116" xr:uid="{00000000-0005-0000-0000-0000F23E0000}"/>
    <cellStyle name="Normal 2 4 5 2 4 3" xfId="16117" xr:uid="{00000000-0005-0000-0000-0000F33E0000}"/>
    <cellStyle name="Normal 2 4 5 2 5" xfId="16118" xr:uid="{00000000-0005-0000-0000-0000F43E0000}"/>
    <cellStyle name="Normal 2 4 5 2 5 2" xfId="16119" xr:uid="{00000000-0005-0000-0000-0000F53E0000}"/>
    <cellStyle name="Normal 2 4 5 2 6" xfId="16120" xr:uid="{00000000-0005-0000-0000-0000F63E0000}"/>
    <cellStyle name="Normal 2 4 5 2 6 2" xfId="16121" xr:uid="{00000000-0005-0000-0000-0000F73E0000}"/>
    <cellStyle name="Normal 2 4 5 2 7" xfId="16122" xr:uid="{00000000-0005-0000-0000-0000F83E0000}"/>
    <cellStyle name="Normal 2 4 5 2 7 2" xfId="16123" xr:uid="{00000000-0005-0000-0000-0000F93E0000}"/>
    <cellStyle name="Normal 2 4 5 2 8" xfId="16124" xr:uid="{00000000-0005-0000-0000-0000FA3E0000}"/>
    <cellStyle name="Normal 2 4 5 3" xfId="16125" xr:uid="{00000000-0005-0000-0000-0000FB3E0000}"/>
    <cellStyle name="Normal 2 4 5 3 2" xfId="16126" xr:uid="{00000000-0005-0000-0000-0000FC3E0000}"/>
    <cellStyle name="Normal 2 4 5 3 2 2" xfId="16127" xr:uid="{00000000-0005-0000-0000-0000FD3E0000}"/>
    <cellStyle name="Normal 2 4 5 3 2 2 2" xfId="16128" xr:uid="{00000000-0005-0000-0000-0000FE3E0000}"/>
    <cellStyle name="Normal 2 4 5 3 2 2 2 2" xfId="16129" xr:uid="{00000000-0005-0000-0000-0000FF3E0000}"/>
    <cellStyle name="Normal 2 4 5 3 2 2 3" xfId="16130" xr:uid="{00000000-0005-0000-0000-0000003F0000}"/>
    <cellStyle name="Normal 2 4 5 3 2 2 3 2" xfId="16131" xr:uid="{00000000-0005-0000-0000-0000013F0000}"/>
    <cellStyle name="Normal 2 4 5 3 2 2 4" xfId="16132" xr:uid="{00000000-0005-0000-0000-0000023F0000}"/>
    <cellStyle name="Normal 2 4 5 3 2 3" xfId="16133" xr:uid="{00000000-0005-0000-0000-0000033F0000}"/>
    <cellStyle name="Normal 2 4 5 3 2 3 2" xfId="16134" xr:uid="{00000000-0005-0000-0000-0000043F0000}"/>
    <cellStyle name="Normal 2 4 5 3 2 4" xfId="16135" xr:uid="{00000000-0005-0000-0000-0000053F0000}"/>
    <cellStyle name="Normal 2 4 5 3 2 4 2" xfId="16136" xr:uid="{00000000-0005-0000-0000-0000063F0000}"/>
    <cellStyle name="Normal 2 4 5 3 2 5" xfId="16137" xr:uid="{00000000-0005-0000-0000-0000073F0000}"/>
    <cellStyle name="Normal 2 4 5 3 2 5 2" xfId="16138" xr:uid="{00000000-0005-0000-0000-0000083F0000}"/>
    <cellStyle name="Normal 2 4 5 3 2 6" xfId="16139" xr:uid="{00000000-0005-0000-0000-0000093F0000}"/>
    <cellStyle name="Normal 2 4 5 3 2 6 2" xfId="16140" xr:uid="{00000000-0005-0000-0000-00000A3F0000}"/>
    <cellStyle name="Normal 2 4 5 3 2 7" xfId="16141" xr:uid="{00000000-0005-0000-0000-00000B3F0000}"/>
    <cellStyle name="Normal 2 4 5 3 3" xfId="16142" xr:uid="{00000000-0005-0000-0000-00000C3F0000}"/>
    <cellStyle name="Normal 2 4 5 3 3 2" xfId="16143" xr:uid="{00000000-0005-0000-0000-00000D3F0000}"/>
    <cellStyle name="Normal 2 4 5 3 3 2 2" xfId="16144" xr:uid="{00000000-0005-0000-0000-00000E3F0000}"/>
    <cellStyle name="Normal 2 4 5 3 3 3" xfId="16145" xr:uid="{00000000-0005-0000-0000-00000F3F0000}"/>
    <cellStyle name="Normal 2 4 5 3 3 3 2" xfId="16146" xr:uid="{00000000-0005-0000-0000-0000103F0000}"/>
    <cellStyle name="Normal 2 4 5 3 3 4" xfId="16147" xr:uid="{00000000-0005-0000-0000-0000113F0000}"/>
    <cellStyle name="Normal 2 4 5 3 3 4 2" xfId="16148" xr:uid="{00000000-0005-0000-0000-0000123F0000}"/>
    <cellStyle name="Normal 2 4 5 3 3 5" xfId="16149" xr:uid="{00000000-0005-0000-0000-0000133F0000}"/>
    <cellStyle name="Normal 2 4 5 3 3 5 2" xfId="16150" xr:uid="{00000000-0005-0000-0000-0000143F0000}"/>
    <cellStyle name="Normal 2 4 5 3 3 6" xfId="16151" xr:uid="{00000000-0005-0000-0000-0000153F0000}"/>
    <cellStyle name="Normal 2 4 5 3 4" xfId="16152" xr:uid="{00000000-0005-0000-0000-0000163F0000}"/>
    <cellStyle name="Normal 2 4 5 3 4 2" xfId="16153" xr:uid="{00000000-0005-0000-0000-0000173F0000}"/>
    <cellStyle name="Normal 2 4 5 3 4 2 2" xfId="16154" xr:uid="{00000000-0005-0000-0000-0000183F0000}"/>
    <cellStyle name="Normal 2 4 5 3 4 3" xfId="16155" xr:uid="{00000000-0005-0000-0000-0000193F0000}"/>
    <cellStyle name="Normal 2 4 5 3 5" xfId="16156" xr:uid="{00000000-0005-0000-0000-00001A3F0000}"/>
    <cellStyle name="Normal 2 4 5 3 5 2" xfId="16157" xr:uid="{00000000-0005-0000-0000-00001B3F0000}"/>
    <cellStyle name="Normal 2 4 5 3 6" xfId="16158" xr:uid="{00000000-0005-0000-0000-00001C3F0000}"/>
    <cellStyle name="Normal 2 4 5 3 6 2" xfId="16159" xr:uid="{00000000-0005-0000-0000-00001D3F0000}"/>
    <cellStyle name="Normal 2 4 5 3 7" xfId="16160" xr:uid="{00000000-0005-0000-0000-00001E3F0000}"/>
    <cellStyle name="Normal 2 4 5 3 7 2" xfId="16161" xr:uid="{00000000-0005-0000-0000-00001F3F0000}"/>
    <cellStyle name="Normal 2 4 5 3 8" xfId="16162" xr:uid="{00000000-0005-0000-0000-0000203F0000}"/>
    <cellStyle name="Normal 2 4 5 4" xfId="16163" xr:uid="{00000000-0005-0000-0000-0000213F0000}"/>
    <cellStyle name="Normal 2 4 5 4 2" xfId="16164" xr:uid="{00000000-0005-0000-0000-0000223F0000}"/>
    <cellStyle name="Normal 2 4 5 4 2 2" xfId="16165" xr:uid="{00000000-0005-0000-0000-0000233F0000}"/>
    <cellStyle name="Normal 2 4 5 4 2 2 2" xfId="16166" xr:uid="{00000000-0005-0000-0000-0000243F0000}"/>
    <cellStyle name="Normal 2 4 5 4 2 3" xfId="16167" xr:uid="{00000000-0005-0000-0000-0000253F0000}"/>
    <cellStyle name="Normal 2 4 5 4 2 3 2" xfId="16168" xr:uid="{00000000-0005-0000-0000-0000263F0000}"/>
    <cellStyle name="Normal 2 4 5 4 2 4" xfId="16169" xr:uid="{00000000-0005-0000-0000-0000273F0000}"/>
    <cellStyle name="Normal 2 4 5 4 3" xfId="16170" xr:uid="{00000000-0005-0000-0000-0000283F0000}"/>
    <cellStyle name="Normal 2 4 5 4 3 2" xfId="16171" xr:uid="{00000000-0005-0000-0000-0000293F0000}"/>
    <cellStyle name="Normal 2 4 5 4 4" xfId="16172" xr:uid="{00000000-0005-0000-0000-00002A3F0000}"/>
    <cellStyle name="Normal 2 4 5 4 4 2" xfId="16173" xr:uid="{00000000-0005-0000-0000-00002B3F0000}"/>
    <cellStyle name="Normal 2 4 5 4 5" xfId="16174" xr:uid="{00000000-0005-0000-0000-00002C3F0000}"/>
    <cellStyle name="Normal 2 4 5 4 5 2" xfId="16175" xr:uid="{00000000-0005-0000-0000-00002D3F0000}"/>
    <cellStyle name="Normal 2 4 5 4 6" xfId="16176" xr:uid="{00000000-0005-0000-0000-00002E3F0000}"/>
    <cellStyle name="Normal 2 4 5 4 6 2" xfId="16177" xr:uid="{00000000-0005-0000-0000-00002F3F0000}"/>
    <cellStyle name="Normal 2 4 5 4 7" xfId="16178" xr:uid="{00000000-0005-0000-0000-0000303F0000}"/>
    <cellStyle name="Normal 2 4 5 5" xfId="16179" xr:uid="{00000000-0005-0000-0000-0000313F0000}"/>
    <cellStyle name="Normal 2 4 5 5 2" xfId="16180" xr:uid="{00000000-0005-0000-0000-0000323F0000}"/>
    <cellStyle name="Normal 2 4 5 5 2 2" xfId="16181" xr:uid="{00000000-0005-0000-0000-0000333F0000}"/>
    <cellStyle name="Normal 2 4 5 5 3" xfId="16182" xr:uid="{00000000-0005-0000-0000-0000343F0000}"/>
    <cellStyle name="Normal 2 4 5 5 3 2" xfId="16183" xr:uid="{00000000-0005-0000-0000-0000353F0000}"/>
    <cellStyle name="Normal 2 4 5 5 4" xfId="16184" xr:uid="{00000000-0005-0000-0000-0000363F0000}"/>
    <cellStyle name="Normal 2 4 5 5 4 2" xfId="16185" xr:uid="{00000000-0005-0000-0000-0000373F0000}"/>
    <cellStyle name="Normal 2 4 5 5 5" xfId="16186" xr:uid="{00000000-0005-0000-0000-0000383F0000}"/>
    <cellStyle name="Normal 2 4 5 5 5 2" xfId="16187" xr:uid="{00000000-0005-0000-0000-0000393F0000}"/>
    <cellStyle name="Normal 2 4 5 5 6" xfId="16188" xr:uid="{00000000-0005-0000-0000-00003A3F0000}"/>
    <cellStyle name="Normal 2 4 5 6" xfId="16189" xr:uid="{00000000-0005-0000-0000-00003B3F0000}"/>
    <cellStyle name="Normal 2 4 5 6 2" xfId="16190" xr:uid="{00000000-0005-0000-0000-00003C3F0000}"/>
    <cellStyle name="Normal 2 4 5 6 2 2" xfId="16191" xr:uid="{00000000-0005-0000-0000-00003D3F0000}"/>
    <cellStyle name="Normal 2 4 5 6 3" xfId="16192" xr:uid="{00000000-0005-0000-0000-00003E3F0000}"/>
    <cellStyle name="Normal 2 4 5 7" xfId="16193" xr:uid="{00000000-0005-0000-0000-00003F3F0000}"/>
    <cellStyle name="Normal 2 4 5 7 2" xfId="16194" xr:uid="{00000000-0005-0000-0000-0000403F0000}"/>
    <cellStyle name="Normal 2 4 5 8" xfId="16195" xr:uid="{00000000-0005-0000-0000-0000413F0000}"/>
    <cellStyle name="Normal 2 4 5 8 2" xfId="16196" xr:uid="{00000000-0005-0000-0000-0000423F0000}"/>
    <cellStyle name="Normal 2 4 5 9" xfId="16197" xr:uid="{00000000-0005-0000-0000-0000433F0000}"/>
    <cellStyle name="Normal 2 4 5 9 2" xfId="16198" xr:uid="{00000000-0005-0000-0000-0000443F0000}"/>
    <cellStyle name="Normal 2 4 6" xfId="16199" xr:uid="{00000000-0005-0000-0000-0000453F0000}"/>
    <cellStyle name="Normal 2 4 6 2" xfId="16200" xr:uid="{00000000-0005-0000-0000-0000463F0000}"/>
    <cellStyle name="Normal 2 4 6 2 2" xfId="16201" xr:uid="{00000000-0005-0000-0000-0000473F0000}"/>
    <cellStyle name="Normal 2 4 6 2 2 2" xfId="16202" xr:uid="{00000000-0005-0000-0000-0000483F0000}"/>
    <cellStyle name="Normal 2 4 6 2 2 2 2" xfId="16203" xr:uid="{00000000-0005-0000-0000-0000493F0000}"/>
    <cellStyle name="Normal 2 4 6 2 2 3" xfId="16204" xr:uid="{00000000-0005-0000-0000-00004A3F0000}"/>
    <cellStyle name="Normal 2 4 6 2 2 3 2" xfId="16205" xr:uid="{00000000-0005-0000-0000-00004B3F0000}"/>
    <cellStyle name="Normal 2 4 6 2 2 4" xfId="16206" xr:uid="{00000000-0005-0000-0000-00004C3F0000}"/>
    <cellStyle name="Normal 2 4 6 2 3" xfId="16207" xr:uid="{00000000-0005-0000-0000-00004D3F0000}"/>
    <cellStyle name="Normal 2 4 6 2 3 2" xfId="16208" xr:uid="{00000000-0005-0000-0000-00004E3F0000}"/>
    <cellStyle name="Normal 2 4 6 2 4" xfId="16209" xr:uid="{00000000-0005-0000-0000-00004F3F0000}"/>
    <cellStyle name="Normal 2 4 6 2 4 2" xfId="16210" xr:uid="{00000000-0005-0000-0000-0000503F0000}"/>
    <cellStyle name="Normal 2 4 6 2 5" xfId="16211" xr:uid="{00000000-0005-0000-0000-0000513F0000}"/>
    <cellStyle name="Normal 2 4 6 2 5 2" xfId="16212" xr:uid="{00000000-0005-0000-0000-0000523F0000}"/>
    <cellStyle name="Normal 2 4 6 2 6" xfId="16213" xr:uid="{00000000-0005-0000-0000-0000533F0000}"/>
    <cellStyle name="Normal 2 4 6 2 6 2" xfId="16214" xr:uid="{00000000-0005-0000-0000-0000543F0000}"/>
    <cellStyle name="Normal 2 4 6 2 7" xfId="16215" xr:uid="{00000000-0005-0000-0000-0000553F0000}"/>
    <cellStyle name="Normal 2 4 6 3" xfId="16216" xr:uid="{00000000-0005-0000-0000-0000563F0000}"/>
    <cellStyle name="Normal 2 4 6 3 2" xfId="16217" xr:uid="{00000000-0005-0000-0000-0000573F0000}"/>
    <cellStyle name="Normal 2 4 6 3 2 2" xfId="16218" xr:uid="{00000000-0005-0000-0000-0000583F0000}"/>
    <cellStyle name="Normal 2 4 6 3 3" xfId="16219" xr:uid="{00000000-0005-0000-0000-0000593F0000}"/>
    <cellStyle name="Normal 2 4 6 3 3 2" xfId="16220" xr:uid="{00000000-0005-0000-0000-00005A3F0000}"/>
    <cellStyle name="Normal 2 4 6 3 4" xfId="16221" xr:uid="{00000000-0005-0000-0000-00005B3F0000}"/>
    <cellStyle name="Normal 2 4 6 3 4 2" xfId="16222" xr:uid="{00000000-0005-0000-0000-00005C3F0000}"/>
    <cellStyle name="Normal 2 4 6 3 5" xfId="16223" xr:uid="{00000000-0005-0000-0000-00005D3F0000}"/>
    <cellStyle name="Normal 2 4 6 3 5 2" xfId="16224" xr:uid="{00000000-0005-0000-0000-00005E3F0000}"/>
    <cellStyle name="Normal 2 4 6 3 6" xfId="16225" xr:uid="{00000000-0005-0000-0000-00005F3F0000}"/>
    <cellStyle name="Normal 2 4 6 4" xfId="16226" xr:uid="{00000000-0005-0000-0000-0000603F0000}"/>
    <cellStyle name="Normal 2 4 6 4 2" xfId="16227" xr:uid="{00000000-0005-0000-0000-0000613F0000}"/>
    <cellStyle name="Normal 2 4 6 4 2 2" xfId="16228" xr:uid="{00000000-0005-0000-0000-0000623F0000}"/>
    <cellStyle name="Normal 2 4 6 4 3" xfId="16229" xr:uid="{00000000-0005-0000-0000-0000633F0000}"/>
    <cellStyle name="Normal 2 4 6 5" xfId="16230" xr:uid="{00000000-0005-0000-0000-0000643F0000}"/>
    <cellStyle name="Normal 2 4 6 5 2" xfId="16231" xr:uid="{00000000-0005-0000-0000-0000653F0000}"/>
    <cellStyle name="Normal 2 4 6 6" xfId="16232" xr:uid="{00000000-0005-0000-0000-0000663F0000}"/>
    <cellStyle name="Normal 2 4 6 6 2" xfId="16233" xr:uid="{00000000-0005-0000-0000-0000673F0000}"/>
    <cellStyle name="Normal 2 4 6 7" xfId="16234" xr:uid="{00000000-0005-0000-0000-0000683F0000}"/>
    <cellStyle name="Normal 2 4 6 7 2" xfId="16235" xr:uid="{00000000-0005-0000-0000-0000693F0000}"/>
    <cellStyle name="Normal 2 4 6 8" xfId="16236" xr:uid="{00000000-0005-0000-0000-00006A3F0000}"/>
    <cellStyle name="Normal 2 4 7" xfId="16237" xr:uid="{00000000-0005-0000-0000-00006B3F0000}"/>
    <cellStyle name="Normal 2 4 7 2" xfId="16238" xr:uid="{00000000-0005-0000-0000-00006C3F0000}"/>
    <cellStyle name="Normal 2 4 7 2 2" xfId="16239" xr:uid="{00000000-0005-0000-0000-00006D3F0000}"/>
    <cellStyle name="Normal 2 4 7 2 2 2" xfId="16240" xr:uid="{00000000-0005-0000-0000-00006E3F0000}"/>
    <cellStyle name="Normal 2 4 7 2 2 2 2" xfId="16241" xr:uid="{00000000-0005-0000-0000-00006F3F0000}"/>
    <cellStyle name="Normal 2 4 7 2 2 3" xfId="16242" xr:uid="{00000000-0005-0000-0000-0000703F0000}"/>
    <cellStyle name="Normal 2 4 7 2 2 3 2" xfId="16243" xr:uid="{00000000-0005-0000-0000-0000713F0000}"/>
    <cellStyle name="Normal 2 4 7 2 2 4" xfId="16244" xr:uid="{00000000-0005-0000-0000-0000723F0000}"/>
    <cellStyle name="Normal 2 4 7 2 3" xfId="16245" xr:uid="{00000000-0005-0000-0000-0000733F0000}"/>
    <cellStyle name="Normal 2 4 7 2 3 2" xfId="16246" xr:uid="{00000000-0005-0000-0000-0000743F0000}"/>
    <cellStyle name="Normal 2 4 7 2 4" xfId="16247" xr:uid="{00000000-0005-0000-0000-0000753F0000}"/>
    <cellStyle name="Normal 2 4 7 2 4 2" xfId="16248" xr:uid="{00000000-0005-0000-0000-0000763F0000}"/>
    <cellStyle name="Normal 2 4 7 2 5" xfId="16249" xr:uid="{00000000-0005-0000-0000-0000773F0000}"/>
    <cellStyle name="Normal 2 4 7 2 5 2" xfId="16250" xr:uid="{00000000-0005-0000-0000-0000783F0000}"/>
    <cellStyle name="Normal 2 4 7 2 6" xfId="16251" xr:uid="{00000000-0005-0000-0000-0000793F0000}"/>
    <cellStyle name="Normal 2 4 7 2 6 2" xfId="16252" xr:uid="{00000000-0005-0000-0000-00007A3F0000}"/>
    <cellStyle name="Normal 2 4 7 2 7" xfId="16253" xr:uid="{00000000-0005-0000-0000-00007B3F0000}"/>
    <cellStyle name="Normal 2 4 7 3" xfId="16254" xr:uid="{00000000-0005-0000-0000-00007C3F0000}"/>
    <cellStyle name="Normal 2 4 7 3 2" xfId="16255" xr:uid="{00000000-0005-0000-0000-00007D3F0000}"/>
    <cellStyle name="Normal 2 4 7 3 2 2" xfId="16256" xr:uid="{00000000-0005-0000-0000-00007E3F0000}"/>
    <cellStyle name="Normal 2 4 7 3 3" xfId="16257" xr:uid="{00000000-0005-0000-0000-00007F3F0000}"/>
    <cellStyle name="Normal 2 4 7 3 3 2" xfId="16258" xr:uid="{00000000-0005-0000-0000-0000803F0000}"/>
    <cellStyle name="Normal 2 4 7 3 4" xfId="16259" xr:uid="{00000000-0005-0000-0000-0000813F0000}"/>
    <cellStyle name="Normal 2 4 7 3 4 2" xfId="16260" xr:uid="{00000000-0005-0000-0000-0000823F0000}"/>
    <cellStyle name="Normal 2 4 7 3 5" xfId="16261" xr:uid="{00000000-0005-0000-0000-0000833F0000}"/>
    <cellStyle name="Normal 2 4 7 3 5 2" xfId="16262" xr:uid="{00000000-0005-0000-0000-0000843F0000}"/>
    <cellStyle name="Normal 2 4 7 3 6" xfId="16263" xr:uid="{00000000-0005-0000-0000-0000853F0000}"/>
    <cellStyle name="Normal 2 4 7 4" xfId="16264" xr:uid="{00000000-0005-0000-0000-0000863F0000}"/>
    <cellStyle name="Normal 2 4 7 4 2" xfId="16265" xr:uid="{00000000-0005-0000-0000-0000873F0000}"/>
    <cellStyle name="Normal 2 4 7 4 2 2" xfId="16266" xr:uid="{00000000-0005-0000-0000-0000883F0000}"/>
    <cellStyle name="Normal 2 4 7 4 3" xfId="16267" xr:uid="{00000000-0005-0000-0000-0000893F0000}"/>
    <cellStyle name="Normal 2 4 7 5" xfId="16268" xr:uid="{00000000-0005-0000-0000-00008A3F0000}"/>
    <cellStyle name="Normal 2 4 7 5 2" xfId="16269" xr:uid="{00000000-0005-0000-0000-00008B3F0000}"/>
    <cellStyle name="Normal 2 4 7 6" xfId="16270" xr:uid="{00000000-0005-0000-0000-00008C3F0000}"/>
    <cellStyle name="Normal 2 4 7 6 2" xfId="16271" xr:uid="{00000000-0005-0000-0000-00008D3F0000}"/>
    <cellStyle name="Normal 2 4 7 7" xfId="16272" xr:uid="{00000000-0005-0000-0000-00008E3F0000}"/>
    <cellStyle name="Normal 2 4 7 7 2" xfId="16273" xr:uid="{00000000-0005-0000-0000-00008F3F0000}"/>
    <cellStyle name="Normal 2 4 7 8" xfId="16274" xr:uid="{00000000-0005-0000-0000-0000903F0000}"/>
    <cellStyle name="Normal 2 4 8" xfId="16275" xr:uid="{00000000-0005-0000-0000-0000913F0000}"/>
    <cellStyle name="Normal 2 4 8 2" xfId="16276" xr:uid="{00000000-0005-0000-0000-0000923F0000}"/>
    <cellStyle name="Normal 2 4 8 2 2" xfId="16277" xr:uid="{00000000-0005-0000-0000-0000933F0000}"/>
    <cellStyle name="Normal 2 4 8 3" xfId="16278" xr:uid="{00000000-0005-0000-0000-0000943F0000}"/>
    <cellStyle name="Normal 2 4 8 3 2" xfId="16279" xr:uid="{00000000-0005-0000-0000-0000953F0000}"/>
    <cellStyle name="Normal 2 4 8 4" xfId="16280" xr:uid="{00000000-0005-0000-0000-0000963F0000}"/>
    <cellStyle name="Normal 2 4 8 5" xfId="16281" xr:uid="{00000000-0005-0000-0000-0000973F0000}"/>
    <cellStyle name="Normal 2 4 8 5 2" xfId="16282" xr:uid="{00000000-0005-0000-0000-0000983F0000}"/>
    <cellStyle name="Normal 2 4 8 6" xfId="16283" xr:uid="{00000000-0005-0000-0000-0000993F0000}"/>
    <cellStyle name="Normal 2 4 8 6 2" xfId="16284" xr:uid="{00000000-0005-0000-0000-00009A3F0000}"/>
    <cellStyle name="Normal 2 4 8 7" xfId="16285" xr:uid="{00000000-0005-0000-0000-00009B3F0000}"/>
    <cellStyle name="Normal 2 4 9" xfId="16286" xr:uid="{00000000-0005-0000-0000-00009C3F0000}"/>
    <cellStyle name="Normal 2 4 9 2" xfId="16287" xr:uid="{00000000-0005-0000-0000-00009D3F0000}"/>
    <cellStyle name="Normal 2 4 9 2 2" xfId="16288" xr:uid="{00000000-0005-0000-0000-00009E3F0000}"/>
    <cellStyle name="Normal 2 4 9 2 2 2" xfId="16289" xr:uid="{00000000-0005-0000-0000-00009F3F0000}"/>
    <cellStyle name="Normal 2 4 9 2 3" xfId="16290" xr:uid="{00000000-0005-0000-0000-0000A03F0000}"/>
    <cellStyle name="Normal 2 4 9 3" xfId="16291" xr:uid="{00000000-0005-0000-0000-0000A13F0000}"/>
    <cellStyle name="Normal 2 4 9 3 2" xfId="16292" xr:uid="{00000000-0005-0000-0000-0000A23F0000}"/>
    <cellStyle name="Normal 2 4 9 4" xfId="16293" xr:uid="{00000000-0005-0000-0000-0000A33F0000}"/>
    <cellStyle name="Normal 2 4 9 4 2" xfId="16294" xr:uid="{00000000-0005-0000-0000-0000A43F0000}"/>
    <cellStyle name="Normal 2 4 9 5" xfId="16295" xr:uid="{00000000-0005-0000-0000-0000A53F0000}"/>
    <cellStyle name="Normal 2 4 9 5 2" xfId="16296" xr:uid="{00000000-0005-0000-0000-0000A63F0000}"/>
    <cellStyle name="Normal 2 4 9 6" xfId="16297" xr:uid="{00000000-0005-0000-0000-0000A73F0000}"/>
    <cellStyle name="Normal 2 40" xfId="16298" xr:uid="{00000000-0005-0000-0000-0000A83F0000}"/>
    <cellStyle name="Normal 2 41" xfId="16299" xr:uid="{00000000-0005-0000-0000-0000A93F0000}"/>
    <cellStyle name="Normal 2 42" xfId="16300" xr:uid="{00000000-0005-0000-0000-0000AA3F0000}"/>
    <cellStyle name="Normal 2 43" xfId="16301" xr:uid="{00000000-0005-0000-0000-0000AB3F0000}"/>
    <cellStyle name="Normal 2 44" xfId="16302" xr:uid="{00000000-0005-0000-0000-0000AC3F0000}"/>
    <cellStyle name="Normal 2 5" xfId="16303" xr:uid="{00000000-0005-0000-0000-0000AD3F0000}"/>
    <cellStyle name="Normal 2 5 10" xfId="16304" xr:uid="{00000000-0005-0000-0000-0000AE3F0000}"/>
    <cellStyle name="Normal 2 5 10 2" xfId="16305" xr:uid="{00000000-0005-0000-0000-0000AF3F0000}"/>
    <cellStyle name="Normal 2 5 10 2 2" xfId="16306" xr:uid="{00000000-0005-0000-0000-0000B03F0000}"/>
    <cellStyle name="Normal 2 5 10 3" xfId="16307" xr:uid="{00000000-0005-0000-0000-0000B13F0000}"/>
    <cellStyle name="Normal 2 5 11" xfId="16308" xr:uid="{00000000-0005-0000-0000-0000B23F0000}"/>
    <cellStyle name="Normal 2 5 11 2" xfId="16309" xr:uid="{00000000-0005-0000-0000-0000B33F0000}"/>
    <cellStyle name="Normal 2 5 12" xfId="16310" xr:uid="{00000000-0005-0000-0000-0000B43F0000}"/>
    <cellStyle name="Normal 2 5 12 2" xfId="16311" xr:uid="{00000000-0005-0000-0000-0000B53F0000}"/>
    <cellStyle name="Normal 2 5 13" xfId="16312" xr:uid="{00000000-0005-0000-0000-0000B63F0000}"/>
    <cellStyle name="Normal 2 5 13 2" xfId="16313" xr:uid="{00000000-0005-0000-0000-0000B73F0000}"/>
    <cellStyle name="Normal 2 5 14" xfId="16314" xr:uid="{00000000-0005-0000-0000-0000B83F0000}"/>
    <cellStyle name="Normal 2 5 2" xfId="16315" xr:uid="{00000000-0005-0000-0000-0000B93F0000}"/>
    <cellStyle name="Normal 2 5 3" xfId="16316" xr:uid="{00000000-0005-0000-0000-0000BA3F0000}"/>
    <cellStyle name="Normal 2 5 3 10" xfId="16317" xr:uid="{00000000-0005-0000-0000-0000BB3F0000}"/>
    <cellStyle name="Normal 2 5 3 10 2" xfId="16318" xr:uid="{00000000-0005-0000-0000-0000BC3F0000}"/>
    <cellStyle name="Normal 2 5 3 11" xfId="16319" xr:uid="{00000000-0005-0000-0000-0000BD3F0000}"/>
    <cellStyle name="Normal 2 5 3 2" xfId="16320" xr:uid="{00000000-0005-0000-0000-0000BE3F0000}"/>
    <cellStyle name="Normal 2 5 3 2 10" xfId="16321" xr:uid="{00000000-0005-0000-0000-0000BF3F0000}"/>
    <cellStyle name="Normal 2 5 3 2 2" xfId="16322" xr:uid="{00000000-0005-0000-0000-0000C03F0000}"/>
    <cellStyle name="Normal 2 5 3 2 2 2" xfId="16323" xr:uid="{00000000-0005-0000-0000-0000C13F0000}"/>
    <cellStyle name="Normal 2 5 3 2 2 2 2" xfId="16324" xr:uid="{00000000-0005-0000-0000-0000C23F0000}"/>
    <cellStyle name="Normal 2 5 3 2 2 2 2 2" xfId="16325" xr:uid="{00000000-0005-0000-0000-0000C33F0000}"/>
    <cellStyle name="Normal 2 5 3 2 2 2 2 2 2" xfId="16326" xr:uid="{00000000-0005-0000-0000-0000C43F0000}"/>
    <cellStyle name="Normal 2 5 3 2 2 2 2 3" xfId="16327" xr:uid="{00000000-0005-0000-0000-0000C53F0000}"/>
    <cellStyle name="Normal 2 5 3 2 2 2 2 3 2" xfId="16328" xr:uid="{00000000-0005-0000-0000-0000C63F0000}"/>
    <cellStyle name="Normal 2 5 3 2 2 2 2 4" xfId="16329" xr:uid="{00000000-0005-0000-0000-0000C73F0000}"/>
    <cellStyle name="Normal 2 5 3 2 2 2 3" xfId="16330" xr:uid="{00000000-0005-0000-0000-0000C83F0000}"/>
    <cellStyle name="Normal 2 5 3 2 2 2 3 2" xfId="16331" xr:uid="{00000000-0005-0000-0000-0000C93F0000}"/>
    <cellStyle name="Normal 2 5 3 2 2 2 4" xfId="16332" xr:uid="{00000000-0005-0000-0000-0000CA3F0000}"/>
    <cellStyle name="Normal 2 5 3 2 2 2 4 2" xfId="16333" xr:uid="{00000000-0005-0000-0000-0000CB3F0000}"/>
    <cellStyle name="Normal 2 5 3 2 2 2 5" xfId="16334" xr:uid="{00000000-0005-0000-0000-0000CC3F0000}"/>
    <cellStyle name="Normal 2 5 3 2 2 2 5 2" xfId="16335" xr:uid="{00000000-0005-0000-0000-0000CD3F0000}"/>
    <cellStyle name="Normal 2 5 3 2 2 2 6" xfId="16336" xr:uid="{00000000-0005-0000-0000-0000CE3F0000}"/>
    <cellStyle name="Normal 2 5 3 2 2 2 6 2" xfId="16337" xr:uid="{00000000-0005-0000-0000-0000CF3F0000}"/>
    <cellStyle name="Normal 2 5 3 2 2 2 7" xfId="16338" xr:uid="{00000000-0005-0000-0000-0000D03F0000}"/>
    <cellStyle name="Normal 2 5 3 2 2 3" xfId="16339" xr:uid="{00000000-0005-0000-0000-0000D13F0000}"/>
    <cellStyle name="Normal 2 5 3 2 2 3 2" xfId="16340" xr:uid="{00000000-0005-0000-0000-0000D23F0000}"/>
    <cellStyle name="Normal 2 5 3 2 2 3 2 2" xfId="16341" xr:uid="{00000000-0005-0000-0000-0000D33F0000}"/>
    <cellStyle name="Normal 2 5 3 2 2 3 3" xfId="16342" xr:uid="{00000000-0005-0000-0000-0000D43F0000}"/>
    <cellStyle name="Normal 2 5 3 2 2 3 3 2" xfId="16343" xr:uid="{00000000-0005-0000-0000-0000D53F0000}"/>
    <cellStyle name="Normal 2 5 3 2 2 3 4" xfId="16344" xr:uid="{00000000-0005-0000-0000-0000D63F0000}"/>
    <cellStyle name="Normal 2 5 3 2 2 3 4 2" xfId="16345" xr:uid="{00000000-0005-0000-0000-0000D73F0000}"/>
    <cellStyle name="Normal 2 5 3 2 2 3 5" xfId="16346" xr:uid="{00000000-0005-0000-0000-0000D83F0000}"/>
    <cellStyle name="Normal 2 5 3 2 2 3 5 2" xfId="16347" xr:uid="{00000000-0005-0000-0000-0000D93F0000}"/>
    <cellStyle name="Normal 2 5 3 2 2 3 6" xfId="16348" xr:uid="{00000000-0005-0000-0000-0000DA3F0000}"/>
    <cellStyle name="Normal 2 5 3 2 2 4" xfId="16349" xr:uid="{00000000-0005-0000-0000-0000DB3F0000}"/>
    <cellStyle name="Normal 2 5 3 2 2 4 2" xfId="16350" xr:uid="{00000000-0005-0000-0000-0000DC3F0000}"/>
    <cellStyle name="Normal 2 5 3 2 2 4 2 2" xfId="16351" xr:uid="{00000000-0005-0000-0000-0000DD3F0000}"/>
    <cellStyle name="Normal 2 5 3 2 2 4 3" xfId="16352" xr:uid="{00000000-0005-0000-0000-0000DE3F0000}"/>
    <cellStyle name="Normal 2 5 3 2 2 5" xfId="16353" xr:uid="{00000000-0005-0000-0000-0000DF3F0000}"/>
    <cellStyle name="Normal 2 5 3 2 2 5 2" xfId="16354" xr:uid="{00000000-0005-0000-0000-0000E03F0000}"/>
    <cellStyle name="Normal 2 5 3 2 2 6" xfId="16355" xr:uid="{00000000-0005-0000-0000-0000E13F0000}"/>
    <cellStyle name="Normal 2 5 3 2 2 6 2" xfId="16356" xr:uid="{00000000-0005-0000-0000-0000E23F0000}"/>
    <cellStyle name="Normal 2 5 3 2 2 7" xfId="16357" xr:uid="{00000000-0005-0000-0000-0000E33F0000}"/>
    <cellStyle name="Normal 2 5 3 2 2 7 2" xfId="16358" xr:uid="{00000000-0005-0000-0000-0000E43F0000}"/>
    <cellStyle name="Normal 2 5 3 2 2 8" xfId="16359" xr:uid="{00000000-0005-0000-0000-0000E53F0000}"/>
    <cellStyle name="Normal 2 5 3 2 3" xfId="16360" xr:uid="{00000000-0005-0000-0000-0000E63F0000}"/>
    <cellStyle name="Normal 2 5 3 2 3 2" xfId="16361" xr:uid="{00000000-0005-0000-0000-0000E73F0000}"/>
    <cellStyle name="Normal 2 5 3 2 3 2 2" xfId="16362" xr:uid="{00000000-0005-0000-0000-0000E83F0000}"/>
    <cellStyle name="Normal 2 5 3 2 3 2 2 2" xfId="16363" xr:uid="{00000000-0005-0000-0000-0000E93F0000}"/>
    <cellStyle name="Normal 2 5 3 2 3 2 2 2 2" xfId="16364" xr:uid="{00000000-0005-0000-0000-0000EA3F0000}"/>
    <cellStyle name="Normal 2 5 3 2 3 2 2 3" xfId="16365" xr:uid="{00000000-0005-0000-0000-0000EB3F0000}"/>
    <cellStyle name="Normal 2 5 3 2 3 2 2 3 2" xfId="16366" xr:uid="{00000000-0005-0000-0000-0000EC3F0000}"/>
    <cellStyle name="Normal 2 5 3 2 3 2 2 4" xfId="16367" xr:uid="{00000000-0005-0000-0000-0000ED3F0000}"/>
    <cellStyle name="Normal 2 5 3 2 3 2 3" xfId="16368" xr:uid="{00000000-0005-0000-0000-0000EE3F0000}"/>
    <cellStyle name="Normal 2 5 3 2 3 2 3 2" xfId="16369" xr:uid="{00000000-0005-0000-0000-0000EF3F0000}"/>
    <cellStyle name="Normal 2 5 3 2 3 2 4" xfId="16370" xr:uid="{00000000-0005-0000-0000-0000F03F0000}"/>
    <cellStyle name="Normal 2 5 3 2 3 2 4 2" xfId="16371" xr:uid="{00000000-0005-0000-0000-0000F13F0000}"/>
    <cellStyle name="Normal 2 5 3 2 3 2 5" xfId="16372" xr:uid="{00000000-0005-0000-0000-0000F23F0000}"/>
    <cellStyle name="Normal 2 5 3 2 3 2 5 2" xfId="16373" xr:uid="{00000000-0005-0000-0000-0000F33F0000}"/>
    <cellStyle name="Normal 2 5 3 2 3 2 6" xfId="16374" xr:uid="{00000000-0005-0000-0000-0000F43F0000}"/>
    <cellStyle name="Normal 2 5 3 2 3 2 6 2" xfId="16375" xr:uid="{00000000-0005-0000-0000-0000F53F0000}"/>
    <cellStyle name="Normal 2 5 3 2 3 2 7" xfId="16376" xr:uid="{00000000-0005-0000-0000-0000F63F0000}"/>
    <cellStyle name="Normal 2 5 3 2 3 3" xfId="16377" xr:uid="{00000000-0005-0000-0000-0000F73F0000}"/>
    <cellStyle name="Normal 2 5 3 2 3 3 2" xfId="16378" xr:uid="{00000000-0005-0000-0000-0000F83F0000}"/>
    <cellStyle name="Normal 2 5 3 2 3 3 2 2" xfId="16379" xr:uid="{00000000-0005-0000-0000-0000F93F0000}"/>
    <cellStyle name="Normal 2 5 3 2 3 3 3" xfId="16380" xr:uid="{00000000-0005-0000-0000-0000FA3F0000}"/>
    <cellStyle name="Normal 2 5 3 2 3 3 3 2" xfId="16381" xr:uid="{00000000-0005-0000-0000-0000FB3F0000}"/>
    <cellStyle name="Normal 2 5 3 2 3 3 4" xfId="16382" xr:uid="{00000000-0005-0000-0000-0000FC3F0000}"/>
    <cellStyle name="Normal 2 5 3 2 3 3 4 2" xfId="16383" xr:uid="{00000000-0005-0000-0000-0000FD3F0000}"/>
    <cellStyle name="Normal 2 5 3 2 3 3 5" xfId="16384" xr:uid="{00000000-0005-0000-0000-0000FE3F0000}"/>
    <cellStyle name="Normal 2 5 3 2 3 3 5 2" xfId="16385" xr:uid="{00000000-0005-0000-0000-0000FF3F0000}"/>
    <cellStyle name="Normal 2 5 3 2 3 3 6" xfId="16386" xr:uid="{00000000-0005-0000-0000-000000400000}"/>
    <cellStyle name="Normal 2 5 3 2 3 4" xfId="16387" xr:uid="{00000000-0005-0000-0000-000001400000}"/>
    <cellStyle name="Normal 2 5 3 2 3 4 2" xfId="16388" xr:uid="{00000000-0005-0000-0000-000002400000}"/>
    <cellStyle name="Normal 2 5 3 2 3 4 2 2" xfId="16389" xr:uid="{00000000-0005-0000-0000-000003400000}"/>
    <cellStyle name="Normal 2 5 3 2 3 4 3" xfId="16390" xr:uid="{00000000-0005-0000-0000-000004400000}"/>
    <cellStyle name="Normal 2 5 3 2 3 5" xfId="16391" xr:uid="{00000000-0005-0000-0000-000005400000}"/>
    <cellStyle name="Normal 2 5 3 2 3 5 2" xfId="16392" xr:uid="{00000000-0005-0000-0000-000006400000}"/>
    <cellStyle name="Normal 2 5 3 2 3 6" xfId="16393" xr:uid="{00000000-0005-0000-0000-000007400000}"/>
    <cellStyle name="Normal 2 5 3 2 3 6 2" xfId="16394" xr:uid="{00000000-0005-0000-0000-000008400000}"/>
    <cellStyle name="Normal 2 5 3 2 3 7" xfId="16395" xr:uid="{00000000-0005-0000-0000-000009400000}"/>
    <cellStyle name="Normal 2 5 3 2 3 7 2" xfId="16396" xr:uid="{00000000-0005-0000-0000-00000A400000}"/>
    <cellStyle name="Normal 2 5 3 2 3 8" xfId="16397" xr:uid="{00000000-0005-0000-0000-00000B400000}"/>
    <cellStyle name="Normal 2 5 3 2 4" xfId="16398" xr:uid="{00000000-0005-0000-0000-00000C400000}"/>
    <cellStyle name="Normal 2 5 3 2 4 2" xfId="16399" xr:uid="{00000000-0005-0000-0000-00000D400000}"/>
    <cellStyle name="Normal 2 5 3 2 4 2 2" xfId="16400" xr:uid="{00000000-0005-0000-0000-00000E400000}"/>
    <cellStyle name="Normal 2 5 3 2 4 2 2 2" xfId="16401" xr:uid="{00000000-0005-0000-0000-00000F400000}"/>
    <cellStyle name="Normal 2 5 3 2 4 2 3" xfId="16402" xr:uid="{00000000-0005-0000-0000-000010400000}"/>
    <cellStyle name="Normal 2 5 3 2 4 2 3 2" xfId="16403" xr:uid="{00000000-0005-0000-0000-000011400000}"/>
    <cellStyle name="Normal 2 5 3 2 4 2 4" xfId="16404" xr:uid="{00000000-0005-0000-0000-000012400000}"/>
    <cellStyle name="Normal 2 5 3 2 4 3" xfId="16405" xr:uid="{00000000-0005-0000-0000-000013400000}"/>
    <cellStyle name="Normal 2 5 3 2 4 3 2" xfId="16406" xr:uid="{00000000-0005-0000-0000-000014400000}"/>
    <cellStyle name="Normal 2 5 3 2 4 4" xfId="16407" xr:uid="{00000000-0005-0000-0000-000015400000}"/>
    <cellStyle name="Normal 2 5 3 2 4 4 2" xfId="16408" xr:uid="{00000000-0005-0000-0000-000016400000}"/>
    <cellStyle name="Normal 2 5 3 2 4 5" xfId="16409" xr:uid="{00000000-0005-0000-0000-000017400000}"/>
    <cellStyle name="Normal 2 5 3 2 4 5 2" xfId="16410" xr:uid="{00000000-0005-0000-0000-000018400000}"/>
    <cellStyle name="Normal 2 5 3 2 4 6" xfId="16411" xr:uid="{00000000-0005-0000-0000-000019400000}"/>
    <cellStyle name="Normal 2 5 3 2 4 6 2" xfId="16412" xr:uid="{00000000-0005-0000-0000-00001A400000}"/>
    <cellStyle name="Normal 2 5 3 2 4 7" xfId="16413" xr:uid="{00000000-0005-0000-0000-00001B400000}"/>
    <cellStyle name="Normal 2 5 3 2 5" xfId="16414" xr:uid="{00000000-0005-0000-0000-00001C400000}"/>
    <cellStyle name="Normal 2 5 3 2 5 2" xfId="16415" xr:uid="{00000000-0005-0000-0000-00001D400000}"/>
    <cellStyle name="Normal 2 5 3 2 5 2 2" xfId="16416" xr:uid="{00000000-0005-0000-0000-00001E400000}"/>
    <cellStyle name="Normal 2 5 3 2 5 3" xfId="16417" xr:uid="{00000000-0005-0000-0000-00001F400000}"/>
    <cellStyle name="Normal 2 5 3 2 5 3 2" xfId="16418" xr:uid="{00000000-0005-0000-0000-000020400000}"/>
    <cellStyle name="Normal 2 5 3 2 5 4" xfId="16419" xr:uid="{00000000-0005-0000-0000-000021400000}"/>
    <cellStyle name="Normal 2 5 3 2 5 4 2" xfId="16420" xr:uid="{00000000-0005-0000-0000-000022400000}"/>
    <cellStyle name="Normal 2 5 3 2 5 5" xfId="16421" xr:uid="{00000000-0005-0000-0000-000023400000}"/>
    <cellStyle name="Normal 2 5 3 2 5 5 2" xfId="16422" xr:uid="{00000000-0005-0000-0000-000024400000}"/>
    <cellStyle name="Normal 2 5 3 2 5 6" xfId="16423" xr:uid="{00000000-0005-0000-0000-000025400000}"/>
    <cellStyle name="Normal 2 5 3 2 6" xfId="16424" xr:uid="{00000000-0005-0000-0000-000026400000}"/>
    <cellStyle name="Normal 2 5 3 2 6 2" xfId="16425" xr:uid="{00000000-0005-0000-0000-000027400000}"/>
    <cellStyle name="Normal 2 5 3 2 6 2 2" xfId="16426" xr:uid="{00000000-0005-0000-0000-000028400000}"/>
    <cellStyle name="Normal 2 5 3 2 6 3" xfId="16427" xr:uid="{00000000-0005-0000-0000-000029400000}"/>
    <cellStyle name="Normal 2 5 3 2 7" xfId="16428" xr:uid="{00000000-0005-0000-0000-00002A400000}"/>
    <cellStyle name="Normal 2 5 3 2 7 2" xfId="16429" xr:uid="{00000000-0005-0000-0000-00002B400000}"/>
    <cellStyle name="Normal 2 5 3 2 8" xfId="16430" xr:uid="{00000000-0005-0000-0000-00002C400000}"/>
    <cellStyle name="Normal 2 5 3 2 8 2" xfId="16431" xr:uid="{00000000-0005-0000-0000-00002D400000}"/>
    <cellStyle name="Normal 2 5 3 2 9" xfId="16432" xr:uid="{00000000-0005-0000-0000-00002E400000}"/>
    <cellStyle name="Normal 2 5 3 2 9 2" xfId="16433" xr:uid="{00000000-0005-0000-0000-00002F400000}"/>
    <cellStyle name="Normal 2 5 3 3" xfId="16434" xr:uid="{00000000-0005-0000-0000-000030400000}"/>
    <cellStyle name="Normal 2 5 3 3 2" xfId="16435" xr:uid="{00000000-0005-0000-0000-000031400000}"/>
    <cellStyle name="Normal 2 5 3 3 2 2" xfId="16436" xr:uid="{00000000-0005-0000-0000-000032400000}"/>
    <cellStyle name="Normal 2 5 3 3 2 2 2" xfId="16437" xr:uid="{00000000-0005-0000-0000-000033400000}"/>
    <cellStyle name="Normal 2 5 3 3 2 2 2 2" xfId="16438" xr:uid="{00000000-0005-0000-0000-000034400000}"/>
    <cellStyle name="Normal 2 5 3 3 2 2 3" xfId="16439" xr:uid="{00000000-0005-0000-0000-000035400000}"/>
    <cellStyle name="Normal 2 5 3 3 2 2 3 2" xfId="16440" xr:uid="{00000000-0005-0000-0000-000036400000}"/>
    <cellStyle name="Normal 2 5 3 3 2 2 4" xfId="16441" xr:uid="{00000000-0005-0000-0000-000037400000}"/>
    <cellStyle name="Normal 2 5 3 3 2 3" xfId="16442" xr:uid="{00000000-0005-0000-0000-000038400000}"/>
    <cellStyle name="Normal 2 5 3 3 2 3 2" xfId="16443" xr:uid="{00000000-0005-0000-0000-000039400000}"/>
    <cellStyle name="Normal 2 5 3 3 2 4" xfId="16444" xr:uid="{00000000-0005-0000-0000-00003A400000}"/>
    <cellStyle name="Normal 2 5 3 3 2 4 2" xfId="16445" xr:uid="{00000000-0005-0000-0000-00003B400000}"/>
    <cellStyle name="Normal 2 5 3 3 2 5" xfId="16446" xr:uid="{00000000-0005-0000-0000-00003C400000}"/>
    <cellStyle name="Normal 2 5 3 3 2 5 2" xfId="16447" xr:uid="{00000000-0005-0000-0000-00003D400000}"/>
    <cellStyle name="Normal 2 5 3 3 2 6" xfId="16448" xr:uid="{00000000-0005-0000-0000-00003E400000}"/>
    <cellStyle name="Normal 2 5 3 3 2 6 2" xfId="16449" xr:uid="{00000000-0005-0000-0000-00003F400000}"/>
    <cellStyle name="Normal 2 5 3 3 2 7" xfId="16450" xr:uid="{00000000-0005-0000-0000-000040400000}"/>
    <cellStyle name="Normal 2 5 3 3 3" xfId="16451" xr:uid="{00000000-0005-0000-0000-000041400000}"/>
    <cellStyle name="Normal 2 5 3 3 3 2" xfId="16452" xr:uid="{00000000-0005-0000-0000-000042400000}"/>
    <cellStyle name="Normal 2 5 3 3 3 2 2" xfId="16453" xr:uid="{00000000-0005-0000-0000-000043400000}"/>
    <cellStyle name="Normal 2 5 3 3 3 3" xfId="16454" xr:uid="{00000000-0005-0000-0000-000044400000}"/>
    <cellStyle name="Normal 2 5 3 3 3 3 2" xfId="16455" xr:uid="{00000000-0005-0000-0000-000045400000}"/>
    <cellStyle name="Normal 2 5 3 3 3 4" xfId="16456" xr:uid="{00000000-0005-0000-0000-000046400000}"/>
    <cellStyle name="Normal 2 5 3 3 3 4 2" xfId="16457" xr:uid="{00000000-0005-0000-0000-000047400000}"/>
    <cellStyle name="Normal 2 5 3 3 3 5" xfId="16458" xr:uid="{00000000-0005-0000-0000-000048400000}"/>
    <cellStyle name="Normal 2 5 3 3 3 5 2" xfId="16459" xr:uid="{00000000-0005-0000-0000-000049400000}"/>
    <cellStyle name="Normal 2 5 3 3 3 6" xfId="16460" xr:uid="{00000000-0005-0000-0000-00004A400000}"/>
    <cellStyle name="Normal 2 5 3 3 4" xfId="16461" xr:uid="{00000000-0005-0000-0000-00004B400000}"/>
    <cellStyle name="Normal 2 5 3 3 4 2" xfId="16462" xr:uid="{00000000-0005-0000-0000-00004C400000}"/>
    <cellStyle name="Normal 2 5 3 3 4 2 2" xfId="16463" xr:uid="{00000000-0005-0000-0000-00004D400000}"/>
    <cellStyle name="Normal 2 5 3 3 4 3" xfId="16464" xr:uid="{00000000-0005-0000-0000-00004E400000}"/>
    <cellStyle name="Normal 2 5 3 3 5" xfId="16465" xr:uid="{00000000-0005-0000-0000-00004F400000}"/>
    <cellStyle name="Normal 2 5 3 3 5 2" xfId="16466" xr:uid="{00000000-0005-0000-0000-000050400000}"/>
    <cellStyle name="Normal 2 5 3 3 6" xfId="16467" xr:uid="{00000000-0005-0000-0000-000051400000}"/>
    <cellStyle name="Normal 2 5 3 3 6 2" xfId="16468" xr:uid="{00000000-0005-0000-0000-000052400000}"/>
    <cellStyle name="Normal 2 5 3 3 7" xfId="16469" xr:uid="{00000000-0005-0000-0000-000053400000}"/>
    <cellStyle name="Normal 2 5 3 3 7 2" xfId="16470" xr:uid="{00000000-0005-0000-0000-000054400000}"/>
    <cellStyle name="Normal 2 5 3 3 8" xfId="16471" xr:uid="{00000000-0005-0000-0000-000055400000}"/>
    <cellStyle name="Normal 2 5 3 4" xfId="16472" xr:uid="{00000000-0005-0000-0000-000056400000}"/>
    <cellStyle name="Normal 2 5 3 4 2" xfId="16473" xr:uid="{00000000-0005-0000-0000-000057400000}"/>
    <cellStyle name="Normal 2 5 3 4 2 2" xfId="16474" xr:uid="{00000000-0005-0000-0000-000058400000}"/>
    <cellStyle name="Normal 2 5 3 4 2 2 2" xfId="16475" xr:uid="{00000000-0005-0000-0000-000059400000}"/>
    <cellStyle name="Normal 2 5 3 4 2 2 2 2" xfId="16476" xr:uid="{00000000-0005-0000-0000-00005A400000}"/>
    <cellStyle name="Normal 2 5 3 4 2 2 3" xfId="16477" xr:uid="{00000000-0005-0000-0000-00005B400000}"/>
    <cellStyle name="Normal 2 5 3 4 2 2 3 2" xfId="16478" xr:uid="{00000000-0005-0000-0000-00005C400000}"/>
    <cellStyle name="Normal 2 5 3 4 2 2 4" xfId="16479" xr:uid="{00000000-0005-0000-0000-00005D400000}"/>
    <cellStyle name="Normal 2 5 3 4 2 3" xfId="16480" xr:uid="{00000000-0005-0000-0000-00005E400000}"/>
    <cellStyle name="Normal 2 5 3 4 2 3 2" xfId="16481" xr:uid="{00000000-0005-0000-0000-00005F400000}"/>
    <cellStyle name="Normal 2 5 3 4 2 4" xfId="16482" xr:uid="{00000000-0005-0000-0000-000060400000}"/>
    <cellStyle name="Normal 2 5 3 4 2 4 2" xfId="16483" xr:uid="{00000000-0005-0000-0000-000061400000}"/>
    <cellStyle name="Normal 2 5 3 4 2 5" xfId="16484" xr:uid="{00000000-0005-0000-0000-000062400000}"/>
    <cellStyle name="Normal 2 5 3 4 2 5 2" xfId="16485" xr:uid="{00000000-0005-0000-0000-000063400000}"/>
    <cellStyle name="Normal 2 5 3 4 2 6" xfId="16486" xr:uid="{00000000-0005-0000-0000-000064400000}"/>
    <cellStyle name="Normal 2 5 3 4 2 6 2" xfId="16487" xr:uid="{00000000-0005-0000-0000-000065400000}"/>
    <cellStyle name="Normal 2 5 3 4 2 7" xfId="16488" xr:uid="{00000000-0005-0000-0000-000066400000}"/>
    <cellStyle name="Normal 2 5 3 4 3" xfId="16489" xr:uid="{00000000-0005-0000-0000-000067400000}"/>
    <cellStyle name="Normal 2 5 3 4 3 2" xfId="16490" xr:uid="{00000000-0005-0000-0000-000068400000}"/>
    <cellStyle name="Normal 2 5 3 4 3 2 2" xfId="16491" xr:uid="{00000000-0005-0000-0000-000069400000}"/>
    <cellStyle name="Normal 2 5 3 4 3 3" xfId="16492" xr:uid="{00000000-0005-0000-0000-00006A400000}"/>
    <cellStyle name="Normal 2 5 3 4 3 3 2" xfId="16493" xr:uid="{00000000-0005-0000-0000-00006B400000}"/>
    <cellStyle name="Normal 2 5 3 4 3 4" xfId="16494" xr:uid="{00000000-0005-0000-0000-00006C400000}"/>
    <cellStyle name="Normal 2 5 3 4 3 4 2" xfId="16495" xr:uid="{00000000-0005-0000-0000-00006D400000}"/>
    <cellStyle name="Normal 2 5 3 4 3 5" xfId="16496" xr:uid="{00000000-0005-0000-0000-00006E400000}"/>
    <cellStyle name="Normal 2 5 3 4 3 5 2" xfId="16497" xr:uid="{00000000-0005-0000-0000-00006F400000}"/>
    <cellStyle name="Normal 2 5 3 4 3 6" xfId="16498" xr:uid="{00000000-0005-0000-0000-000070400000}"/>
    <cellStyle name="Normal 2 5 3 4 4" xfId="16499" xr:uid="{00000000-0005-0000-0000-000071400000}"/>
    <cellStyle name="Normal 2 5 3 4 4 2" xfId="16500" xr:uid="{00000000-0005-0000-0000-000072400000}"/>
    <cellStyle name="Normal 2 5 3 4 4 2 2" xfId="16501" xr:uid="{00000000-0005-0000-0000-000073400000}"/>
    <cellStyle name="Normal 2 5 3 4 4 3" xfId="16502" xr:uid="{00000000-0005-0000-0000-000074400000}"/>
    <cellStyle name="Normal 2 5 3 4 5" xfId="16503" xr:uid="{00000000-0005-0000-0000-000075400000}"/>
    <cellStyle name="Normal 2 5 3 4 5 2" xfId="16504" xr:uid="{00000000-0005-0000-0000-000076400000}"/>
    <cellStyle name="Normal 2 5 3 4 6" xfId="16505" xr:uid="{00000000-0005-0000-0000-000077400000}"/>
    <cellStyle name="Normal 2 5 3 4 6 2" xfId="16506" xr:uid="{00000000-0005-0000-0000-000078400000}"/>
    <cellStyle name="Normal 2 5 3 4 7" xfId="16507" xr:uid="{00000000-0005-0000-0000-000079400000}"/>
    <cellStyle name="Normal 2 5 3 4 7 2" xfId="16508" xr:uid="{00000000-0005-0000-0000-00007A400000}"/>
    <cellStyle name="Normal 2 5 3 4 8" xfId="16509" xr:uid="{00000000-0005-0000-0000-00007B400000}"/>
    <cellStyle name="Normal 2 5 3 5" xfId="16510" xr:uid="{00000000-0005-0000-0000-00007C400000}"/>
    <cellStyle name="Normal 2 5 3 5 2" xfId="16511" xr:uid="{00000000-0005-0000-0000-00007D400000}"/>
    <cellStyle name="Normal 2 5 3 5 2 2" xfId="16512" xr:uid="{00000000-0005-0000-0000-00007E400000}"/>
    <cellStyle name="Normal 2 5 3 5 2 2 2" xfId="16513" xr:uid="{00000000-0005-0000-0000-00007F400000}"/>
    <cellStyle name="Normal 2 5 3 5 2 3" xfId="16514" xr:uid="{00000000-0005-0000-0000-000080400000}"/>
    <cellStyle name="Normal 2 5 3 5 2 3 2" xfId="16515" xr:uid="{00000000-0005-0000-0000-000081400000}"/>
    <cellStyle name="Normal 2 5 3 5 2 4" xfId="16516" xr:uid="{00000000-0005-0000-0000-000082400000}"/>
    <cellStyle name="Normal 2 5 3 5 3" xfId="16517" xr:uid="{00000000-0005-0000-0000-000083400000}"/>
    <cellStyle name="Normal 2 5 3 5 3 2" xfId="16518" xr:uid="{00000000-0005-0000-0000-000084400000}"/>
    <cellStyle name="Normal 2 5 3 5 4" xfId="16519" xr:uid="{00000000-0005-0000-0000-000085400000}"/>
    <cellStyle name="Normal 2 5 3 5 4 2" xfId="16520" xr:uid="{00000000-0005-0000-0000-000086400000}"/>
    <cellStyle name="Normal 2 5 3 5 5" xfId="16521" xr:uid="{00000000-0005-0000-0000-000087400000}"/>
    <cellStyle name="Normal 2 5 3 5 5 2" xfId="16522" xr:uid="{00000000-0005-0000-0000-000088400000}"/>
    <cellStyle name="Normal 2 5 3 5 6" xfId="16523" xr:uid="{00000000-0005-0000-0000-000089400000}"/>
    <cellStyle name="Normal 2 5 3 5 6 2" xfId="16524" xr:uid="{00000000-0005-0000-0000-00008A400000}"/>
    <cellStyle name="Normal 2 5 3 5 7" xfId="16525" xr:uid="{00000000-0005-0000-0000-00008B400000}"/>
    <cellStyle name="Normal 2 5 3 6" xfId="16526" xr:uid="{00000000-0005-0000-0000-00008C400000}"/>
    <cellStyle name="Normal 2 5 3 6 2" xfId="16527" xr:uid="{00000000-0005-0000-0000-00008D400000}"/>
    <cellStyle name="Normal 2 5 3 6 2 2" xfId="16528" xr:uid="{00000000-0005-0000-0000-00008E400000}"/>
    <cellStyle name="Normal 2 5 3 6 3" xfId="16529" xr:uid="{00000000-0005-0000-0000-00008F400000}"/>
    <cellStyle name="Normal 2 5 3 6 3 2" xfId="16530" xr:uid="{00000000-0005-0000-0000-000090400000}"/>
    <cellStyle name="Normal 2 5 3 6 4" xfId="16531" xr:uid="{00000000-0005-0000-0000-000091400000}"/>
    <cellStyle name="Normal 2 5 3 6 4 2" xfId="16532" xr:uid="{00000000-0005-0000-0000-000092400000}"/>
    <cellStyle name="Normal 2 5 3 6 5" xfId="16533" xr:uid="{00000000-0005-0000-0000-000093400000}"/>
    <cellStyle name="Normal 2 5 3 6 5 2" xfId="16534" xr:uid="{00000000-0005-0000-0000-000094400000}"/>
    <cellStyle name="Normal 2 5 3 6 6" xfId="16535" xr:uid="{00000000-0005-0000-0000-000095400000}"/>
    <cellStyle name="Normal 2 5 3 7" xfId="16536" xr:uid="{00000000-0005-0000-0000-000096400000}"/>
    <cellStyle name="Normal 2 5 3 7 2" xfId="16537" xr:uid="{00000000-0005-0000-0000-000097400000}"/>
    <cellStyle name="Normal 2 5 3 7 2 2" xfId="16538" xr:uid="{00000000-0005-0000-0000-000098400000}"/>
    <cellStyle name="Normal 2 5 3 7 3" xfId="16539" xr:uid="{00000000-0005-0000-0000-000099400000}"/>
    <cellStyle name="Normal 2 5 3 8" xfId="16540" xr:uid="{00000000-0005-0000-0000-00009A400000}"/>
    <cellStyle name="Normal 2 5 3 8 2" xfId="16541" xr:uid="{00000000-0005-0000-0000-00009B400000}"/>
    <cellStyle name="Normal 2 5 3 9" xfId="16542" xr:uid="{00000000-0005-0000-0000-00009C400000}"/>
    <cellStyle name="Normal 2 5 3 9 2" xfId="16543" xr:uid="{00000000-0005-0000-0000-00009D400000}"/>
    <cellStyle name="Normal 2 5 4" xfId="16544" xr:uid="{00000000-0005-0000-0000-00009E400000}"/>
    <cellStyle name="Normal 2 5 4 10" xfId="16545" xr:uid="{00000000-0005-0000-0000-00009F400000}"/>
    <cellStyle name="Normal 2 5 4 2" xfId="16546" xr:uid="{00000000-0005-0000-0000-0000A0400000}"/>
    <cellStyle name="Normal 2 5 4 2 2" xfId="16547" xr:uid="{00000000-0005-0000-0000-0000A1400000}"/>
    <cellStyle name="Normal 2 5 4 2 2 2" xfId="16548" xr:uid="{00000000-0005-0000-0000-0000A2400000}"/>
    <cellStyle name="Normal 2 5 4 2 2 2 2" xfId="16549" xr:uid="{00000000-0005-0000-0000-0000A3400000}"/>
    <cellStyle name="Normal 2 5 4 2 2 2 2 2" xfId="16550" xr:uid="{00000000-0005-0000-0000-0000A4400000}"/>
    <cellStyle name="Normal 2 5 4 2 2 2 3" xfId="16551" xr:uid="{00000000-0005-0000-0000-0000A5400000}"/>
    <cellStyle name="Normal 2 5 4 2 2 2 3 2" xfId="16552" xr:uid="{00000000-0005-0000-0000-0000A6400000}"/>
    <cellStyle name="Normal 2 5 4 2 2 2 4" xfId="16553" xr:uid="{00000000-0005-0000-0000-0000A7400000}"/>
    <cellStyle name="Normal 2 5 4 2 2 3" xfId="16554" xr:uid="{00000000-0005-0000-0000-0000A8400000}"/>
    <cellStyle name="Normal 2 5 4 2 2 3 2" xfId="16555" xr:uid="{00000000-0005-0000-0000-0000A9400000}"/>
    <cellStyle name="Normal 2 5 4 2 2 4" xfId="16556" xr:uid="{00000000-0005-0000-0000-0000AA400000}"/>
    <cellStyle name="Normal 2 5 4 2 2 4 2" xfId="16557" xr:uid="{00000000-0005-0000-0000-0000AB400000}"/>
    <cellStyle name="Normal 2 5 4 2 2 5" xfId="16558" xr:uid="{00000000-0005-0000-0000-0000AC400000}"/>
    <cellStyle name="Normal 2 5 4 2 2 5 2" xfId="16559" xr:uid="{00000000-0005-0000-0000-0000AD400000}"/>
    <cellStyle name="Normal 2 5 4 2 2 6" xfId="16560" xr:uid="{00000000-0005-0000-0000-0000AE400000}"/>
    <cellStyle name="Normal 2 5 4 2 2 6 2" xfId="16561" xr:uid="{00000000-0005-0000-0000-0000AF400000}"/>
    <cellStyle name="Normal 2 5 4 2 2 7" xfId="16562" xr:uid="{00000000-0005-0000-0000-0000B0400000}"/>
    <cellStyle name="Normal 2 5 4 2 3" xfId="16563" xr:uid="{00000000-0005-0000-0000-0000B1400000}"/>
    <cellStyle name="Normal 2 5 4 2 3 2" xfId="16564" xr:uid="{00000000-0005-0000-0000-0000B2400000}"/>
    <cellStyle name="Normal 2 5 4 2 3 2 2" xfId="16565" xr:uid="{00000000-0005-0000-0000-0000B3400000}"/>
    <cellStyle name="Normal 2 5 4 2 3 3" xfId="16566" xr:uid="{00000000-0005-0000-0000-0000B4400000}"/>
    <cellStyle name="Normal 2 5 4 2 3 3 2" xfId="16567" xr:uid="{00000000-0005-0000-0000-0000B5400000}"/>
    <cellStyle name="Normal 2 5 4 2 3 4" xfId="16568" xr:uid="{00000000-0005-0000-0000-0000B6400000}"/>
    <cellStyle name="Normal 2 5 4 2 3 4 2" xfId="16569" xr:uid="{00000000-0005-0000-0000-0000B7400000}"/>
    <cellStyle name="Normal 2 5 4 2 3 5" xfId="16570" xr:uid="{00000000-0005-0000-0000-0000B8400000}"/>
    <cellStyle name="Normal 2 5 4 2 3 5 2" xfId="16571" xr:uid="{00000000-0005-0000-0000-0000B9400000}"/>
    <cellStyle name="Normal 2 5 4 2 3 6" xfId="16572" xr:uid="{00000000-0005-0000-0000-0000BA400000}"/>
    <cellStyle name="Normal 2 5 4 2 4" xfId="16573" xr:uid="{00000000-0005-0000-0000-0000BB400000}"/>
    <cellStyle name="Normal 2 5 4 2 4 2" xfId="16574" xr:uid="{00000000-0005-0000-0000-0000BC400000}"/>
    <cellStyle name="Normal 2 5 4 2 4 2 2" xfId="16575" xr:uid="{00000000-0005-0000-0000-0000BD400000}"/>
    <cellStyle name="Normal 2 5 4 2 4 3" xfId="16576" xr:uid="{00000000-0005-0000-0000-0000BE400000}"/>
    <cellStyle name="Normal 2 5 4 2 5" xfId="16577" xr:uid="{00000000-0005-0000-0000-0000BF400000}"/>
    <cellStyle name="Normal 2 5 4 2 5 2" xfId="16578" xr:uid="{00000000-0005-0000-0000-0000C0400000}"/>
    <cellStyle name="Normal 2 5 4 2 6" xfId="16579" xr:uid="{00000000-0005-0000-0000-0000C1400000}"/>
    <cellStyle name="Normal 2 5 4 2 6 2" xfId="16580" xr:uid="{00000000-0005-0000-0000-0000C2400000}"/>
    <cellStyle name="Normal 2 5 4 2 7" xfId="16581" xr:uid="{00000000-0005-0000-0000-0000C3400000}"/>
    <cellStyle name="Normal 2 5 4 2 7 2" xfId="16582" xr:uid="{00000000-0005-0000-0000-0000C4400000}"/>
    <cellStyle name="Normal 2 5 4 2 8" xfId="16583" xr:uid="{00000000-0005-0000-0000-0000C5400000}"/>
    <cellStyle name="Normal 2 5 4 3" xfId="16584" xr:uid="{00000000-0005-0000-0000-0000C6400000}"/>
    <cellStyle name="Normal 2 5 4 3 2" xfId="16585" xr:uid="{00000000-0005-0000-0000-0000C7400000}"/>
    <cellStyle name="Normal 2 5 4 3 2 2" xfId="16586" xr:uid="{00000000-0005-0000-0000-0000C8400000}"/>
    <cellStyle name="Normal 2 5 4 3 2 2 2" xfId="16587" xr:uid="{00000000-0005-0000-0000-0000C9400000}"/>
    <cellStyle name="Normal 2 5 4 3 2 2 2 2" xfId="16588" xr:uid="{00000000-0005-0000-0000-0000CA400000}"/>
    <cellStyle name="Normal 2 5 4 3 2 2 3" xfId="16589" xr:uid="{00000000-0005-0000-0000-0000CB400000}"/>
    <cellStyle name="Normal 2 5 4 3 2 2 3 2" xfId="16590" xr:uid="{00000000-0005-0000-0000-0000CC400000}"/>
    <cellStyle name="Normal 2 5 4 3 2 2 4" xfId="16591" xr:uid="{00000000-0005-0000-0000-0000CD400000}"/>
    <cellStyle name="Normal 2 5 4 3 2 3" xfId="16592" xr:uid="{00000000-0005-0000-0000-0000CE400000}"/>
    <cellStyle name="Normal 2 5 4 3 2 3 2" xfId="16593" xr:uid="{00000000-0005-0000-0000-0000CF400000}"/>
    <cellStyle name="Normal 2 5 4 3 2 4" xfId="16594" xr:uid="{00000000-0005-0000-0000-0000D0400000}"/>
    <cellStyle name="Normal 2 5 4 3 2 4 2" xfId="16595" xr:uid="{00000000-0005-0000-0000-0000D1400000}"/>
    <cellStyle name="Normal 2 5 4 3 2 5" xfId="16596" xr:uid="{00000000-0005-0000-0000-0000D2400000}"/>
    <cellStyle name="Normal 2 5 4 3 2 5 2" xfId="16597" xr:uid="{00000000-0005-0000-0000-0000D3400000}"/>
    <cellStyle name="Normal 2 5 4 3 2 6" xfId="16598" xr:uid="{00000000-0005-0000-0000-0000D4400000}"/>
    <cellStyle name="Normal 2 5 4 3 2 6 2" xfId="16599" xr:uid="{00000000-0005-0000-0000-0000D5400000}"/>
    <cellStyle name="Normal 2 5 4 3 2 7" xfId="16600" xr:uid="{00000000-0005-0000-0000-0000D6400000}"/>
    <cellStyle name="Normal 2 5 4 3 3" xfId="16601" xr:uid="{00000000-0005-0000-0000-0000D7400000}"/>
    <cellStyle name="Normal 2 5 4 3 3 2" xfId="16602" xr:uid="{00000000-0005-0000-0000-0000D8400000}"/>
    <cellStyle name="Normal 2 5 4 3 3 2 2" xfId="16603" xr:uid="{00000000-0005-0000-0000-0000D9400000}"/>
    <cellStyle name="Normal 2 5 4 3 3 3" xfId="16604" xr:uid="{00000000-0005-0000-0000-0000DA400000}"/>
    <cellStyle name="Normal 2 5 4 3 3 3 2" xfId="16605" xr:uid="{00000000-0005-0000-0000-0000DB400000}"/>
    <cellStyle name="Normal 2 5 4 3 3 4" xfId="16606" xr:uid="{00000000-0005-0000-0000-0000DC400000}"/>
    <cellStyle name="Normal 2 5 4 3 3 4 2" xfId="16607" xr:uid="{00000000-0005-0000-0000-0000DD400000}"/>
    <cellStyle name="Normal 2 5 4 3 3 5" xfId="16608" xr:uid="{00000000-0005-0000-0000-0000DE400000}"/>
    <cellStyle name="Normal 2 5 4 3 3 5 2" xfId="16609" xr:uid="{00000000-0005-0000-0000-0000DF400000}"/>
    <cellStyle name="Normal 2 5 4 3 3 6" xfId="16610" xr:uid="{00000000-0005-0000-0000-0000E0400000}"/>
    <cellStyle name="Normal 2 5 4 3 4" xfId="16611" xr:uid="{00000000-0005-0000-0000-0000E1400000}"/>
    <cellStyle name="Normal 2 5 4 3 4 2" xfId="16612" xr:uid="{00000000-0005-0000-0000-0000E2400000}"/>
    <cellStyle name="Normal 2 5 4 3 4 2 2" xfId="16613" xr:uid="{00000000-0005-0000-0000-0000E3400000}"/>
    <cellStyle name="Normal 2 5 4 3 4 3" xfId="16614" xr:uid="{00000000-0005-0000-0000-0000E4400000}"/>
    <cellStyle name="Normal 2 5 4 3 5" xfId="16615" xr:uid="{00000000-0005-0000-0000-0000E5400000}"/>
    <cellStyle name="Normal 2 5 4 3 5 2" xfId="16616" xr:uid="{00000000-0005-0000-0000-0000E6400000}"/>
    <cellStyle name="Normal 2 5 4 3 6" xfId="16617" xr:uid="{00000000-0005-0000-0000-0000E7400000}"/>
    <cellStyle name="Normal 2 5 4 3 6 2" xfId="16618" xr:uid="{00000000-0005-0000-0000-0000E8400000}"/>
    <cellStyle name="Normal 2 5 4 3 7" xfId="16619" xr:uid="{00000000-0005-0000-0000-0000E9400000}"/>
    <cellStyle name="Normal 2 5 4 3 7 2" xfId="16620" xr:uid="{00000000-0005-0000-0000-0000EA400000}"/>
    <cellStyle name="Normal 2 5 4 3 8" xfId="16621" xr:uid="{00000000-0005-0000-0000-0000EB400000}"/>
    <cellStyle name="Normal 2 5 4 4" xfId="16622" xr:uid="{00000000-0005-0000-0000-0000EC400000}"/>
    <cellStyle name="Normal 2 5 4 4 2" xfId="16623" xr:uid="{00000000-0005-0000-0000-0000ED400000}"/>
    <cellStyle name="Normal 2 5 4 4 2 2" xfId="16624" xr:uid="{00000000-0005-0000-0000-0000EE400000}"/>
    <cellStyle name="Normal 2 5 4 4 2 2 2" xfId="16625" xr:uid="{00000000-0005-0000-0000-0000EF400000}"/>
    <cellStyle name="Normal 2 5 4 4 2 3" xfId="16626" xr:uid="{00000000-0005-0000-0000-0000F0400000}"/>
    <cellStyle name="Normal 2 5 4 4 2 3 2" xfId="16627" xr:uid="{00000000-0005-0000-0000-0000F1400000}"/>
    <cellStyle name="Normal 2 5 4 4 2 4" xfId="16628" xr:uid="{00000000-0005-0000-0000-0000F2400000}"/>
    <cellStyle name="Normal 2 5 4 4 3" xfId="16629" xr:uid="{00000000-0005-0000-0000-0000F3400000}"/>
    <cellStyle name="Normal 2 5 4 4 3 2" xfId="16630" xr:uid="{00000000-0005-0000-0000-0000F4400000}"/>
    <cellStyle name="Normal 2 5 4 4 4" xfId="16631" xr:uid="{00000000-0005-0000-0000-0000F5400000}"/>
    <cellStyle name="Normal 2 5 4 4 4 2" xfId="16632" xr:uid="{00000000-0005-0000-0000-0000F6400000}"/>
    <cellStyle name="Normal 2 5 4 4 5" xfId="16633" xr:uid="{00000000-0005-0000-0000-0000F7400000}"/>
    <cellStyle name="Normal 2 5 4 4 5 2" xfId="16634" xr:uid="{00000000-0005-0000-0000-0000F8400000}"/>
    <cellStyle name="Normal 2 5 4 4 6" xfId="16635" xr:uid="{00000000-0005-0000-0000-0000F9400000}"/>
    <cellStyle name="Normal 2 5 4 4 6 2" xfId="16636" xr:uid="{00000000-0005-0000-0000-0000FA400000}"/>
    <cellStyle name="Normal 2 5 4 4 7" xfId="16637" xr:uid="{00000000-0005-0000-0000-0000FB400000}"/>
    <cellStyle name="Normal 2 5 4 5" xfId="16638" xr:uid="{00000000-0005-0000-0000-0000FC400000}"/>
    <cellStyle name="Normal 2 5 4 5 2" xfId="16639" xr:uid="{00000000-0005-0000-0000-0000FD400000}"/>
    <cellStyle name="Normal 2 5 4 5 2 2" xfId="16640" xr:uid="{00000000-0005-0000-0000-0000FE400000}"/>
    <cellStyle name="Normal 2 5 4 5 3" xfId="16641" xr:uid="{00000000-0005-0000-0000-0000FF400000}"/>
    <cellStyle name="Normal 2 5 4 5 3 2" xfId="16642" xr:uid="{00000000-0005-0000-0000-000000410000}"/>
    <cellStyle name="Normal 2 5 4 5 4" xfId="16643" xr:uid="{00000000-0005-0000-0000-000001410000}"/>
    <cellStyle name="Normal 2 5 4 5 4 2" xfId="16644" xr:uid="{00000000-0005-0000-0000-000002410000}"/>
    <cellStyle name="Normal 2 5 4 5 5" xfId="16645" xr:uid="{00000000-0005-0000-0000-000003410000}"/>
    <cellStyle name="Normal 2 5 4 5 5 2" xfId="16646" xr:uid="{00000000-0005-0000-0000-000004410000}"/>
    <cellStyle name="Normal 2 5 4 5 6" xfId="16647" xr:uid="{00000000-0005-0000-0000-000005410000}"/>
    <cellStyle name="Normal 2 5 4 6" xfId="16648" xr:uid="{00000000-0005-0000-0000-000006410000}"/>
    <cellStyle name="Normal 2 5 4 6 2" xfId="16649" xr:uid="{00000000-0005-0000-0000-000007410000}"/>
    <cellStyle name="Normal 2 5 4 6 2 2" xfId="16650" xr:uid="{00000000-0005-0000-0000-000008410000}"/>
    <cellStyle name="Normal 2 5 4 6 3" xfId="16651" xr:uid="{00000000-0005-0000-0000-000009410000}"/>
    <cellStyle name="Normal 2 5 4 7" xfId="16652" xr:uid="{00000000-0005-0000-0000-00000A410000}"/>
    <cellStyle name="Normal 2 5 4 7 2" xfId="16653" xr:uid="{00000000-0005-0000-0000-00000B410000}"/>
    <cellStyle name="Normal 2 5 4 8" xfId="16654" xr:uid="{00000000-0005-0000-0000-00000C410000}"/>
    <cellStyle name="Normal 2 5 4 8 2" xfId="16655" xr:uid="{00000000-0005-0000-0000-00000D410000}"/>
    <cellStyle name="Normal 2 5 4 9" xfId="16656" xr:uid="{00000000-0005-0000-0000-00000E410000}"/>
    <cellStyle name="Normal 2 5 4 9 2" xfId="16657" xr:uid="{00000000-0005-0000-0000-00000F410000}"/>
    <cellStyle name="Normal 2 5 5" xfId="16658" xr:uid="{00000000-0005-0000-0000-000010410000}"/>
    <cellStyle name="Normal 2 5 5 2" xfId="16659" xr:uid="{00000000-0005-0000-0000-000011410000}"/>
    <cellStyle name="Normal 2 5 5 2 2" xfId="16660" xr:uid="{00000000-0005-0000-0000-000012410000}"/>
    <cellStyle name="Normal 2 5 5 2 2 2" xfId="16661" xr:uid="{00000000-0005-0000-0000-000013410000}"/>
    <cellStyle name="Normal 2 5 5 2 2 2 2" xfId="16662" xr:uid="{00000000-0005-0000-0000-000014410000}"/>
    <cellStyle name="Normal 2 5 5 2 2 3" xfId="16663" xr:uid="{00000000-0005-0000-0000-000015410000}"/>
    <cellStyle name="Normal 2 5 5 2 2 3 2" xfId="16664" xr:uid="{00000000-0005-0000-0000-000016410000}"/>
    <cellStyle name="Normal 2 5 5 2 2 4" xfId="16665" xr:uid="{00000000-0005-0000-0000-000017410000}"/>
    <cellStyle name="Normal 2 5 5 2 3" xfId="16666" xr:uid="{00000000-0005-0000-0000-000018410000}"/>
    <cellStyle name="Normal 2 5 5 2 3 2" xfId="16667" xr:uid="{00000000-0005-0000-0000-000019410000}"/>
    <cellStyle name="Normal 2 5 5 2 4" xfId="16668" xr:uid="{00000000-0005-0000-0000-00001A410000}"/>
    <cellStyle name="Normal 2 5 5 2 4 2" xfId="16669" xr:uid="{00000000-0005-0000-0000-00001B410000}"/>
    <cellStyle name="Normal 2 5 5 2 5" xfId="16670" xr:uid="{00000000-0005-0000-0000-00001C410000}"/>
    <cellStyle name="Normal 2 5 5 2 5 2" xfId="16671" xr:uid="{00000000-0005-0000-0000-00001D410000}"/>
    <cellStyle name="Normal 2 5 5 2 6" xfId="16672" xr:uid="{00000000-0005-0000-0000-00001E410000}"/>
    <cellStyle name="Normal 2 5 5 2 6 2" xfId="16673" xr:uid="{00000000-0005-0000-0000-00001F410000}"/>
    <cellStyle name="Normal 2 5 5 2 7" xfId="16674" xr:uid="{00000000-0005-0000-0000-000020410000}"/>
    <cellStyle name="Normal 2 5 5 3" xfId="16675" xr:uid="{00000000-0005-0000-0000-000021410000}"/>
    <cellStyle name="Normal 2 5 5 3 2" xfId="16676" xr:uid="{00000000-0005-0000-0000-000022410000}"/>
    <cellStyle name="Normal 2 5 5 3 2 2" xfId="16677" xr:uid="{00000000-0005-0000-0000-000023410000}"/>
    <cellStyle name="Normal 2 5 5 3 3" xfId="16678" xr:uid="{00000000-0005-0000-0000-000024410000}"/>
    <cellStyle name="Normal 2 5 5 3 3 2" xfId="16679" xr:uid="{00000000-0005-0000-0000-000025410000}"/>
    <cellStyle name="Normal 2 5 5 3 4" xfId="16680" xr:uid="{00000000-0005-0000-0000-000026410000}"/>
    <cellStyle name="Normal 2 5 5 3 4 2" xfId="16681" xr:uid="{00000000-0005-0000-0000-000027410000}"/>
    <cellStyle name="Normal 2 5 5 3 5" xfId="16682" xr:uid="{00000000-0005-0000-0000-000028410000}"/>
    <cellStyle name="Normal 2 5 5 3 5 2" xfId="16683" xr:uid="{00000000-0005-0000-0000-000029410000}"/>
    <cellStyle name="Normal 2 5 5 3 6" xfId="16684" xr:uid="{00000000-0005-0000-0000-00002A410000}"/>
    <cellStyle name="Normal 2 5 5 4" xfId="16685" xr:uid="{00000000-0005-0000-0000-00002B410000}"/>
    <cellStyle name="Normal 2 5 5 4 2" xfId="16686" xr:uid="{00000000-0005-0000-0000-00002C410000}"/>
    <cellStyle name="Normal 2 5 5 4 2 2" xfId="16687" xr:uid="{00000000-0005-0000-0000-00002D410000}"/>
    <cellStyle name="Normal 2 5 5 4 3" xfId="16688" xr:uid="{00000000-0005-0000-0000-00002E410000}"/>
    <cellStyle name="Normal 2 5 5 5" xfId="16689" xr:uid="{00000000-0005-0000-0000-00002F410000}"/>
    <cellStyle name="Normal 2 5 5 5 2" xfId="16690" xr:uid="{00000000-0005-0000-0000-000030410000}"/>
    <cellStyle name="Normal 2 5 5 6" xfId="16691" xr:uid="{00000000-0005-0000-0000-000031410000}"/>
    <cellStyle name="Normal 2 5 5 6 2" xfId="16692" xr:uid="{00000000-0005-0000-0000-000032410000}"/>
    <cellStyle name="Normal 2 5 5 7" xfId="16693" xr:uid="{00000000-0005-0000-0000-000033410000}"/>
    <cellStyle name="Normal 2 5 5 7 2" xfId="16694" xr:uid="{00000000-0005-0000-0000-000034410000}"/>
    <cellStyle name="Normal 2 5 5 8" xfId="16695" xr:uid="{00000000-0005-0000-0000-000035410000}"/>
    <cellStyle name="Normal 2 5 6" xfId="16696" xr:uid="{00000000-0005-0000-0000-000036410000}"/>
    <cellStyle name="Normal 2 5 6 2" xfId="16697" xr:uid="{00000000-0005-0000-0000-000037410000}"/>
    <cellStyle name="Normal 2 5 6 2 2" xfId="16698" xr:uid="{00000000-0005-0000-0000-000038410000}"/>
    <cellStyle name="Normal 2 5 6 2 2 2" xfId="16699" xr:uid="{00000000-0005-0000-0000-000039410000}"/>
    <cellStyle name="Normal 2 5 6 2 2 2 2" xfId="16700" xr:uid="{00000000-0005-0000-0000-00003A410000}"/>
    <cellStyle name="Normal 2 5 6 2 2 3" xfId="16701" xr:uid="{00000000-0005-0000-0000-00003B410000}"/>
    <cellStyle name="Normal 2 5 6 2 2 3 2" xfId="16702" xr:uid="{00000000-0005-0000-0000-00003C410000}"/>
    <cellStyle name="Normal 2 5 6 2 2 4" xfId="16703" xr:uid="{00000000-0005-0000-0000-00003D410000}"/>
    <cellStyle name="Normal 2 5 6 2 3" xfId="16704" xr:uid="{00000000-0005-0000-0000-00003E410000}"/>
    <cellStyle name="Normal 2 5 6 2 3 2" xfId="16705" xr:uid="{00000000-0005-0000-0000-00003F410000}"/>
    <cellStyle name="Normal 2 5 6 2 4" xfId="16706" xr:uid="{00000000-0005-0000-0000-000040410000}"/>
    <cellStyle name="Normal 2 5 6 2 4 2" xfId="16707" xr:uid="{00000000-0005-0000-0000-000041410000}"/>
    <cellStyle name="Normal 2 5 6 2 5" xfId="16708" xr:uid="{00000000-0005-0000-0000-000042410000}"/>
    <cellStyle name="Normal 2 5 6 2 5 2" xfId="16709" xr:uid="{00000000-0005-0000-0000-000043410000}"/>
    <cellStyle name="Normal 2 5 6 2 6" xfId="16710" xr:uid="{00000000-0005-0000-0000-000044410000}"/>
    <cellStyle name="Normal 2 5 6 2 6 2" xfId="16711" xr:uid="{00000000-0005-0000-0000-000045410000}"/>
    <cellStyle name="Normal 2 5 6 2 7" xfId="16712" xr:uid="{00000000-0005-0000-0000-000046410000}"/>
    <cellStyle name="Normal 2 5 6 3" xfId="16713" xr:uid="{00000000-0005-0000-0000-000047410000}"/>
    <cellStyle name="Normal 2 5 6 3 2" xfId="16714" xr:uid="{00000000-0005-0000-0000-000048410000}"/>
    <cellStyle name="Normal 2 5 6 3 2 2" xfId="16715" xr:uid="{00000000-0005-0000-0000-000049410000}"/>
    <cellStyle name="Normal 2 5 6 3 3" xfId="16716" xr:uid="{00000000-0005-0000-0000-00004A410000}"/>
    <cellStyle name="Normal 2 5 6 3 3 2" xfId="16717" xr:uid="{00000000-0005-0000-0000-00004B410000}"/>
    <cellStyle name="Normal 2 5 6 3 4" xfId="16718" xr:uid="{00000000-0005-0000-0000-00004C410000}"/>
    <cellStyle name="Normal 2 5 6 3 4 2" xfId="16719" xr:uid="{00000000-0005-0000-0000-00004D410000}"/>
    <cellStyle name="Normal 2 5 6 3 5" xfId="16720" xr:uid="{00000000-0005-0000-0000-00004E410000}"/>
    <cellStyle name="Normal 2 5 6 3 5 2" xfId="16721" xr:uid="{00000000-0005-0000-0000-00004F410000}"/>
    <cellStyle name="Normal 2 5 6 3 6" xfId="16722" xr:uid="{00000000-0005-0000-0000-000050410000}"/>
    <cellStyle name="Normal 2 5 6 4" xfId="16723" xr:uid="{00000000-0005-0000-0000-000051410000}"/>
    <cellStyle name="Normal 2 5 6 4 2" xfId="16724" xr:uid="{00000000-0005-0000-0000-000052410000}"/>
    <cellStyle name="Normal 2 5 6 4 2 2" xfId="16725" xr:uid="{00000000-0005-0000-0000-000053410000}"/>
    <cellStyle name="Normal 2 5 6 4 3" xfId="16726" xr:uid="{00000000-0005-0000-0000-000054410000}"/>
    <cellStyle name="Normal 2 5 6 5" xfId="16727" xr:uid="{00000000-0005-0000-0000-000055410000}"/>
    <cellStyle name="Normal 2 5 6 5 2" xfId="16728" xr:uid="{00000000-0005-0000-0000-000056410000}"/>
    <cellStyle name="Normal 2 5 6 6" xfId="16729" xr:uid="{00000000-0005-0000-0000-000057410000}"/>
    <cellStyle name="Normal 2 5 6 6 2" xfId="16730" xr:uid="{00000000-0005-0000-0000-000058410000}"/>
    <cellStyle name="Normal 2 5 6 7" xfId="16731" xr:uid="{00000000-0005-0000-0000-000059410000}"/>
    <cellStyle name="Normal 2 5 6 7 2" xfId="16732" xr:uid="{00000000-0005-0000-0000-00005A410000}"/>
    <cellStyle name="Normal 2 5 6 8" xfId="16733" xr:uid="{00000000-0005-0000-0000-00005B410000}"/>
    <cellStyle name="Normal 2 5 7" xfId="16734" xr:uid="{00000000-0005-0000-0000-00005C410000}"/>
    <cellStyle name="Normal 2 5 7 2" xfId="16735" xr:uid="{00000000-0005-0000-0000-00005D410000}"/>
    <cellStyle name="Normal 2 5 7 2 2" xfId="16736" xr:uid="{00000000-0005-0000-0000-00005E410000}"/>
    <cellStyle name="Normal 2 5 7 3" xfId="16737" xr:uid="{00000000-0005-0000-0000-00005F410000}"/>
    <cellStyle name="Normal 2 5 7 3 2" xfId="16738" xr:uid="{00000000-0005-0000-0000-000060410000}"/>
    <cellStyle name="Normal 2 5 7 4" xfId="16739" xr:uid="{00000000-0005-0000-0000-000061410000}"/>
    <cellStyle name="Normal 2 5 7 5" xfId="16740" xr:uid="{00000000-0005-0000-0000-000062410000}"/>
    <cellStyle name="Normal 2 5 7 5 2" xfId="16741" xr:uid="{00000000-0005-0000-0000-000063410000}"/>
    <cellStyle name="Normal 2 5 7 6" xfId="16742" xr:uid="{00000000-0005-0000-0000-000064410000}"/>
    <cellStyle name="Normal 2 5 7 6 2" xfId="16743" xr:uid="{00000000-0005-0000-0000-000065410000}"/>
    <cellStyle name="Normal 2 5 7 7" xfId="16744" xr:uid="{00000000-0005-0000-0000-000066410000}"/>
    <cellStyle name="Normal 2 5 8" xfId="16745" xr:uid="{00000000-0005-0000-0000-000067410000}"/>
    <cellStyle name="Normal 2 5 8 2" xfId="16746" xr:uid="{00000000-0005-0000-0000-000068410000}"/>
    <cellStyle name="Normal 2 5 8 2 2" xfId="16747" xr:uid="{00000000-0005-0000-0000-000069410000}"/>
    <cellStyle name="Normal 2 5 8 2 2 2" xfId="16748" xr:uid="{00000000-0005-0000-0000-00006A410000}"/>
    <cellStyle name="Normal 2 5 8 2 3" xfId="16749" xr:uid="{00000000-0005-0000-0000-00006B410000}"/>
    <cellStyle name="Normal 2 5 8 3" xfId="16750" xr:uid="{00000000-0005-0000-0000-00006C410000}"/>
    <cellStyle name="Normal 2 5 8 3 2" xfId="16751" xr:uid="{00000000-0005-0000-0000-00006D410000}"/>
    <cellStyle name="Normal 2 5 8 4" xfId="16752" xr:uid="{00000000-0005-0000-0000-00006E410000}"/>
    <cellStyle name="Normal 2 5 8 4 2" xfId="16753" xr:uid="{00000000-0005-0000-0000-00006F410000}"/>
    <cellStyle name="Normal 2 5 8 5" xfId="16754" xr:uid="{00000000-0005-0000-0000-000070410000}"/>
    <cellStyle name="Normal 2 5 8 5 2" xfId="16755" xr:uid="{00000000-0005-0000-0000-000071410000}"/>
    <cellStyle name="Normal 2 5 8 6" xfId="16756" xr:uid="{00000000-0005-0000-0000-000072410000}"/>
    <cellStyle name="Normal 2 5 9" xfId="16757" xr:uid="{00000000-0005-0000-0000-000073410000}"/>
    <cellStyle name="Normal 2 5 9 2" xfId="16758" xr:uid="{00000000-0005-0000-0000-000074410000}"/>
    <cellStyle name="Normal 2 5 9 2 2" xfId="16759" xr:uid="{00000000-0005-0000-0000-000075410000}"/>
    <cellStyle name="Normal 2 5 9 3" xfId="16760" xr:uid="{00000000-0005-0000-0000-000076410000}"/>
    <cellStyle name="Normal 2 6" xfId="16761" xr:uid="{00000000-0005-0000-0000-000077410000}"/>
    <cellStyle name="Normal 2 7" xfId="16762" xr:uid="{00000000-0005-0000-0000-000078410000}"/>
    <cellStyle name="Normal 2 8" xfId="16763" xr:uid="{00000000-0005-0000-0000-000079410000}"/>
    <cellStyle name="Normal 2 9" xfId="16764" xr:uid="{00000000-0005-0000-0000-00007A410000}"/>
    <cellStyle name="Normal 2_201314" xfId="16765" xr:uid="{00000000-0005-0000-0000-00007B410000}"/>
    <cellStyle name="Normal 20" xfId="16766" xr:uid="{00000000-0005-0000-0000-00007C410000}"/>
    <cellStyle name="Normal 20 10" xfId="16767" xr:uid="{00000000-0005-0000-0000-00007D410000}"/>
    <cellStyle name="Normal 20 10 2" xfId="16768" xr:uid="{00000000-0005-0000-0000-00007E410000}"/>
    <cellStyle name="Normal 20 11" xfId="16769" xr:uid="{00000000-0005-0000-0000-00007F410000}"/>
    <cellStyle name="Normal 20 11 2" xfId="16770" xr:uid="{00000000-0005-0000-0000-000080410000}"/>
    <cellStyle name="Normal 20 12" xfId="16771" xr:uid="{00000000-0005-0000-0000-000081410000}"/>
    <cellStyle name="Normal 20 12 2" xfId="16772" xr:uid="{00000000-0005-0000-0000-000082410000}"/>
    <cellStyle name="Normal 20 13" xfId="16773" xr:uid="{00000000-0005-0000-0000-000083410000}"/>
    <cellStyle name="Normal 20 2" xfId="16774" xr:uid="{00000000-0005-0000-0000-000084410000}"/>
    <cellStyle name="Normal 20 2 10" xfId="16775" xr:uid="{00000000-0005-0000-0000-000085410000}"/>
    <cellStyle name="Normal 20 2 10 2" xfId="16776" xr:uid="{00000000-0005-0000-0000-000086410000}"/>
    <cellStyle name="Normal 20 2 11" xfId="16777" xr:uid="{00000000-0005-0000-0000-000087410000}"/>
    <cellStyle name="Normal 20 2 2" xfId="16778" xr:uid="{00000000-0005-0000-0000-000088410000}"/>
    <cellStyle name="Normal 20 2 2 10" xfId="16779" xr:uid="{00000000-0005-0000-0000-000089410000}"/>
    <cellStyle name="Normal 20 2 2 2" xfId="16780" xr:uid="{00000000-0005-0000-0000-00008A410000}"/>
    <cellStyle name="Normal 20 2 2 2 2" xfId="16781" xr:uid="{00000000-0005-0000-0000-00008B410000}"/>
    <cellStyle name="Normal 20 2 2 2 2 2" xfId="16782" xr:uid="{00000000-0005-0000-0000-00008C410000}"/>
    <cellStyle name="Normal 20 2 2 2 2 2 2" xfId="16783" xr:uid="{00000000-0005-0000-0000-00008D410000}"/>
    <cellStyle name="Normal 20 2 2 2 2 2 2 2" xfId="16784" xr:uid="{00000000-0005-0000-0000-00008E410000}"/>
    <cellStyle name="Normal 20 2 2 2 2 2 3" xfId="16785" xr:uid="{00000000-0005-0000-0000-00008F410000}"/>
    <cellStyle name="Normal 20 2 2 2 2 2 3 2" xfId="16786" xr:uid="{00000000-0005-0000-0000-000090410000}"/>
    <cellStyle name="Normal 20 2 2 2 2 2 4" xfId="16787" xr:uid="{00000000-0005-0000-0000-000091410000}"/>
    <cellStyle name="Normal 20 2 2 2 2 3" xfId="16788" xr:uid="{00000000-0005-0000-0000-000092410000}"/>
    <cellStyle name="Normal 20 2 2 2 2 3 2" xfId="16789" xr:uid="{00000000-0005-0000-0000-000093410000}"/>
    <cellStyle name="Normal 20 2 2 2 2 4" xfId="16790" xr:uid="{00000000-0005-0000-0000-000094410000}"/>
    <cellStyle name="Normal 20 2 2 2 2 4 2" xfId="16791" xr:uid="{00000000-0005-0000-0000-000095410000}"/>
    <cellStyle name="Normal 20 2 2 2 2 5" xfId="16792" xr:uid="{00000000-0005-0000-0000-000096410000}"/>
    <cellStyle name="Normal 20 2 2 2 2 5 2" xfId="16793" xr:uid="{00000000-0005-0000-0000-000097410000}"/>
    <cellStyle name="Normal 20 2 2 2 2 6" xfId="16794" xr:uid="{00000000-0005-0000-0000-000098410000}"/>
    <cellStyle name="Normal 20 2 2 2 2 6 2" xfId="16795" xr:uid="{00000000-0005-0000-0000-000099410000}"/>
    <cellStyle name="Normal 20 2 2 2 2 7" xfId="16796" xr:uid="{00000000-0005-0000-0000-00009A410000}"/>
    <cellStyle name="Normal 20 2 2 2 3" xfId="16797" xr:uid="{00000000-0005-0000-0000-00009B410000}"/>
    <cellStyle name="Normal 20 2 2 2 3 2" xfId="16798" xr:uid="{00000000-0005-0000-0000-00009C410000}"/>
    <cellStyle name="Normal 20 2 2 2 3 2 2" xfId="16799" xr:uid="{00000000-0005-0000-0000-00009D410000}"/>
    <cellStyle name="Normal 20 2 2 2 3 3" xfId="16800" xr:uid="{00000000-0005-0000-0000-00009E410000}"/>
    <cellStyle name="Normal 20 2 2 2 3 3 2" xfId="16801" xr:uid="{00000000-0005-0000-0000-00009F410000}"/>
    <cellStyle name="Normal 20 2 2 2 3 4" xfId="16802" xr:uid="{00000000-0005-0000-0000-0000A0410000}"/>
    <cellStyle name="Normal 20 2 2 2 3 4 2" xfId="16803" xr:uid="{00000000-0005-0000-0000-0000A1410000}"/>
    <cellStyle name="Normal 20 2 2 2 3 5" xfId="16804" xr:uid="{00000000-0005-0000-0000-0000A2410000}"/>
    <cellStyle name="Normal 20 2 2 2 3 5 2" xfId="16805" xr:uid="{00000000-0005-0000-0000-0000A3410000}"/>
    <cellStyle name="Normal 20 2 2 2 3 6" xfId="16806" xr:uid="{00000000-0005-0000-0000-0000A4410000}"/>
    <cellStyle name="Normal 20 2 2 2 4" xfId="16807" xr:uid="{00000000-0005-0000-0000-0000A5410000}"/>
    <cellStyle name="Normal 20 2 2 2 4 2" xfId="16808" xr:uid="{00000000-0005-0000-0000-0000A6410000}"/>
    <cellStyle name="Normal 20 2 2 2 4 2 2" xfId="16809" xr:uid="{00000000-0005-0000-0000-0000A7410000}"/>
    <cellStyle name="Normal 20 2 2 2 4 3" xfId="16810" xr:uid="{00000000-0005-0000-0000-0000A8410000}"/>
    <cellStyle name="Normal 20 2 2 2 5" xfId="16811" xr:uid="{00000000-0005-0000-0000-0000A9410000}"/>
    <cellStyle name="Normal 20 2 2 2 5 2" xfId="16812" xr:uid="{00000000-0005-0000-0000-0000AA410000}"/>
    <cellStyle name="Normal 20 2 2 2 6" xfId="16813" xr:uid="{00000000-0005-0000-0000-0000AB410000}"/>
    <cellStyle name="Normal 20 2 2 2 6 2" xfId="16814" xr:uid="{00000000-0005-0000-0000-0000AC410000}"/>
    <cellStyle name="Normal 20 2 2 2 7" xfId="16815" xr:uid="{00000000-0005-0000-0000-0000AD410000}"/>
    <cellStyle name="Normal 20 2 2 2 7 2" xfId="16816" xr:uid="{00000000-0005-0000-0000-0000AE410000}"/>
    <cellStyle name="Normal 20 2 2 2 8" xfId="16817" xr:uid="{00000000-0005-0000-0000-0000AF410000}"/>
    <cellStyle name="Normal 20 2 2 3" xfId="16818" xr:uid="{00000000-0005-0000-0000-0000B0410000}"/>
    <cellStyle name="Normal 20 2 2 3 2" xfId="16819" xr:uid="{00000000-0005-0000-0000-0000B1410000}"/>
    <cellStyle name="Normal 20 2 2 3 2 2" xfId="16820" xr:uid="{00000000-0005-0000-0000-0000B2410000}"/>
    <cellStyle name="Normal 20 2 2 3 2 2 2" xfId="16821" xr:uid="{00000000-0005-0000-0000-0000B3410000}"/>
    <cellStyle name="Normal 20 2 2 3 2 2 2 2" xfId="16822" xr:uid="{00000000-0005-0000-0000-0000B4410000}"/>
    <cellStyle name="Normal 20 2 2 3 2 2 3" xfId="16823" xr:uid="{00000000-0005-0000-0000-0000B5410000}"/>
    <cellStyle name="Normal 20 2 2 3 2 2 3 2" xfId="16824" xr:uid="{00000000-0005-0000-0000-0000B6410000}"/>
    <cellStyle name="Normal 20 2 2 3 2 2 4" xfId="16825" xr:uid="{00000000-0005-0000-0000-0000B7410000}"/>
    <cellStyle name="Normal 20 2 2 3 2 3" xfId="16826" xr:uid="{00000000-0005-0000-0000-0000B8410000}"/>
    <cellStyle name="Normal 20 2 2 3 2 3 2" xfId="16827" xr:uid="{00000000-0005-0000-0000-0000B9410000}"/>
    <cellStyle name="Normal 20 2 2 3 2 4" xfId="16828" xr:uid="{00000000-0005-0000-0000-0000BA410000}"/>
    <cellStyle name="Normal 20 2 2 3 2 4 2" xfId="16829" xr:uid="{00000000-0005-0000-0000-0000BB410000}"/>
    <cellStyle name="Normal 20 2 2 3 2 5" xfId="16830" xr:uid="{00000000-0005-0000-0000-0000BC410000}"/>
    <cellStyle name="Normal 20 2 2 3 2 5 2" xfId="16831" xr:uid="{00000000-0005-0000-0000-0000BD410000}"/>
    <cellStyle name="Normal 20 2 2 3 2 6" xfId="16832" xr:uid="{00000000-0005-0000-0000-0000BE410000}"/>
    <cellStyle name="Normal 20 2 2 3 2 6 2" xfId="16833" xr:uid="{00000000-0005-0000-0000-0000BF410000}"/>
    <cellStyle name="Normal 20 2 2 3 2 7" xfId="16834" xr:uid="{00000000-0005-0000-0000-0000C0410000}"/>
    <cellStyle name="Normal 20 2 2 3 3" xfId="16835" xr:uid="{00000000-0005-0000-0000-0000C1410000}"/>
    <cellStyle name="Normal 20 2 2 3 3 2" xfId="16836" xr:uid="{00000000-0005-0000-0000-0000C2410000}"/>
    <cellStyle name="Normal 20 2 2 3 3 2 2" xfId="16837" xr:uid="{00000000-0005-0000-0000-0000C3410000}"/>
    <cellStyle name="Normal 20 2 2 3 3 3" xfId="16838" xr:uid="{00000000-0005-0000-0000-0000C4410000}"/>
    <cellStyle name="Normal 20 2 2 3 3 3 2" xfId="16839" xr:uid="{00000000-0005-0000-0000-0000C5410000}"/>
    <cellStyle name="Normal 20 2 2 3 3 4" xfId="16840" xr:uid="{00000000-0005-0000-0000-0000C6410000}"/>
    <cellStyle name="Normal 20 2 2 3 3 4 2" xfId="16841" xr:uid="{00000000-0005-0000-0000-0000C7410000}"/>
    <cellStyle name="Normal 20 2 2 3 3 5" xfId="16842" xr:uid="{00000000-0005-0000-0000-0000C8410000}"/>
    <cellStyle name="Normal 20 2 2 3 3 5 2" xfId="16843" xr:uid="{00000000-0005-0000-0000-0000C9410000}"/>
    <cellStyle name="Normal 20 2 2 3 3 6" xfId="16844" xr:uid="{00000000-0005-0000-0000-0000CA410000}"/>
    <cellStyle name="Normal 20 2 2 3 4" xfId="16845" xr:uid="{00000000-0005-0000-0000-0000CB410000}"/>
    <cellStyle name="Normal 20 2 2 3 4 2" xfId="16846" xr:uid="{00000000-0005-0000-0000-0000CC410000}"/>
    <cellStyle name="Normal 20 2 2 3 4 2 2" xfId="16847" xr:uid="{00000000-0005-0000-0000-0000CD410000}"/>
    <cellStyle name="Normal 20 2 2 3 4 3" xfId="16848" xr:uid="{00000000-0005-0000-0000-0000CE410000}"/>
    <cellStyle name="Normal 20 2 2 3 5" xfId="16849" xr:uid="{00000000-0005-0000-0000-0000CF410000}"/>
    <cellStyle name="Normal 20 2 2 3 5 2" xfId="16850" xr:uid="{00000000-0005-0000-0000-0000D0410000}"/>
    <cellStyle name="Normal 20 2 2 3 6" xfId="16851" xr:uid="{00000000-0005-0000-0000-0000D1410000}"/>
    <cellStyle name="Normal 20 2 2 3 6 2" xfId="16852" xr:uid="{00000000-0005-0000-0000-0000D2410000}"/>
    <cellStyle name="Normal 20 2 2 3 7" xfId="16853" xr:uid="{00000000-0005-0000-0000-0000D3410000}"/>
    <cellStyle name="Normal 20 2 2 3 7 2" xfId="16854" xr:uid="{00000000-0005-0000-0000-0000D4410000}"/>
    <cellStyle name="Normal 20 2 2 3 8" xfId="16855" xr:uid="{00000000-0005-0000-0000-0000D5410000}"/>
    <cellStyle name="Normal 20 2 2 4" xfId="16856" xr:uid="{00000000-0005-0000-0000-0000D6410000}"/>
    <cellStyle name="Normal 20 2 2 4 2" xfId="16857" xr:uid="{00000000-0005-0000-0000-0000D7410000}"/>
    <cellStyle name="Normal 20 2 2 4 2 2" xfId="16858" xr:uid="{00000000-0005-0000-0000-0000D8410000}"/>
    <cellStyle name="Normal 20 2 2 4 2 2 2" xfId="16859" xr:uid="{00000000-0005-0000-0000-0000D9410000}"/>
    <cellStyle name="Normal 20 2 2 4 2 3" xfId="16860" xr:uid="{00000000-0005-0000-0000-0000DA410000}"/>
    <cellStyle name="Normal 20 2 2 4 2 3 2" xfId="16861" xr:uid="{00000000-0005-0000-0000-0000DB410000}"/>
    <cellStyle name="Normal 20 2 2 4 2 4" xfId="16862" xr:uid="{00000000-0005-0000-0000-0000DC410000}"/>
    <cellStyle name="Normal 20 2 2 4 3" xfId="16863" xr:uid="{00000000-0005-0000-0000-0000DD410000}"/>
    <cellStyle name="Normal 20 2 2 4 3 2" xfId="16864" xr:uid="{00000000-0005-0000-0000-0000DE410000}"/>
    <cellStyle name="Normal 20 2 2 4 4" xfId="16865" xr:uid="{00000000-0005-0000-0000-0000DF410000}"/>
    <cellStyle name="Normal 20 2 2 4 4 2" xfId="16866" xr:uid="{00000000-0005-0000-0000-0000E0410000}"/>
    <cellStyle name="Normal 20 2 2 4 5" xfId="16867" xr:uid="{00000000-0005-0000-0000-0000E1410000}"/>
    <cellStyle name="Normal 20 2 2 4 5 2" xfId="16868" xr:uid="{00000000-0005-0000-0000-0000E2410000}"/>
    <cellStyle name="Normal 20 2 2 4 6" xfId="16869" xr:uid="{00000000-0005-0000-0000-0000E3410000}"/>
    <cellStyle name="Normal 20 2 2 4 6 2" xfId="16870" xr:uid="{00000000-0005-0000-0000-0000E4410000}"/>
    <cellStyle name="Normal 20 2 2 4 7" xfId="16871" xr:uid="{00000000-0005-0000-0000-0000E5410000}"/>
    <cellStyle name="Normal 20 2 2 5" xfId="16872" xr:uid="{00000000-0005-0000-0000-0000E6410000}"/>
    <cellStyle name="Normal 20 2 2 5 2" xfId="16873" xr:uid="{00000000-0005-0000-0000-0000E7410000}"/>
    <cellStyle name="Normal 20 2 2 5 2 2" xfId="16874" xr:uid="{00000000-0005-0000-0000-0000E8410000}"/>
    <cellStyle name="Normal 20 2 2 5 3" xfId="16875" xr:uid="{00000000-0005-0000-0000-0000E9410000}"/>
    <cellStyle name="Normal 20 2 2 5 3 2" xfId="16876" xr:uid="{00000000-0005-0000-0000-0000EA410000}"/>
    <cellStyle name="Normal 20 2 2 5 4" xfId="16877" xr:uid="{00000000-0005-0000-0000-0000EB410000}"/>
    <cellStyle name="Normal 20 2 2 5 4 2" xfId="16878" xr:uid="{00000000-0005-0000-0000-0000EC410000}"/>
    <cellStyle name="Normal 20 2 2 5 5" xfId="16879" xr:uid="{00000000-0005-0000-0000-0000ED410000}"/>
    <cellStyle name="Normal 20 2 2 5 5 2" xfId="16880" xr:uid="{00000000-0005-0000-0000-0000EE410000}"/>
    <cellStyle name="Normal 20 2 2 5 6" xfId="16881" xr:uid="{00000000-0005-0000-0000-0000EF410000}"/>
    <cellStyle name="Normal 20 2 2 6" xfId="16882" xr:uid="{00000000-0005-0000-0000-0000F0410000}"/>
    <cellStyle name="Normal 20 2 2 6 2" xfId="16883" xr:uid="{00000000-0005-0000-0000-0000F1410000}"/>
    <cellStyle name="Normal 20 2 2 6 2 2" xfId="16884" xr:uid="{00000000-0005-0000-0000-0000F2410000}"/>
    <cellStyle name="Normal 20 2 2 6 3" xfId="16885" xr:uid="{00000000-0005-0000-0000-0000F3410000}"/>
    <cellStyle name="Normal 20 2 2 7" xfId="16886" xr:uid="{00000000-0005-0000-0000-0000F4410000}"/>
    <cellStyle name="Normal 20 2 2 7 2" xfId="16887" xr:uid="{00000000-0005-0000-0000-0000F5410000}"/>
    <cellStyle name="Normal 20 2 2 8" xfId="16888" xr:uid="{00000000-0005-0000-0000-0000F6410000}"/>
    <cellStyle name="Normal 20 2 2 8 2" xfId="16889" xr:uid="{00000000-0005-0000-0000-0000F7410000}"/>
    <cellStyle name="Normal 20 2 2 9" xfId="16890" xr:uid="{00000000-0005-0000-0000-0000F8410000}"/>
    <cellStyle name="Normal 20 2 2 9 2" xfId="16891" xr:uid="{00000000-0005-0000-0000-0000F9410000}"/>
    <cellStyle name="Normal 20 2 3" xfId="16892" xr:uid="{00000000-0005-0000-0000-0000FA410000}"/>
    <cellStyle name="Normal 20 2 3 2" xfId="16893" xr:uid="{00000000-0005-0000-0000-0000FB410000}"/>
    <cellStyle name="Normal 20 2 3 2 2" xfId="16894" xr:uid="{00000000-0005-0000-0000-0000FC410000}"/>
    <cellStyle name="Normal 20 2 3 2 2 2" xfId="16895" xr:uid="{00000000-0005-0000-0000-0000FD410000}"/>
    <cellStyle name="Normal 20 2 3 2 2 2 2" xfId="16896" xr:uid="{00000000-0005-0000-0000-0000FE410000}"/>
    <cellStyle name="Normal 20 2 3 2 2 3" xfId="16897" xr:uid="{00000000-0005-0000-0000-0000FF410000}"/>
    <cellStyle name="Normal 20 2 3 2 2 3 2" xfId="16898" xr:uid="{00000000-0005-0000-0000-000000420000}"/>
    <cellStyle name="Normal 20 2 3 2 2 4" xfId="16899" xr:uid="{00000000-0005-0000-0000-000001420000}"/>
    <cellStyle name="Normal 20 2 3 2 3" xfId="16900" xr:uid="{00000000-0005-0000-0000-000002420000}"/>
    <cellStyle name="Normal 20 2 3 2 3 2" xfId="16901" xr:uid="{00000000-0005-0000-0000-000003420000}"/>
    <cellStyle name="Normal 20 2 3 2 4" xfId="16902" xr:uid="{00000000-0005-0000-0000-000004420000}"/>
    <cellStyle name="Normal 20 2 3 2 4 2" xfId="16903" xr:uid="{00000000-0005-0000-0000-000005420000}"/>
    <cellStyle name="Normal 20 2 3 2 5" xfId="16904" xr:uid="{00000000-0005-0000-0000-000006420000}"/>
    <cellStyle name="Normal 20 2 3 2 5 2" xfId="16905" xr:uid="{00000000-0005-0000-0000-000007420000}"/>
    <cellStyle name="Normal 20 2 3 2 6" xfId="16906" xr:uid="{00000000-0005-0000-0000-000008420000}"/>
    <cellStyle name="Normal 20 2 3 2 6 2" xfId="16907" xr:uid="{00000000-0005-0000-0000-000009420000}"/>
    <cellStyle name="Normal 20 2 3 2 7" xfId="16908" xr:uid="{00000000-0005-0000-0000-00000A420000}"/>
    <cellStyle name="Normal 20 2 3 3" xfId="16909" xr:uid="{00000000-0005-0000-0000-00000B420000}"/>
    <cellStyle name="Normal 20 2 3 3 2" xfId="16910" xr:uid="{00000000-0005-0000-0000-00000C420000}"/>
    <cellStyle name="Normal 20 2 3 3 2 2" xfId="16911" xr:uid="{00000000-0005-0000-0000-00000D420000}"/>
    <cellStyle name="Normal 20 2 3 3 3" xfId="16912" xr:uid="{00000000-0005-0000-0000-00000E420000}"/>
    <cellStyle name="Normal 20 2 3 3 3 2" xfId="16913" xr:uid="{00000000-0005-0000-0000-00000F420000}"/>
    <cellStyle name="Normal 20 2 3 3 4" xfId="16914" xr:uid="{00000000-0005-0000-0000-000010420000}"/>
    <cellStyle name="Normal 20 2 3 3 4 2" xfId="16915" xr:uid="{00000000-0005-0000-0000-000011420000}"/>
    <cellStyle name="Normal 20 2 3 3 5" xfId="16916" xr:uid="{00000000-0005-0000-0000-000012420000}"/>
    <cellStyle name="Normal 20 2 3 3 5 2" xfId="16917" xr:uid="{00000000-0005-0000-0000-000013420000}"/>
    <cellStyle name="Normal 20 2 3 3 6" xfId="16918" xr:uid="{00000000-0005-0000-0000-000014420000}"/>
    <cellStyle name="Normal 20 2 3 4" xfId="16919" xr:uid="{00000000-0005-0000-0000-000015420000}"/>
    <cellStyle name="Normal 20 2 3 4 2" xfId="16920" xr:uid="{00000000-0005-0000-0000-000016420000}"/>
    <cellStyle name="Normal 20 2 3 4 2 2" xfId="16921" xr:uid="{00000000-0005-0000-0000-000017420000}"/>
    <cellStyle name="Normal 20 2 3 4 3" xfId="16922" xr:uid="{00000000-0005-0000-0000-000018420000}"/>
    <cellStyle name="Normal 20 2 3 5" xfId="16923" xr:uid="{00000000-0005-0000-0000-000019420000}"/>
    <cellStyle name="Normal 20 2 3 5 2" xfId="16924" xr:uid="{00000000-0005-0000-0000-00001A420000}"/>
    <cellStyle name="Normal 20 2 3 6" xfId="16925" xr:uid="{00000000-0005-0000-0000-00001B420000}"/>
    <cellStyle name="Normal 20 2 3 6 2" xfId="16926" xr:uid="{00000000-0005-0000-0000-00001C420000}"/>
    <cellStyle name="Normal 20 2 3 7" xfId="16927" xr:uid="{00000000-0005-0000-0000-00001D420000}"/>
    <cellStyle name="Normal 20 2 3 7 2" xfId="16928" xr:uid="{00000000-0005-0000-0000-00001E420000}"/>
    <cellStyle name="Normal 20 2 3 8" xfId="16929" xr:uid="{00000000-0005-0000-0000-00001F420000}"/>
    <cellStyle name="Normal 20 2 4" xfId="16930" xr:uid="{00000000-0005-0000-0000-000020420000}"/>
    <cellStyle name="Normal 20 2 4 2" xfId="16931" xr:uid="{00000000-0005-0000-0000-000021420000}"/>
    <cellStyle name="Normal 20 2 4 2 2" xfId="16932" xr:uid="{00000000-0005-0000-0000-000022420000}"/>
    <cellStyle name="Normal 20 2 4 2 2 2" xfId="16933" xr:uid="{00000000-0005-0000-0000-000023420000}"/>
    <cellStyle name="Normal 20 2 4 2 2 2 2" xfId="16934" xr:uid="{00000000-0005-0000-0000-000024420000}"/>
    <cellStyle name="Normal 20 2 4 2 2 3" xfId="16935" xr:uid="{00000000-0005-0000-0000-000025420000}"/>
    <cellStyle name="Normal 20 2 4 2 2 3 2" xfId="16936" xr:uid="{00000000-0005-0000-0000-000026420000}"/>
    <cellStyle name="Normal 20 2 4 2 2 4" xfId="16937" xr:uid="{00000000-0005-0000-0000-000027420000}"/>
    <cellStyle name="Normal 20 2 4 2 3" xfId="16938" xr:uid="{00000000-0005-0000-0000-000028420000}"/>
    <cellStyle name="Normal 20 2 4 2 3 2" xfId="16939" xr:uid="{00000000-0005-0000-0000-000029420000}"/>
    <cellStyle name="Normal 20 2 4 2 4" xfId="16940" xr:uid="{00000000-0005-0000-0000-00002A420000}"/>
    <cellStyle name="Normal 20 2 4 2 4 2" xfId="16941" xr:uid="{00000000-0005-0000-0000-00002B420000}"/>
    <cellStyle name="Normal 20 2 4 2 5" xfId="16942" xr:uid="{00000000-0005-0000-0000-00002C420000}"/>
    <cellStyle name="Normal 20 2 4 2 5 2" xfId="16943" xr:uid="{00000000-0005-0000-0000-00002D420000}"/>
    <cellStyle name="Normal 20 2 4 2 6" xfId="16944" xr:uid="{00000000-0005-0000-0000-00002E420000}"/>
    <cellStyle name="Normal 20 2 4 2 6 2" xfId="16945" xr:uid="{00000000-0005-0000-0000-00002F420000}"/>
    <cellStyle name="Normal 20 2 4 2 7" xfId="16946" xr:uid="{00000000-0005-0000-0000-000030420000}"/>
    <cellStyle name="Normal 20 2 4 3" xfId="16947" xr:uid="{00000000-0005-0000-0000-000031420000}"/>
    <cellStyle name="Normal 20 2 4 3 2" xfId="16948" xr:uid="{00000000-0005-0000-0000-000032420000}"/>
    <cellStyle name="Normal 20 2 4 3 2 2" xfId="16949" xr:uid="{00000000-0005-0000-0000-000033420000}"/>
    <cellStyle name="Normal 20 2 4 3 3" xfId="16950" xr:uid="{00000000-0005-0000-0000-000034420000}"/>
    <cellStyle name="Normal 20 2 4 3 3 2" xfId="16951" xr:uid="{00000000-0005-0000-0000-000035420000}"/>
    <cellStyle name="Normal 20 2 4 3 4" xfId="16952" xr:uid="{00000000-0005-0000-0000-000036420000}"/>
    <cellStyle name="Normal 20 2 4 3 4 2" xfId="16953" xr:uid="{00000000-0005-0000-0000-000037420000}"/>
    <cellStyle name="Normal 20 2 4 3 5" xfId="16954" xr:uid="{00000000-0005-0000-0000-000038420000}"/>
    <cellStyle name="Normal 20 2 4 3 5 2" xfId="16955" xr:uid="{00000000-0005-0000-0000-000039420000}"/>
    <cellStyle name="Normal 20 2 4 3 6" xfId="16956" xr:uid="{00000000-0005-0000-0000-00003A420000}"/>
    <cellStyle name="Normal 20 2 4 4" xfId="16957" xr:uid="{00000000-0005-0000-0000-00003B420000}"/>
    <cellStyle name="Normal 20 2 4 4 2" xfId="16958" xr:uid="{00000000-0005-0000-0000-00003C420000}"/>
    <cellStyle name="Normal 20 2 4 4 2 2" xfId="16959" xr:uid="{00000000-0005-0000-0000-00003D420000}"/>
    <cellStyle name="Normal 20 2 4 4 3" xfId="16960" xr:uid="{00000000-0005-0000-0000-00003E420000}"/>
    <cellStyle name="Normal 20 2 4 5" xfId="16961" xr:uid="{00000000-0005-0000-0000-00003F420000}"/>
    <cellStyle name="Normal 20 2 4 5 2" xfId="16962" xr:uid="{00000000-0005-0000-0000-000040420000}"/>
    <cellStyle name="Normal 20 2 4 6" xfId="16963" xr:uid="{00000000-0005-0000-0000-000041420000}"/>
    <cellStyle name="Normal 20 2 4 6 2" xfId="16964" xr:uid="{00000000-0005-0000-0000-000042420000}"/>
    <cellStyle name="Normal 20 2 4 7" xfId="16965" xr:uid="{00000000-0005-0000-0000-000043420000}"/>
    <cellStyle name="Normal 20 2 4 7 2" xfId="16966" xr:uid="{00000000-0005-0000-0000-000044420000}"/>
    <cellStyle name="Normal 20 2 4 8" xfId="16967" xr:uid="{00000000-0005-0000-0000-000045420000}"/>
    <cellStyle name="Normal 20 2 5" xfId="16968" xr:uid="{00000000-0005-0000-0000-000046420000}"/>
    <cellStyle name="Normal 20 2 5 2" xfId="16969" xr:uid="{00000000-0005-0000-0000-000047420000}"/>
    <cellStyle name="Normal 20 2 5 2 2" xfId="16970" xr:uid="{00000000-0005-0000-0000-000048420000}"/>
    <cellStyle name="Normal 20 2 5 2 2 2" xfId="16971" xr:uid="{00000000-0005-0000-0000-000049420000}"/>
    <cellStyle name="Normal 20 2 5 2 3" xfId="16972" xr:uid="{00000000-0005-0000-0000-00004A420000}"/>
    <cellStyle name="Normal 20 2 5 2 3 2" xfId="16973" xr:uid="{00000000-0005-0000-0000-00004B420000}"/>
    <cellStyle name="Normal 20 2 5 2 4" xfId="16974" xr:uid="{00000000-0005-0000-0000-00004C420000}"/>
    <cellStyle name="Normal 20 2 5 3" xfId="16975" xr:uid="{00000000-0005-0000-0000-00004D420000}"/>
    <cellStyle name="Normal 20 2 5 3 2" xfId="16976" xr:uid="{00000000-0005-0000-0000-00004E420000}"/>
    <cellStyle name="Normal 20 2 5 4" xfId="16977" xr:uid="{00000000-0005-0000-0000-00004F420000}"/>
    <cellStyle name="Normal 20 2 5 4 2" xfId="16978" xr:uid="{00000000-0005-0000-0000-000050420000}"/>
    <cellStyle name="Normal 20 2 5 5" xfId="16979" xr:uid="{00000000-0005-0000-0000-000051420000}"/>
    <cellStyle name="Normal 20 2 5 5 2" xfId="16980" xr:uid="{00000000-0005-0000-0000-000052420000}"/>
    <cellStyle name="Normal 20 2 5 6" xfId="16981" xr:uid="{00000000-0005-0000-0000-000053420000}"/>
    <cellStyle name="Normal 20 2 5 6 2" xfId="16982" xr:uid="{00000000-0005-0000-0000-000054420000}"/>
    <cellStyle name="Normal 20 2 5 7" xfId="16983" xr:uid="{00000000-0005-0000-0000-000055420000}"/>
    <cellStyle name="Normal 20 2 6" xfId="16984" xr:uid="{00000000-0005-0000-0000-000056420000}"/>
    <cellStyle name="Normal 20 2 6 2" xfId="16985" xr:uid="{00000000-0005-0000-0000-000057420000}"/>
    <cellStyle name="Normal 20 2 6 2 2" xfId="16986" xr:uid="{00000000-0005-0000-0000-000058420000}"/>
    <cellStyle name="Normal 20 2 6 3" xfId="16987" xr:uid="{00000000-0005-0000-0000-000059420000}"/>
    <cellStyle name="Normal 20 2 6 3 2" xfId="16988" xr:uid="{00000000-0005-0000-0000-00005A420000}"/>
    <cellStyle name="Normal 20 2 6 4" xfId="16989" xr:uid="{00000000-0005-0000-0000-00005B420000}"/>
    <cellStyle name="Normal 20 2 6 4 2" xfId="16990" xr:uid="{00000000-0005-0000-0000-00005C420000}"/>
    <cellStyle name="Normal 20 2 6 5" xfId="16991" xr:uid="{00000000-0005-0000-0000-00005D420000}"/>
    <cellStyle name="Normal 20 2 6 5 2" xfId="16992" xr:uid="{00000000-0005-0000-0000-00005E420000}"/>
    <cellStyle name="Normal 20 2 6 6" xfId="16993" xr:uid="{00000000-0005-0000-0000-00005F420000}"/>
    <cellStyle name="Normal 20 2 7" xfId="16994" xr:uid="{00000000-0005-0000-0000-000060420000}"/>
    <cellStyle name="Normal 20 2 7 2" xfId="16995" xr:uid="{00000000-0005-0000-0000-000061420000}"/>
    <cellStyle name="Normal 20 2 7 2 2" xfId="16996" xr:uid="{00000000-0005-0000-0000-000062420000}"/>
    <cellStyle name="Normal 20 2 7 3" xfId="16997" xr:uid="{00000000-0005-0000-0000-000063420000}"/>
    <cellStyle name="Normal 20 2 8" xfId="16998" xr:uid="{00000000-0005-0000-0000-000064420000}"/>
    <cellStyle name="Normal 20 2 8 2" xfId="16999" xr:uid="{00000000-0005-0000-0000-000065420000}"/>
    <cellStyle name="Normal 20 2 9" xfId="17000" xr:uid="{00000000-0005-0000-0000-000066420000}"/>
    <cellStyle name="Normal 20 2 9 2" xfId="17001" xr:uid="{00000000-0005-0000-0000-000067420000}"/>
    <cellStyle name="Normal 20 3" xfId="17002" xr:uid="{00000000-0005-0000-0000-000068420000}"/>
    <cellStyle name="Normal 20 3 10" xfId="17003" xr:uid="{00000000-0005-0000-0000-000069420000}"/>
    <cellStyle name="Normal 20 3 2" xfId="17004" xr:uid="{00000000-0005-0000-0000-00006A420000}"/>
    <cellStyle name="Normal 20 3 2 2" xfId="17005" xr:uid="{00000000-0005-0000-0000-00006B420000}"/>
    <cellStyle name="Normal 20 3 2 2 2" xfId="17006" xr:uid="{00000000-0005-0000-0000-00006C420000}"/>
    <cellStyle name="Normal 20 3 2 2 2 2" xfId="17007" xr:uid="{00000000-0005-0000-0000-00006D420000}"/>
    <cellStyle name="Normal 20 3 2 2 2 2 2" xfId="17008" xr:uid="{00000000-0005-0000-0000-00006E420000}"/>
    <cellStyle name="Normal 20 3 2 2 2 3" xfId="17009" xr:uid="{00000000-0005-0000-0000-00006F420000}"/>
    <cellStyle name="Normal 20 3 2 2 2 3 2" xfId="17010" xr:uid="{00000000-0005-0000-0000-000070420000}"/>
    <cellStyle name="Normal 20 3 2 2 2 4" xfId="17011" xr:uid="{00000000-0005-0000-0000-000071420000}"/>
    <cellStyle name="Normal 20 3 2 2 3" xfId="17012" xr:uid="{00000000-0005-0000-0000-000072420000}"/>
    <cellStyle name="Normal 20 3 2 2 3 2" xfId="17013" xr:uid="{00000000-0005-0000-0000-000073420000}"/>
    <cellStyle name="Normal 20 3 2 2 4" xfId="17014" xr:uid="{00000000-0005-0000-0000-000074420000}"/>
    <cellStyle name="Normal 20 3 2 2 4 2" xfId="17015" xr:uid="{00000000-0005-0000-0000-000075420000}"/>
    <cellStyle name="Normal 20 3 2 2 5" xfId="17016" xr:uid="{00000000-0005-0000-0000-000076420000}"/>
    <cellStyle name="Normal 20 3 2 2 5 2" xfId="17017" xr:uid="{00000000-0005-0000-0000-000077420000}"/>
    <cellStyle name="Normal 20 3 2 2 6" xfId="17018" xr:uid="{00000000-0005-0000-0000-000078420000}"/>
    <cellStyle name="Normal 20 3 2 2 6 2" xfId="17019" xr:uid="{00000000-0005-0000-0000-000079420000}"/>
    <cellStyle name="Normal 20 3 2 2 7" xfId="17020" xr:uid="{00000000-0005-0000-0000-00007A420000}"/>
    <cellStyle name="Normal 20 3 2 3" xfId="17021" xr:uid="{00000000-0005-0000-0000-00007B420000}"/>
    <cellStyle name="Normal 20 3 2 3 2" xfId="17022" xr:uid="{00000000-0005-0000-0000-00007C420000}"/>
    <cellStyle name="Normal 20 3 2 3 2 2" xfId="17023" xr:uid="{00000000-0005-0000-0000-00007D420000}"/>
    <cellStyle name="Normal 20 3 2 3 3" xfId="17024" xr:uid="{00000000-0005-0000-0000-00007E420000}"/>
    <cellStyle name="Normal 20 3 2 3 3 2" xfId="17025" xr:uid="{00000000-0005-0000-0000-00007F420000}"/>
    <cellStyle name="Normal 20 3 2 3 4" xfId="17026" xr:uid="{00000000-0005-0000-0000-000080420000}"/>
    <cellStyle name="Normal 20 3 2 3 4 2" xfId="17027" xr:uid="{00000000-0005-0000-0000-000081420000}"/>
    <cellStyle name="Normal 20 3 2 3 5" xfId="17028" xr:uid="{00000000-0005-0000-0000-000082420000}"/>
    <cellStyle name="Normal 20 3 2 3 5 2" xfId="17029" xr:uid="{00000000-0005-0000-0000-000083420000}"/>
    <cellStyle name="Normal 20 3 2 3 6" xfId="17030" xr:uid="{00000000-0005-0000-0000-000084420000}"/>
    <cellStyle name="Normal 20 3 2 4" xfId="17031" xr:uid="{00000000-0005-0000-0000-000085420000}"/>
    <cellStyle name="Normal 20 3 2 4 2" xfId="17032" xr:uid="{00000000-0005-0000-0000-000086420000}"/>
    <cellStyle name="Normal 20 3 2 4 2 2" xfId="17033" xr:uid="{00000000-0005-0000-0000-000087420000}"/>
    <cellStyle name="Normal 20 3 2 4 3" xfId="17034" xr:uid="{00000000-0005-0000-0000-000088420000}"/>
    <cellStyle name="Normal 20 3 2 5" xfId="17035" xr:uid="{00000000-0005-0000-0000-000089420000}"/>
    <cellStyle name="Normal 20 3 2 5 2" xfId="17036" xr:uid="{00000000-0005-0000-0000-00008A420000}"/>
    <cellStyle name="Normal 20 3 2 6" xfId="17037" xr:uid="{00000000-0005-0000-0000-00008B420000}"/>
    <cellStyle name="Normal 20 3 2 6 2" xfId="17038" xr:uid="{00000000-0005-0000-0000-00008C420000}"/>
    <cellStyle name="Normal 20 3 2 7" xfId="17039" xr:uid="{00000000-0005-0000-0000-00008D420000}"/>
    <cellStyle name="Normal 20 3 2 7 2" xfId="17040" xr:uid="{00000000-0005-0000-0000-00008E420000}"/>
    <cellStyle name="Normal 20 3 2 8" xfId="17041" xr:uid="{00000000-0005-0000-0000-00008F420000}"/>
    <cellStyle name="Normal 20 3 3" xfId="17042" xr:uid="{00000000-0005-0000-0000-000090420000}"/>
    <cellStyle name="Normal 20 3 3 2" xfId="17043" xr:uid="{00000000-0005-0000-0000-000091420000}"/>
    <cellStyle name="Normal 20 3 3 2 2" xfId="17044" xr:uid="{00000000-0005-0000-0000-000092420000}"/>
    <cellStyle name="Normal 20 3 3 2 2 2" xfId="17045" xr:uid="{00000000-0005-0000-0000-000093420000}"/>
    <cellStyle name="Normal 20 3 3 2 2 2 2" xfId="17046" xr:uid="{00000000-0005-0000-0000-000094420000}"/>
    <cellStyle name="Normal 20 3 3 2 2 3" xfId="17047" xr:uid="{00000000-0005-0000-0000-000095420000}"/>
    <cellStyle name="Normal 20 3 3 2 2 3 2" xfId="17048" xr:uid="{00000000-0005-0000-0000-000096420000}"/>
    <cellStyle name="Normal 20 3 3 2 2 4" xfId="17049" xr:uid="{00000000-0005-0000-0000-000097420000}"/>
    <cellStyle name="Normal 20 3 3 2 3" xfId="17050" xr:uid="{00000000-0005-0000-0000-000098420000}"/>
    <cellStyle name="Normal 20 3 3 2 3 2" xfId="17051" xr:uid="{00000000-0005-0000-0000-000099420000}"/>
    <cellStyle name="Normal 20 3 3 2 4" xfId="17052" xr:uid="{00000000-0005-0000-0000-00009A420000}"/>
    <cellStyle name="Normal 20 3 3 2 4 2" xfId="17053" xr:uid="{00000000-0005-0000-0000-00009B420000}"/>
    <cellStyle name="Normal 20 3 3 2 5" xfId="17054" xr:uid="{00000000-0005-0000-0000-00009C420000}"/>
    <cellStyle name="Normal 20 3 3 2 5 2" xfId="17055" xr:uid="{00000000-0005-0000-0000-00009D420000}"/>
    <cellStyle name="Normal 20 3 3 2 6" xfId="17056" xr:uid="{00000000-0005-0000-0000-00009E420000}"/>
    <cellStyle name="Normal 20 3 3 2 6 2" xfId="17057" xr:uid="{00000000-0005-0000-0000-00009F420000}"/>
    <cellStyle name="Normal 20 3 3 2 7" xfId="17058" xr:uid="{00000000-0005-0000-0000-0000A0420000}"/>
    <cellStyle name="Normal 20 3 3 3" xfId="17059" xr:uid="{00000000-0005-0000-0000-0000A1420000}"/>
    <cellStyle name="Normal 20 3 3 3 2" xfId="17060" xr:uid="{00000000-0005-0000-0000-0000A2420000}"/>
    <cellStyle name="Normal 20 3 3 3 2 2" xfId="17061" xr:uid="{00000000-0005-0000-0000-0000A3420000}"/>
    <cellStyle name="Normal 20 3 3 3 3" xfId="17062" xr:uid="{00000000-0005-0000-0000-0000A4420000}"/>
    <cellStyle name="Normal 20 3 3 3 3 2" xfId="17063" xr:uid="{00000000-0005-0000-0000-0000A5420000}"/>
    <cellStyle name="Normal 20 3 3 3 4" xfId="17064" xr:uid="{00000000-0005-0000-0000-0000A6420000}"/>
    <cellStyle name="Normal 20 3 3 3 4 2" xfId="17065" xr:uid="{00000000-0005-0000-0000-0000A7420000}"/>
    <cellStyle name="Normal 20 3 3 3 5" xfId="17066" xr:uid="{00000000-0005-0000-0000-0000A8420000}"/>
    <cellStyle name="Normal 20 3 3 3 5 2" xfId="17067" xr:uid="{00000000-0005-0000-0000-0000A9420000}"/>
    <cellStyle name="Normal 20 3 3 3 6" xfId="17068" xr:uid="{00000000-0005-0000-0000-0000AA420000}"/>
    <cellStyle name="Normal 20 3 3 4" xfId="17069" xr:uid="{00000000-0005-0000-0000-0000AB420000}"/>
    <cellStyle name="Normal 20 3 3 4 2" xfId="17070" xr:uid="{00000000-0005-0000-0000-0000AC420000}"/>
    <cellStyle name="Normal 20 3 3 4 2 2" xfId="17071" xr:uid="{00000000-0005-0000-0000-0000AD420000}"/>
    <cellStyle name="Normal 20 3 3 4 3" xfId="17072" xr:uid="{00000000-0005-0000-0000-0000AE420000}"/>
    <cellStyle name="Normal 20 3 3 5" xfId="17073" xr:uid="{00000000-0005-0000-0000-0000AF420000}"/>
    <cellStyle name="Normal 20 3 3 5 2" xfId="17074" xr:uid="{00000000-0005-0000-0000-0000B0420000}"/>
    <cellStyle name="Normal 20 3 3 6" xfId="17075" xr:uid="{00000000-0005-0000-0000-0000B1420000}"/>
    <cellStyle name="Normal 20 3 3 6 2" xfId="17076" xr:uid="{00000000-0005-0000-0000-0000B2420000}"/>
    <cellStyle name="Normal 20 3 3 7" xfId="17077" xr:uid="{00000000-0005-0000-0000-0000B3420000}"/>
    <cellStyle name="Normal 20 3 3 7 2" xfId="17078" xr:uid="{00000000-0005-0000-0000-0000B4420000}"/>
    <cellStyle name="Normal 20 3 3 8" xfId="17079" xr:uid="{00000000-0005-0000-0000-0000B5420000}"/>
    <cellStyle name="Normal 20 3 4" xfId="17080" xr:uid="{00000000-0005-0000-0000-0000B6420000}"/>
    <cellStyle name="Normal 20 3 4 2" xfId="17081" xr:uid="{00000000-0005-0000-0000-0000B7420000}"/>
    <cellStyle name="Normal 20 3 4 2 2" xfId="17082" xr:uid="{00000000-0005-0000-0000-0000B8420000}"/>
    <cellStyle name="Normal 20 3 4 2 2 2" xfId="17083" xr:uid="{00000000-0005-0000-0000-0000B9420000}"/>
    <cellStyle name="Normal 20 3 4 2 3" xfId="17084" xr:uid="{00000000-0005-0000-0000-0000BA420000}"/>
    <cellStyle name="Normal 20 3 4 2 3 2" xfId="17085" xr:uid="{00000000-0005-0000-0000-0000BB420000}"/>
    <cellStyle name="Normal 20 3 4 2 4" xfId="17086" xr:uid="{00000000-0005-0000-0000-0000BC420000}"/>
    <cellStyle name="Normal 20 3 4 3" xfId="17087" xr:uid="{00000000-0005-0000-0000-0000BD420000}"/>
    <cellStyle name="Normal 20 3 4 3 2" xfId="17088" xr:uid="{00000000-0005-0000-0000-0000BE420000}"/>
    <cellStyle name="Normal 20 3 4 4" xfId="17089" xr:uid="{00000000-0005-0000-0000-0000BF420000}"/>
    <cellStyle name="Normal 20 3 4 4 2" xfId="17090" xr:uid="{00000000-0005-0000-0000-0000C0420000}"/>
    <cellStyle name="Normal 20 3 4 5" xfId="17091" xr:uid="{00000000-0005-0000-0000-0000C1420000}"/>
    <cellStyle name="Normal 20 3 4 5 2" xfId="17092" xr:uid="{00000000-0005-0000-0000-0000C2420000}"/>
    <cellStyle name="Normal 20 3 4 6" xfId="17093" xr:uid="{00000000-0005-0000-0000-0000C3420000}"/>
    <cellStyle name="Normal 20 3 4 6 2" xfId="17094" xr:uid="{00000000-0005-0000-0000-0000C4420000}"/>
    <cellStyle name="Normal 20 3 4 7" xfId="17095" xr:uid="{00000000-0005-0000-0000-0000C5420000}"/>
    <cellStyle name="Normal 20 3 5" xfId="17096" xr:uid="{00000000-0005-0000-0000-0000C6420000}"/>
    <cellStyle name="Normal 20 3 5 2" xfId="17097" xr:uid="{00000000-0005-0000-0000-0000C7420000}"/>
    <cellStyle name="Normal 20 3 5 2 2" xfId="17098" xr:uid="{00000000-0005-0000-0000-0000C8420000}"/>
    <cellStyle name="Normal 20 3 5 3" xfId="17099" xr:uid="{00000000-0005-0000-0000-0000C9420000}"/>
    <cellStyle name="Normal 20 3 5 3 2" xfId="17100" xr:uid="{00000000-0005-0000-0000-0000CA420000}"/>
    <cellStyle name="Normal 20 3 5 4" xfId="17101" xr:uid="{00000000-0005-0000-0000-0000CB420000}"/>
    <cellStyle name="Normal 20 3 5 4 2" xfId="17102" xr:uid="{00000000-0005-0000-0000-0000CC420000}"/>
    <cellStyle name="Normal 20 3 5 5" xfId="17103" xr:uid="{00000000-0005-0000-0000-0000CD420000}"/>
    <cellStyle name="Normal 20 3 5 5 2" xfId="17104" xr:uid="{00000000-0005-0000-0000-0000CE420000}"/>
    <cellStyle name="Normal 20 3 5 6" xfId="17105" xr:uid="{00000000-0005-0000-0000-0000CF420000}"/>
    <cellStyle name="Normal 20 3 6" xfId="17106" xr:uid="{00000000-0005-0000-0000-0000D0420000}"/>
    <cellStyle name="Normal 20 3 6 2" xfId="17107" xr:uid="{00000000-0005-0000-0000-0000D1420000}"/>
    <cellStyle name="Normal 20 3 6 2 2" xfId="17108" xr:uid="{00000000-0005-0000-0000-0000D2420000}"/>
    <cellStyle name="Normal 20 3 6 3" xfId="17109" xr:uid="{00000000-0005-0000-0000-0000D3420000}"/>
    <cellStyle name="Normal 20 3 7" xfId="17110" xr:uid="{00000000-0005-0000-0000-0000D4420000}"/>
    <cellStyle name="Normal 20 3 7 2" xfId="17111" xr:uid="{00000000-0005-0000-0000-0000D5420000}"/>
    <cellStyle name="Normal 20 3 8" xfId="17112" xr:uid="{00000000-0005-0000-0000-0000D6420000}"/>
    <cellStyle name="Normal 20 3 8 2" xfId="17113" xr:uid="{00000000-0005-0000-0000-0000D7420000}"/>
    <cellStyle name="Normal 20 3 9" xfId="17114" xr:uid="{00000000-0005-0000-0000-0000D8420000}"/>
    <cellStyle name="Normal 20 3 9 2" xfId="17115" xr:uid="{00000000-0005-0000-0000-0000D9420000}"/>
    <cellStyle name="Normal 20 4" xfId="17116" xr:uid="{00000000-0005-0000-0000-0000DA420000}"/>
    <cellStyle name="Normal 20 4 2" xfId="17117" xr:uid="{00000000-0005-0000-0000-0000DB420000}"/>
    <cellStyle name="Normal 20 4 2 2" xfId="17118" xr:uid="{00000000-0005-0000-0000-0000DC420000}"/>
    <cellStyle name="Normal 20 4 2 2 2" xfId="17119" xr:uid="{00000000-0005-0000-0000-0000DD420000}"/>
    <cellStyle name="Normal 20 4 2 2 2 2" xfId="17120" xr:uid="{00000000-0005-0000-0000-0000DE420000}"/>
    <cellStyle name="Normal 20 4 2 2 3" xfId="17121" xr:uid="{00000000-0005-0000-0000-0000DF420000}"/>
    <cellStyle name="Normal 20 4 2 2 3 2" xfId="17122" xr:uid="{00000000-0005-0000-0000-0000E0420000}"/>
    <cellStyle name="Normal 20 4 2 2 4" xfId="17123" xr:uid="{00000000-0005-0000-0000-0000E1420000}"/>
    <cellStyle name="Normal 20 4 2 3" xfId="17124" xr:uid="{00000000-0005-0000-0000-0000E2420000}"/>
    <cellStyle name="Normal 20 4 2 3 2" xfId="17125" xr:uid="{00000000-0005-0000-0000-0000E3420000}"/>
    <cellStyle name="Normal 20 4 2 4" xfId="17126" xr:uid="{00000000-0005-0000-0000-0000E4420000}"/>
    <cellStyle name="Normal 20 4 2 4 2" xfId="17127" xr:uid="{00000000-0005-0000-0000-0000E5420000}"/>
    <cellStyle name="Normal 20 4 2 5" xfId="17128" xr:uid="{00000000-0005-0000-0000-0000E6420000}"/>
    <cellStyle name="Normal 20 4 2 5 2" xfId="17129" xr:uid="{00000000-0005-0000-0000-0000E7420000}"/>
    <cellStyle name="Normal 20 4 2 6" xfId="17130" xr:uid="{00000000-0005-0000-0000-0000E8420000}"/>
    <cellStyle name="Normal 20 4 2 6 2" xfId="17131" xr:uid="{00000000-0005-0000-0000-0000E9420000}"/>
    <cellStyle name="Normal 20 4 2 7" xfId="17132" xr:uid="{00000000-0005-0000-0000-0000EA420000}"/>
    <cellStyle name="Normal 20 4 3" xfId="17133" xr:uid="{00000000-0005-0000-0000-0000EB420000}"/>
    <cellStyle name="Normal 20 4 3 2" xfId="17134" xr:uid="{00000000-0005-0000-0000-0000EC420000}"/>
    <cellStyle name="Normal 20 4 3 2 2" xfId="17135" xr:uid="{00000000-0005-0000-0000-0000ED420000}"/>
    <cellStyle name="Normal 20 4 3 3" xfId="17136" xr:uid="{00000000-0005-0000-0000-0000EE420000}"/>
    <cellStyle name="Normal 20 4 3 3 2" xfId="17137" xr:uid="{00000000-0005-0000-0000-0000EF420000}"/>
    <cellStyle name="Normal 20 4 3 4" xfId="17138" xr:uid="{00000000-0005-0000-0000-0000F0420000}"/>
    <cellStyle name="Normal 20 4 3 4 2" xfId="17139" xr:uid="{00000000-0005-0000-0000-0000F1420000}"/>
    <cellStyle name="Normal 20 4 3 5" xfId="17140" xr:uid="{00000000-0005-0000-0000-0000F2420000}"/>
    <cellStyle name="Normal 20 4 3 5 2" xfId="17141" xr:uid="{00000000-0005-0000-0000-0000F3420000}"/>
    <cellStyle name="Normal 20 4 3 6" xfId="17142" xr:uid="{00000000-0005-0000-0000-0000F4420000}"/>
    <cellStyle name="Normal 20 4 4" xfId="17143" xr:uid="{00000000-0005-0000-0000-0000F5420000}"/>
    <cellStyle name="Normal 20 4 4 2" xfId="17144" xr:uid="{00000000-0005-0000-0000-0000F6420000}"/>
    <cellStyle name="Normal 20 4 4 2 2" xfId="17145" xr:uid="{00000000-0005-0000-0000-0000F7420000}"/>
    <cellStyle name="Normal 20 4 4 3" xfId="17146" xr:uid="{00000000-0005-0000-0000-0000F8420000}"/>
    <cellStyle name="Normal 20 4 5" xfId="17147" xr:uid="{00000000-0005-0000-0000-0000F9420000}"/>
    <cellStyle name="Normal 20 4 5 2" xfId="17148" xr:uid="{00000000-0005-0000-0000-0000FA420000}"/>
    <cellStyle name="Normal 20 4 6" xfId="17149" xr:uid="{00000000-0005-0000-0000-0000FB420000}"/>
    <cellStyle name="Normal 20 4 6 2" xfId="17150" xr:uid="{00000000-0005-0000-0000-0000FC420000}"/>
    <cellStyle name="Normal 20 4 7" xfId="17151" xr:uid="{00000000-0005-0000-0000-0000FD420000}"/>
    <cellStyle name="Normal 20 4 7 2" xfId="17152" xr:uid="{00000000-0005-0000-0000-0000FE420000}"/>
    <cellStyle name="Normal 20 4 8" xfId="17153" xr:uid="{00000000-0005-0000-0000-0000FF420000}"/>
    <cellStyle name="Normal 20 5" xfId="17154" xr:uid="{00000000-0005-0000-0000-000000430000}"/>
    <cellStyle name="Normal 20 5 2" xfId="17155" xr:uid="{00000000-0005-0000-0000-000001430000}"/>
    <cellStyle name="Normal 20 5 2 2" xfId="17156" xr:uid="{00000000-0005-0000-0000-000002430000}"/>
    <cellStyle name="Normal 20 5 2 2 2" xfId="17157" xr:uid="{00000000-0005-0000-0000-000003430000}"/>
    <cellStyle name="Normal 20 5 2 2 2 2" xfId="17158" xr:uid="{00000000-0005-0000-0000-000004430000}"/>
    <cellStyle name="Normal 20 5 2 2 3" xfId="17159" xr:uid="{00000000-0005-0000-0000-000005430000}"/>
    <cellStyle name="Normal 20 5 2 2 3 2" xfId="17160" xr:uid="{00000000-0005-0000-0000-000006430000}"/>
    <cellStyle name="Normal 20 5 2 2 4" xfId="17161" xr:uid="{00000000-0005-0000-0000-000007430000}"/>
    <cellStyle name="Normal 20 5 2 3" xfId="17162" xr:uid="{00000000-0005-0000-0000-000008430000}"/>
    <cellStyle name="Normal 20 5 2 3 2" xfId="17163" xr:uid="{00000000-0005-0000-0000-000009430000}"/>
    <cellStyle name="Normal 20 5 2 4" xfId="17164" xr:uid="{00000000-0005-0000-0000-00000A430000}"/>
    <cellStyle name="Normal 20 5 2 4 2" xfId="17165" xr:uid="{00000000-0005-0000-0000-00000B430000}"/>
    <cellStyle name="Normal 20 5 2 5" xfId="17166" xr:uid="{00000000-0005-0000-0000-00000C430000}"/>
    <cellStyle name="Normal 20 5 2 5 2" xfId="17167" xr:uid="{00000000-0005-0000-0000-00000D430000}"/>
    <cellStyle name="Normal 20 5 2 6" xfId="17168" xr:uid="{00000000-0005-0000-0000-00000E430000}"/>
    <cellStyle name="Normal 20 5 2 6 2" xfId="17169" xr:uid="{00000000-0005-0000-0000-00000F430000}"/>
    <cellStyle name="Normal 20 5 2 7" xfId="17170" xr:uid="{00000000-0005-0000-0000-000010430000}"/>
    <cellStyle name="Normal 20 5 3" xfId="17171" xr:uid="{00000000-0005-0000-0000-000011430000}"/>
    <cellStyle name="Normal 20 5 3 2" xfId="17172" xr:uid="{00000000-0005-0000-0000-000012430000}"/>
    <cellStyle name="Normal 20 5 3 2 2" xfId="17173" xr:uid="{00000000-0005-0000-0000-000013430000}"/>
    <cellStyle name="Normal 20 5 3 3" xfId="17174" xr:uid="{00000000-0005-0000-0000-000014430000}"/>
    <cellStyle name="Normal 20 5 3 3 2" xfId="17175" xr:uid="{00000000-0005-0000-0000-000015430000}"/>
    <cellStyle name="Normal 20 5 3 4" xfId="17176" xr:uid="{00000000-0005-0000-0000-000016430000}"/>
    <cellStyle name="Normal 20 5 3 4 2" xfId="17177" xr:uid="{00000000-0005-0000-0000-000017430000}"/>
    <cellStyle name="Normal 20 5 3 5" xfId="17178" xr:uid="{00000000-0005-0000-0000-000018430000}"/>
    <cellStyle name="Normal 20 5 3 5 2" xfId="17179" xr:uid="{00000000-0005-0000-0000-000019430000}"/>
    <cellStyle name="Normal 20 5 3 6" xfId="17180" xr:uid="{00000000-0005-0000-0000-00001A430000}"/>
    <cellStyle name="Normal 20 5 4" xfId="17181" xr:uid="{00000000-0005-0000-0000-00001B430000}"/>
    <cellStyle name="Normal 20 5 4 2" xfId="17182" xr:uid="{00000000-0005-0000-0000-00001C430000}"/>
    <cellStyle name="Normal 20 5 4 2 2" xfId="17183" xr:uid="{00000000-0005-0000-0000-00001D430000}"/>
    <cellStyle name="Normal 20 5 4 3" xfId="17184" xr:uid="{00000000-0005-0000-0000-00001E430000}"/>
    <cellStyle name="Normal 20 5 5" xfId="17185" xr:uid="{00000000-0005-0000-0000-00001F430000}"/>
    <cellStyle name="Normal 20 5 5 2" xfId="17186" xr:uid="{00000000-0005-0000-0000-000020430000}"/>
    <cellStyle name="Normal 20 5 6" xfId="17187" xr:uid="{00000000-0005-0000-0000-000021430000}"/>
    <cellStyle name="Normal 20 5 6 2" xfId="17188" xr:uid="{00000000-0005-0000-0000-000022430000}"/>
    <cellStyle name="Normal 20 5 7" xfId="17189" xr:uid="{00000000-0005-0000-0000-000023430000}"/>
    <cellStyle name="Normal 20 5 7 2" xfId="17190" xr:uid="{00000000-0005-0000-0000-000024430000}"/>
    <cellStyle name="Normal 20 5 8" xfId="17191" xr:uid="{00000000-0005-0000-0000-000025430000}"/>
    <cellStyle name="Normal 20 6" xfId="17192" xr:uid="{00000000-0005-0000-0000-000026430000}"/>
    <cellStyle name="Normal 20 6 2" xfId="17193" xr:uid="{00000000-0005-0000-0000-000027430000}"/>
    <cellStyle name="Normal 20 6 2 2" xfId="17194" xr:uid="{00000000-0005-0000-0000-000028430000}"/>
    <cellStyle name="Normal 20 6 2 2 2" xfId="17195" xr:uid="{00000000-0005-0000-0000-000029430000}"/>
    <cellStyle name="Normal 20 6 2 3" xfId="17196" xr:uid="{00000000-0005-0000-0000-00002A430000}"/>
    <cellStyle name="Normal 20 6 2 3 2" xfId="17197" xr:uid="{00000000-0005-0000-0000-00002B430000}"/>
    <cellStyle name="Normal 20 6 2 4" xfId="17198" xr:uid="{00000000-0005-0000-0000-00002C430000}"/>
    <cellStyle name="Normal 20 6 3" xfId="17199" xr:uid="{00000000-0005-0000-0000-00002D430000}"/>
    <cellStyle name="Normal 20 6 3 2" xfId="17200" xr:uid="{00000000-0005-0000-0000-00002E430000}"/>
    <cellStyle name="Normal 20 6 4" xfId="17201" xr:uid="{00000000-0005-0000-0000-00002F430000}"/>
    <cellStyle name="Normal 20 6 4 2" xfId="17202" xr:uid="{00000000-0005-0000-0000-000030430000}"/>
    <cellStyle name="Normal 20 6 5" xfId="17203" xr:uid="{00000000-0005-0000-0000-000031430000}"/>
    <cellStyle name="Normal 20 6 5 2" xfId="17204" xr:uid="{00000000-0005-0000-0000-000032430000}"/>
    <cellStyle name="Normal 20 6 6" xfId="17205" xr:uid="{00000000-0005-0000-0000-000033430000}"/>
    <cellStyle name="Normal 20 6 6 2" xfId="17206" xr:uid="{00000000-0005-0000-0000-000034430000}"/>
    <cellStyle name="Normal 20 6 7" xfId="17207" xr:uid="{00000000-0005-0000-0000-000035430000}"/>
    <cellStyle name="Normal 20 7" xfId="17208" xr:uid="{00000000-0005-0000-0000-000036430000}"/>
    <cellStyle name="Normal 20 7 2" xfId="17209" xr:uid="{00000000-0005-0000-0000-000037430000}"/>
    <cellStyle name="Normal 20 7 2 2" xfId="17210" xr:uid="{00000000-0005-0000-0000-000038430000}"/>
    <cellStyle name="Normal 20 7 3" xfId="17211" xr:uid="{00000000-0005-0000-0000-000039430000}"/>
    <cellStyle name="Normal 20 7 4" xfId="17212" xr:uid="{00000000-0005-0000-0000-00003A430000}"/>
    <cellStyle name="Normal 20 7 4 2" xfId="17213" xr:uid="{00000000-0005-0000-0000-00003B430000}"/>
    <cellStyle name="Normal 20 7 5" xfId="17214" xr:uid="{00000000-0005-0000-0000-00003C430000}"/>
    <cellStyle name="Normal 20 7 5 2" xfId="17215" xr:uid="{00000000-0005-0000-0000-00003D430000}"/>
    <cellStyle name="Normal 20 7 6" xfId="17216" xr:uid="{00000000-0005-0000-0000-00003E430000}"/>
    <cellStyle name="Normal 20 8" xfId="17217" xr:uid="{00000000-0005-0000-0000-00003F430000}"/>
    <cellStyle name="Normal 20 8 2" xfId="17218" xr:uid="{00000000-0005-0000-0000-000040430000}"/>
    <cellStyle name="Normal 20 8 2 2" xfId="17219" xr:uid="{00000000-0005-0000-0000-000041430000}"/>
    <cellStyle name="Normal 20 8 3" xfId="17220" xr:uid="{00000000-0005-0000-0000-000042430000}"/>
    <cellStyle name="Normal 20 9" xfId="17221" xr:uid="{00000000-0005-0000-0000-000043430000}"/>
    <cellStyle name="Normal 20 9 2" xfId="17222" xr:uid="{00000000-0005-0000-0000-000044430000}"/>
    <cellStyle name="Normal 20 9 2 2" xfId="17223" xr:uid="{00000000-0005-0000-0000-000045430000}"/>
    <cellStyle name="Normal 20 9 3" xfId="17224" xr:uid="{00000000-0005-0000-0000-000046430000}"/>
    <cellStyle name="Normal 21" xfId="17225" xr:uid="{00000000-0005-0000-0000-000047430000}"/>
    <cellStyle name="Normal 21 2" xfId="17226" xr:uid="{00000000-0005-0000-0000-000048430000}"/>
    <cellStyle name="Normal 22" xfId="17227" xr:uid="{00000000-0005-0000-0000-000049430000}"/>
    <cellStyle name="Normal 22 10" xfId="17228" xr:uid="{00000000-0005-0000-0000-00004A430000}"/>
    <cellStyle name="Normal 22 10 2" xfId="17229" xr:uid="{00000000-0005-0000-0000-00004B430000}"/>
    <cellStyle name="Normal 22 11" xfId="17230" xr:uid="{00000000-0005-0000-0000-00004C430000}"/>
    <cellStyle name="Normal 22 12" xfId="17231" xr:uid="{00000000-0005-0000-0000-00004D430000}"/>
    <cellStyle name="Normal 22 2" xfId="17232" xr:uid="{00000000-0005-0000-0000-00004E430000}"/>
    <cellStyle name="Normal 22 2 10" xfId="17233" xr:uid="{00000000-0005-0000-0000-00004F430000}"/>
    <cellStyle name="Normal 22 2 2" xfId="17234" xr:uid="{00000000-0005-0000-0000-000050430000}"/>
    <cellStyle name="Normal 22 2 2 2" xfId="17235" xr:uid="{00000000-0005-0000-0000-000051430000}"/>
    <cellStyle name="Normal 22 2 2 2 2" xfId="17236" xr:uid="{00000000-0005-0000-0000-000052430000}"/>
    <cellStyle name="Normal 22 2 2 2 2 2" xfId="17237" xr:uid="{00000000-0005-0000-0000-000053430000}"/>
    <cellStyle name="Normal 22 2 2 2 2 2 2" xfId="17238" xr:uid="{00000000-0005-0000-0000-000054430000}"/>
    <cellStyle name="Normal 22 2 2 2 2 3" xfId="17239" xr:uid="{00000000-0005-0000-0000-000055430000}"/>
    <cellStyle name="Normal 22 2 2 2 2 3 2" xfId="17240" xr:uid="{00000000-0005-0000-0000-000056430000}"/>
    <cellStyle name="Normal 22 2 2 2 2 4" xfId="17241" xr:uid="{00000000-0005-0000-0000-000057430000}"/>
    <cellStyle name="Normal 22 2 2 2 3" xfId="17242" xr:uid="{00000000-0005-0000-0000-000058430000}"/>
    <cellStyle name="Normal 22 2 2 2 3 2" xfId="17243" xr:uid="{00000000-0005-0000-0000-000059430000}"/>
    <cellStyle name="Normal 22 2 2 2 4" xfId="17244" xr:uid="{00000000-0005-0000-0000-00005A430000}"/>
    <cellStyle name="Normal 22 2 2 2 4 2" xfId="17245" xr:uid="{00000000-0005-0000-0000-00005B430000}"/>
    <cellStyle name="Normal 22 2 2 2 5" xfId="17246" xr:uid="{00000000-0005-0000-0000-00005C430000}"/>
    <cellStyle name="Normal 22 2 2 2 5 2" xfId="17247" xr:uid="{00000000-0005-0000-0000-00005D430000}"/>
    <cellStyle name="Normal 22 2 2 2 6" xfId="17248" xr:uid="{00000000-0005-0000-0000-00005E430000}"/>
    <cellStyle name="Normal 22 2 2 2 6 2" xfId="17249" xr:uid="{00000000-0005-0000-0000-00005F430000}"/>
    <cellStyle name="Normal 22 2 2 2 7" xfId="17250" xr:uid="{00000000-0005-0000-0000-000060430000}"/>
    <cellStyle name="Normal 22 2 2 3" xfId="17251" xr:uid="{00000000-0005-0000-0000-000061430000}"/>
    <cellStyle name="Normal 22 2 2 3 2" xfId="17252" xr:uid="{00000000-0005-0000-0000-000062430000}"/>
    <cellStyle name="Normal 22 2 2 3 2 2" xfId="17253" xr:uid="{00000000-0005-0000-0000-000063430000}"/>
    <cellStyle name="Normal 22 2 2 3 3" xfId="17254" xr:uid="{00000000-0005-0000-0000-000064430000}"/>
    <cellStyle name="Normal 22 2 2 3 3 2" xfId="17255" xr:uid="{00000000-0005-0000-0000-000065430000}"/>
    <cellStyle name="Normal 22 2 2 3 4" xfId="17256" xr:uid="{00000000-0005-0000-0000-000066430000}"/>
    <cellStyle name="Normal 22 2 2 3 4 2" xfId="17257" xr:uid="{00000000-0005-0000-0000-000067430000}"/>
    <cellStyle name="Normal 22 2 2 3 5" xfId="17258" xr:uid="{00000000-0005-0000-0000-000068430000}"/>
    <cellStyle name="Normal 22 2 2 3 5 2" xfId="17259" xr:uid="{00000000-0005-0000-0000-000069430000}"/>
    <cellStyle name="Normal 22 2 2 3 6" xfId="17260" xr:uid="{00000000-0005-0000-0000-00006A430000}"/>
    <cellStyle name="Normal 22 2 2 4" xfId="17261" xr:uid="{00000000-0005-0000-0000-00006B430000}"/>
    <cellStyle name="Normal 22 2 2 4 2" xfId="17262" xr:uid="{00000000-0005-0000-0000-00006C430000}"/>
    <cellStyle name="Normal 22 2 2 4 2 2" xfId="17263" xr:uid="{00000000-0005-0000-0000-00006D430000}"/>
    <cellStyle name="Normal 22 2 2 4 3" xfId="17264" xr:uid="{00000000-0005-0000-0000-00006E430000}"/>
    <cellStyle name="Normal 22 2 2 5" xfId="17265" xr:uid="{00000000-0005-0000-0000-00006F430000}"/>
    <cellStyle name="Normal 22 2 2 5 2" xfId="17266" xr:uid="{00000000-0005-0000-0000-000070430000}"/>
    <cellStyle name="Normal 22 2 2 6" xfId="17267" xr:uid="{00000000-0005-0000-0000-000071430000}"/>
    <cellStyle name="Normal 22 2 2 6 2" xfId="17268" xr:uid="{00000000-0005-0000-0000-000072430000}"/>
    <cellStyle name="Normal 22 2 2 7" xfId="17269" xr:uid="{00000000-0005-0000-0000-000073430000}"/>
    <cellStyle name="Normal 22 2 2 7 2" xfId="17270" xr:uid="{00000000-0005-0000-0000-000074430000}"/>
    <cellStyle name="Normal 22 2 2 8" xfId="17271" xr:uid="{00000000-0005-0000-0000-000075430000}"/>
    <cellStyle name="Normal 22 2 3" xfId="17272" xr:uid="{00000000-0005-0000-0000-000076430000}"/>
    <cellStyle name="Normal 22 2 3 2" xfId="17273" xr:uid="{00000000-0005-0000-0000-000077430000}"/>
    <cellStyle name="Normal 22 2 3 2 2" xfId="17274" xr:uid="{00000000-0005-0000-0000-000078430000}"/>
    <cellStyle name="Normal 22 2 3 2 2 2" xfId="17275" xr:uid="{00000000-0005-0000-0000-000079430000}"/>
    <cellStyle name="Normal 22 2 3 2 2 2 2" xfId="17276" xr:uid="{00000000-0005-0000-0000-00007A430000}"/>
    <cellStyle name="Normal 22 2 3 2 2 3" xfId="17277" xr:uid="{00000000-0005-0000-0000-00007B430000}"/>
    <cellStyle name="Normal 22 2 3 2 2 3 2" xfId="17278" xr:uid="{00000000-0005-0000-0000-00007C430000}"/>
    <cellStyle name="Normal 22 2 3 2 2 4" xfId="17279" xr:uid="{00000000-0005-0000-0000-00007D430000}"/>
    <cellStyle name="Normal 22 2 3 2 3" xfId="17280" xr:uid="{00000000-0005-0000-0000-00007E430000}"/>
    <cellStyle name="Normal 22 2 3 2 3 2" xfId="17281" xr:uid="{00000000-0005-0000-0000-00007F430000}"/>
    <cellStyle name="Normal 22 2 3 2 4" xfId="17282" xr:uid="{00000000-0005-0000-0000-000080430000}"/>
    <cellStyle name="Normal 22 2 3 2 4 2" xfId="17283" xr:uid="{00000000-0005-0000-0000-000081430000}"/>
    <cellStyle name="Normal 22 2 3 2 5" xfId="17284" xr:uid="{00000000-0005-0000-0000-000082430000}"/>
    <cellStyle name="Normal 22 2 3 2 5 2" xfId="17285" xr:uid="{00000000-0005-0000-0000-000083430000}"/>
    <cellStyle name="Normal 22 2 3 2 6" xfId="17286" xr:uid="{00000000-0005-0000-0000-000084430000}"/>
    <cellStyle name="Normal 22 2 3 2 6 2" xfId="17287" xr:uid="{00000000-0005-0000-0000-000085430000}"/>
    <cellStyle name="Normal 22 2 3 2 7" xfId="17288" xr:uid="{00000000-0005-0000-0000-000086430000}"/>
    <cellStyle name="Normal 22 2 3 3" xfId="17289" xr:uid="{00000000-0005-0000-0000-000087430000}"/>
    <cellStyle name="Normal 22 2 3 3 2" xfId="17290" xr:uid="{00000000-0005-0000-0000-000088430000}"/>
    <cellStyle name="Normal 22 2 3 3 2 2" xfId="17291" xr:uid="{00000000-0005-0000-0000-000089430000}"/>
    <cellStyle name="Normal 22 2 3 3 3" xfId="17292" xr:uid="{00000000-0005-0000-0000-00008A430000}"/>
    <cellStyle name="Normal 22 2 3 3 3 2" xfId="17293" xr:uid="{00000000-0005-0000-0000-00008B430000}"/>
    <cellStyle name="Normal 22 2 3 3 4" xfId="17294" xr:uid="{00000000-0005-0000-0000-00008C430000}"/>
    <cellStyle name="Normal 22 2 3 3 4 2" xfId="17295" xr:uid="{00000000-0005-0000-0000-00008D430000}"/>
    <cellStyle name="Normal 22 2 3 3 5" xfId="17296" xr:uid="{00000000-0005-0000-0000-00008E430000}"/>
    <cellStyle name="Normal 22 2 3 3 5 2" xfId="17297" xr:uid="{00000000-0005-0000-0000-00008F430000}"/>
    <cellStyle name="Normal 22 2 3 3 6" xfId="17298" xr:uid="{00000000-0005-0000-0000-000090430000}"/>
    <cellStyle name="Normal 22 2 3 4" xfId="17299" xr:uid="{00000000-0005-0000-0000-000091430000}"/>
    <cellStyle name="Normal 22 2 3 4 2" xfId="17300" xr:uid="{00000000-0005-0000-0000-000092430000}"/>
    <cellStyle name="Normal 22 2 3 4 2 2" xfId="17301" xr:uid="{00000000-0005-0000-0000-000093430000}"/>
    <cellStyle name="Normal 22 2 3 4 3" xfId="17302" xr:uid="{00000000-0005-0000-0000-000094430000}"/>
    <cellStyle name="Normal 22 2 3 5" xfId="17303" xr:uid="{00000000-0005-0000-0000-000095430000}"/>
    <cellStyle name="Normal 22 2 3 5 2" xfId="17304" xr:uid="{00000000-0005-0000-0000-000096430000}"/>
    <cellStyle name="Normal 22 2 3 6" xfId="17305" xr:uid="{00000000-0005-0000-0000-000097430000}"/>
    <cellStyle name="Normal 22 2 3 6 2" xfId="17306" xr:uid="{00000000-0005-0000-0000-000098430000}"/>
    <cellStyle name="Normal 22 2 3 7" xfId="17307" xr:uid="{00000000-0005-0000-0000-000099430000}"/>
    <cellStyle name="Normal 22 2 3 7 2" xfId="17308" xr:uid="{00000000-0005-0000-0000-00009A430000}"/>
    <cellStyle name="Normal 22 2 3 8" xfId="17309" xr:uid="{00000000-0005-0000-0000-00009B430000}"/>
    <cellStyle name="Normal 22 2 4" xfId="17310" xr:uid="{00000000-0005-0000-0000-00009C430000}"/>
    <cellStyle name="Normal 22 2 4 2" xfId="17311" xr:uid="{00000000-0005-0000-0000-00009D430000}"/>
    <cellStyle name="Normal 22 2 4 2 2" xfId="17312" xr:uid="{00000000-0005-0000-0000-00009E430000}"/>
    <cellStyle name="Normal 22 2 4 2 2 2" xfId="17313" xr:uid="{00000000-0005-0000-0000-00009F430000}"/>
    <cellStyle name="Normal 22 2 4 2 3" xfId="17314" xr:uid="{00000000-0005-0000-0000-0000A0430000}"/>
    <cellStyle name="Normal 22 2 4 2 3 2" xfId="17315" xr:uid="{00000000-0005-0000-0000-0000A1430000}"/>
    <cellStyle name="Normal 22 2 4 2 4" xfId="17316" xr:uid="{00000000-0005-0000-0000-0000A2430000}"/>
    <cellStyle name="Normal 22 2 4 3" xfId="17317" xr:uid="{00000000-0005-0000-0000-0000A3430000}"/>
    <cellStyle name="Normal 22 2 4 3 2" xfId="17318" xr:uid="{00000000-0005-0000-0000-0000A4430000}"/>
    <cellStyle name="Normal 22 2 4 4" xfId="17319" xr:uid="{00000000-0005-0000-0000-0000A5430000}"/>
    <cellStyle name="Normal 22 2 4 4 2" xfId="17320" xr:uid="{00000000-0005-0000-0000-0000A6430000}"/>
    <cellStyle name="Normal 22 2 4 5" xfId="17321" xr:uid="{00000000-0005-0000-0000-0000A7430000}"/>
    <cellStyle name="Normal 22 2 4 5 2" xfId="17322" xr:uid="{00000000-0005-0000-0000-0000A8430000}"/>
    <cellStyle name="Normal 22 2 4 6" xfId="17323" xr:uid="{00000000-0005-0000-0000-0000A9430000}"/>
    <cellStyle name="Normal 22 2 4 6 2" xfId="17324" xr:uid="{00000000-0005-0000-0000-0000AA430000}"/>
    <cellStyle name="Normal 22 2 4 7" xfId="17325" xr:uid="{00000000-0005-0000-0000-0000AB430000}"/>
    <cellStyle name="Normal 22 2 5" xfId="17326" xr:uid="{00000000-0005-0000-0000-0000AC430000}"/>
    <cellStyle name="Normal 22 2 5 2" xfId="17327" xr:uid="{00000000-0005-0000-0000-0000AD430000}"/>
    <cellStyle name="Normal 22 2 5 2 2" xfId="17328" xr:uid="{00000000-0005-0000-0000-0000AE430000}"/>
    <cellStyle name="Normal 22 2 5 3" xfId="17329" xr:uid="{00000000-0005-0000-0000-0000AF430000}"/>
    <cellStyle name="Normal 22 2 5 3 2" xfId="17330" xr:uid="{00000000-0005-0000-0000-0000B0430000}"/>
    <cellStyle name="Normal 22 2 5 4" xfId="17331" xr:uid="{00000000-0005-0000-0000-0000B1430000}"/>
    <cellStyle name="Normal 22 2 5 4 2" xfId="17332" xr:uid="{00000000-0005-0000-0000-0000B2430000}"/>
    <cellStyle name="Normal 22 2 5 5" xfId="17333" xr:uid="{00000000-0005-0000-0000-0000B3430000}"/>
    <cellStyle name="Normal 22 2 5 5 2" xfId="17334" xr:uid="{00000000-0005-0000-0000-0000B4430000}"/>
    <cellStyle name="Normal 22 2 5 6" xfId="17335" xr:uid="{00000000-0005-0000-0000-0000B5430000}"/>
    <cellStyle name="Normal 22 2 6" xfId="17336" xr:uid="{00000000-0005-0000-0000-0000B6430000}"/>
    <cellStyle name="Normal 22 2 6 2" xfId="17337" xr:uid="{00000000-0005-0000-0000-0000B7430000}"/>
    <cellStyle name="Normal 22 2 6 2 2" xfId="17338" xr:uid="{00000000-0005-0000-0000-0000B8430000}"/>
    <cellStyle name="Normal 22 2 6 3" xfId="17339" xr:uid="{00000000-0005-0000-0000-0000B9430000}"/>
    <cellStyle name="Normal 22 2 7" xfId="17340" xr:uid="{00000000-0005-0000-0000-0000BA430000}"/>
    <cellStyle name="Normal 22 2 7 2" xfId="17341" xr:uid="{00000000-0005-0000-0000-0000BB430000}"/>
    <cellStyle name="Normal 22 2 8" xfId="17342" xr:uid="{00000000-0005-0000-0000-0000BC430000}"/>
    <cellStyle name="Normal 22 2 8 2" xfId="17343" xr:uid="{00000000-0005-0000-0000-0000BD430000}"/>
    <cellStyle name="Normal 22 2 9" xfId="17344" xr:uid="{00000000-0005-0000-0000-0000BE430000}"/>
    <cellStyle name="Normal 22 2 9 2" xfId="17345" xr:uid="{00000000-0005-0000-0000-0000BF430000}"/>
    <cellStyle name="Normal 22 3" xfId="17346" xr:uid="{00000000-0005-0000-0000-0000C0430000}"/>
    <cellStyle name="Normal 22 3 2" xfId="17347" xr:uid="{00000000-0005-0000-0000-0000C1430000}"/>
    <cellStyle name="Normal 22 3 2 2" xfId="17348" xr:uid="{00000000-0005-0000-0000-0000C2430000}"/>
    <cellStyle name="Normal 22 3 2 2 2" xfId="17349" xr:uid="{00000000-0005-0000-0000-0000C3430000}"/>
    <cellStyle name="Normal 22 3 2 2 2 2" xfId="17350" xr:uid="{00000000-0005-0000-0000-0000C4430000}"/>
    <cellStyle name="Normal 22 3 2 2 3" xfId="17351" xr:uid="{00000000-0005-0000-0000-0000C5430000}"/>
    <cellStyle name="Normal 22 3 2 2 3 2" xfId="17352" xr:uid="{00000000-0005-0000-0000-0000C6430000}"/>
    <cellStyle name="Normal 22 3 2 2 4" xfId="17353" xr:uid="{00000000-0005-0000-0000-0000C7430000}"/>
    <cellStyle name="Normal 22 3 2 3" xfId="17354" xr:uid="{00000000-0005-0000-0000-0000C8430000}"/>
    <cellStyle name="Normal 22 3 2 3 2" xfId="17355" xr:uid="{00000000-0005-0000-0000-0000C9430000}"/>
    <cellStyle name="Normal 22 3 2 4" xfId="17356" xr:uid="{00000000-0005-0000-0000-0000CA430000}"/>
    <cellStyle name="Normal 22 3 2 4 2" xfId="17357" xr:uid="{00000000-0005-0000-0000-0000CB430000}"/>
    <cellStyle name="Normal 22 3 2 5" xfId="17358" xr:uid="{00000000-0005-0000-0000-0000CC430000}"/>
    <cellStyle name="Normal 22 3 2 5 2" xfId="17359" xr:uid="{00000000-0005-0000-0000-0000CD430000}"/>
    <cellStyle name="Normal 22 3 2 6" xfId="17360" xr:uid="{00000000-0005-0000-0000-0000CE430000}"/>
    <cellStyle name="Normal 22 3 2 6 2" xfId="17361" xr:uid="{00000000-0005-0000-0000-0000CF430000}"/>
    <cellStyle name="Normal 22 3 2 7" xfId="17362" xr:uid="{00000000-0005-0000-0000-0000D0430000}"/>
    <cellStyle name="Normal 22 3 3" xfId="17363" xr:uid="{00000000-0005-0000-0000-0000D1430000}"/>
    <cellStyle name="Normal 22 3 3 2" xfId="17364" xr:uid="{00000000-0005-0000-0000-0000D2430000}"/>
    <cellStyle name="Normal 22 3 3 2 2" xfId="17365" xr:uid="{00000000-0005-0000-0000-0000D3430000}"/>
    <cellStyle name="Normal 22 3 3 3" xfId="17366" xr:uid="{00000000-0005-0000-0000-0000D4430000}"/>
    <cellStyle name="Normal 22 3 3 3 2" xfId="17367" xr:uid="{00000000-0005-0000-0000-0000D5430000}"/>
    <cellStyle name="Normal 22 3 3 4" xfId="17368" xr:uid="{00000000-0005-0000-0000-0000D6430000}"/>
    <cellStyle name="Normal 22 3 3 4 2" xfId="17369" xr:uid="{00000000-0005-0000-0000-0000D7430000}"/>
    <cellStyle name="Normal 22 3 3 5" xfId="17370" xr:uid="{00000000-0005-0000-0000-0000D8430000}"/>
    <cellStyle name="Normal 22 3 3 5 2" xfId="17371" xr:uid="{00000000-0005-0000-0000-0000D9430000}"/>
    <cellStyle name="Normal 22 3 3 6" xfId="17372" xr:uid="{00000000-0005-0000-0000-0000DA430000}"/>
    <cellStyle name="Normal 22 3 4" xfId="17373" xr:uid="{00000000-0005-0000-0000-0000DB430000}"/>
    <cellStyle name="Normal 22 3 4 2" xfId="17374" xr:uid="{00000000-0005-0000-0000-0000DC430000}"/>
    <cellStyle name="Normal 22 3 4 2 2" xfId="17375" xr:uid="{00000000-0005-0000-0000-0000DD430000}"/>
    <cellStyle name="Normal 22 3 4 3" xfId="17376" xr:uid="{00000000-0005-0000-0000-0000DE430000}"/>
    <cellStyle name="Normal 22 3 5" xfId="17377" xr:uid="{00000000-0005-0000-0000-0000DF430000}"/>
    <cellStyle name="Normal 22 3 5 2" xfId="17378" xr:uid="{00000000-0005-0000-0000-0000E0430000}"/>
    <cellStyle name="Normal 22 3 6" xfId="17379" xr:uid="{00000000-0005-0000-0000-0000E1430000}"/>
    <cellStyle name="Normal 22 3 6 2" xfId="17380" xr:uid="{00000000-0005-0000-0000-0000E2430000}"/>
    <cellStyle name="Normal 22 3 7" xfId="17381" xr:uid="{00000000-0005-0000-0000-0000E3430000}"/>
    <cellStyle name="Normal 22 3 7 2" xfId="17382" xr:uid="{00000000-0005-0000-0000-0000E4430000}"/>
    <cellStyle name="Normal 22 3 8" xfId="17383" xr:uid="{00000000-0005-0000-0000-0000E5430000}"/>
    <cellStyle name="Normal 22 4" xfId="17384" xr:uid="{00000000-0005-0000-0000-0000E6430000}"/>
    <cellStyle name="Normal 22 4 2" xfId="17385" xr:uid="{00000000-0005-0000-0000-0000E7430000}"/>
    <cellStyle name="Normal 22 4 2 2" xfId="17386" xr:uid="{00000000-0005-0000-0000-0000E8430000}"/>
    <cellStyle name="Normal 22 4 2 2 2" xfId="17387" xr:uid="{00000000-0005-0000-0000-0000E9430000}"/>
    <cellStyle name="Normal 22 4 2 2 2 2" xfId="17388" xr:uid="{00000000-0005-0000-0000-0000EA430000}"/>
    <cellStyle name="Normal 22 4 2 2 3" xfId="17389" xr:uid="{00000000-0005-0000-0000-0000EB430000}"/>
    <cellStyle name="Normal 22 4 2 2 3 2" xfId="17390" xr:uid="{00000000-0005-0000-0000-0000EC430000}"/>
    <cellStyle name="Normal 22 4 2 2 4" xfId="17391" xr:uid="{00000000-0005-0000-0000-0000ED430000}"/>
    <cellStyle name="Normal 22 4 2 3" xfId="17392" xr:uid="{00000000-0005-0000-0000-0000EE430000}"/>
    <cellStyle name="Normal 22 4 2 3 2" xfId="17393" xr:uid="{00000000-0005-0000-0000-0000EF430000}"/>
    <cellStyle name="Normal 22 4 2 4" xfId="17394" xr:uid="{00000000-0005-0000-0000-0000F0430000}"/>
    <cellStyle name="Normal 22 4 2 4 2" xfId="17395" xr:uid="{00000000-0005-0000-0000-0000F1430000}"/>
    <cellStyle name="Normal 22 4 2 5" xfId="17396" xr:uid="{00000000-0005-0000-0000-0000F2430000}"/>
    <cellStyle name="Normal 22 4 2 5 2" xfId="17397" xr:uid="{00000000-0005-0000-0000-0000F3430000}"/>
    <cellStyle name="Normal 22 4 2 6" xfId="17398" xr:uid="{00000000-0005-0000-0000-0000F4430000}"/>
    <cellStyle name="Normal 22 4 2 6 2" xfId="17399" xr:uid="{00000000-0005-0000-0000-0000F5430000}"/>
    <cellStyle name="Normal 22 4 2 7" xfId="17400" xr:uid="{00000000-0005-0000-0000-0000F6430000}"/>
    <cellStyle name="Normal 22 4 3" xfId="17401" xr:uid="{00000000-0005-0000-0000-0000F7430000}"/>
    <cellStyle name="Normal 22 4 3 2" xfId="17402" xr:uid="{00000000-0005-0000-0000-0000F8430000}"/>
    <cellStyle name="Normal 22 4 3 2 2" xfId="17403" xr:uid="{00000000-0005-0000-0000-0000F9430000}"/>
    <cellStyle name="Normal 22 4 3 3" xfId="17404" xr:uid="{00000000-0005-0000-0000-0000FA430000}"/>
    <cellStyle name="Normal 22 4 3 3 2" xfId="17405" xr:uid="{00000000-0005-0000-0000-0000FB430000}"/>
    <cellStyle name="Normal 22 4 3 4" xfId="17406" xr:uid="{00000000-0005-0000-0000-0000FC430000}"/>
    <cellStyle name="Normal 22 4 3 4 2" xfId="17407" xr:uid="{00000000-0005-0000-0000-0000FD430000}"/>
    <cellStyle name="Normal 22 4 3 5" xfId="17408" xr:uid="{00000000-0005-0000-0000-0000FE430000}"/>
    <cellStyle name="Normal 22 4 3 5 2" xfId="17409" xr:uid="{00000000-0005-0000-0000-0000FF430000}"/>
    <cellStyle name="Normal 22 4 3 6" xfId="17410" xr:uid="{00000000-0005-0000-0000-000000440000}"/>
    <cellStyle name="Normal 22 4 4" xfId="17411" xr:uid="{00000000-0005-0000-0000-000001440000}"/>
    <cellStyle name="Normal 22 4 4 2" xfId="17412" xr:uid="{00000000-0005-0000-0000-000002440000}"/>
    <cellStyle name="Normal 22 4 4 2 2" xfId="17413" xr:uid="{00000000-0005-0000-0000-000003440000}"/>
    <cellStyle name="Normal 22 4 4 3" xfId="17414" xr:uid="{00000000-0005-0000-0000-000004440000}"/>
    <cellStyle name="Normal 22 4 5" xfId="17415" xr:uid="{00000000-0005-0000-0000-000005440000}"/>
    <cellStyle name="Normal 22 4 5 2" xfId="17416" xr:uid="{00000000-0005-0000-0000-000006440000}"/>
    <cellStyle name="Normal 22 4 6" xfId="17417" xr:uid="{00000000-0005-0000-0000-000007440000}"/>
    <cellStyle name="Normal 22 4 6 2" xfId="17418" xr:uid="{00000000-0005-0000-0000-000008440000}"/>
    <cellStyle name="Normal 22 4 7" xfId="17419" xr:uid="{00000000-0005-0000-0000-000009440000}"/>
    <cellStyle name="Normal 22 4 7 2" xfId="17420" xr:uid="{00000000-0005-0000-0000-00000A440000}"/>
    <cellStyle name="Normal 22 4 8" xfId="17421" xr:uid="{00000000-0005-0000-0000-00000B440000}"/>
    <cellStyle name="Normal 22 5" xfId="17422" xr:uid="{00000000-0005-0000-0000-00000C440000}"/>
    <cellStyle name="Normal 22 5 2" xfId="17423" xr:uid="{00000000-0005-0000-0000-00000D440000}"/>
    <cellStyle name="Normal 22 5 2 2" xfId="17424" xr:uid="{00000000-0005-0000-0000-00000E440000}"/>
    <cellStyle name="Normal 22 5 2 2 2" xfId="17425" xr:uid="{00000000-0005-0000-0000-00000F440000}"/>
    <cellStyle name="Normal 22 5 2 3" xfId="17426" xr:uid="{00000000-0005-0000-0000-000010440000}"/>
    <cellStyle name="Normal 22 5 2 3 2" xfId="17427" xr:uid="{00000000-0005-0000-0000-000011440000}"/>
    <cellStyle name="Normal 22 5 2 4" xfId="17428" xr:uid="{00000000-0005-0000-0000-000012440000}"/>
    <cellStyle name="Normal 22 5 3" xfId="17429" xr:uid="{00000000-0005-0000-0000-000013440000}"/>
    <cellStyle name="Normal 22 5 3 2" xfId="17430" xr:uid="{00000000-0005-0000-0000-000014440000}"/>
    <cellStyle name="Normal 22 5 4" xfId="17431" xr:uid="{00000000-0005-0000-0000-000015440000}"/>
    <cellStyle name="Normal 22 5 4 2" xfId="17432" xr:uid="{00000000-0005-0000-0000-000016440000}"/>
    <cellStyle name="Normal 22 5 5" xfId="17433" xr:uid="{00000000-0005-0000-0000-000017440000}"/>
    <cellStyle name="Normal 22 5 5 2" xfId="17434" xr:uid="{00000000-0005-0000-0000-000018440000}"/>
    <cellStyle name="Normal 22 5 6" xfId="17435" xr:uid="{00000000-0005-0000-0000-000019440000}"/>
    <cellStyle name="Normal 22 5 6 2" xfId="17436" xr:uid="{00000000-0005-0000-0000-00001A440000}"/>
    <cellStyle name="Normal 22 5 7" xfId="17437" xr:uid="{00000000-0005-0000-0000-00001B440000}"/>
    <cellStyle name="Normal 22 6" xfId="17438" xr:uid="{00000000-0005-0000-0000-00001C440000}"/>
    <cellStyle name="Normal 22 6 2" xfId="17439" xr:uid="{00000000-0005-0000-0000-00001D440000}"/>
    <cellStyle name="Normal 22 6 2 2" xfId="17440" xr:uid="{00000000-0005-0000-0000-00001E440000}"/>
    <cellStyle name="Normal 22 6 3" xfId="17441" xr:uid="{00000000-0005-0000-0000-00001F440000}"/>
    <cellStyle name="Normal 22 6 3 2" xfId="17442" xr:uid="{00000000-0005-0000-0000-000020440000}"/>
    <cellStyle name="Normal 22 6 4" xfId="17443" xr:uid="{00000000-0005-0000-0000-000021440000}"/>
    <cellStyle name="Normal 22 6 4 2" xfId="17444" xr:uid="{00000000-0005-0000-0000-000022440000}"/>
    <cellStyle name="Normal 22 6 5" xfId="17445" xr:uid="{00000000-0005-0000-0000-000023440000}"/>
    <cellStyle name="Normal 22 6 5 2" xfId="17446" xr:uid="{00000000-0005-0000-0000-000024440000}"/>
    <cellStyle name="Normal 22 6 6" xfId="17447" xr:uid="{00000000-0005-0000-0000-000025440000}"/>
    <cellStyle name="Normal 22 7" xfId="17448" xr:uid="{00000000-0005-0000-0000-000026440000}"/>
    <cellStyle name="Normal 22 7 2" xfId="17449" xr:uid="{00000000-0005-0000-0000-000027440000}"/>
    <cellStyle name="Normal 22 7 2 2" xfId="17450" xr:uid="{00000000-0005-0000-0000-000028440000}"/>
    <cellStyle name="Normal 22 7 3" xfId="17451" xr:uid="{00000000-0005-0000-0000-000029440000}"/>
    <cellStyle name="Normal 22 8" xfId="17452" xr:uid="{00000000-0005-0000-0000-00002A440000}"/>
    <cellStyle name="Normal 22 8 2" xfId="17453" xr:uid="{00000000-0005-0000-0000-00002B440000}"/>
    <cellStyle name="Normal 22 9" xfId="17454" xr:uid="{00000000-0005-0000-0000-00002C440000}"/>
    <cellStyle name="Normal 22 9 2" xfId="17455" xr:uid="{00000000-0005-0000-0000-00002D440000}"/>
    <cellStyle name="Normal 23" xfId="17456" xr:uid="{00000000-0005-0000-0000-00002E440000}"/>
    <cellStyle name="Normal 24" xfId="17457" xr:uid="{00000000-0005-0000-0000-00002F440000}"/>
    <cellStyle name="Normal 24 2" xfId="17458" xr:uid="{00000000-0005-0000-0000-000030440000}"/>
    <cellStyle name="Normal 25" xfId="17459" xr:uid="{00000000-0005-0000-0000-000031440000}"/>
    <cellStyle name="Normal 25 10" xfId="17460" xr:uid="{00000000-0005-0000-0000-000032440000}"/>
    <cellStyle name="Normal 25 10 2" xfId="17461" xr:uid="{00000000-0005-0000-0000-000033440000}"/>
    <cellStyle name="Normal 25 11" xfId="17462" xr:uid="{00000000-0005-0000-0000-000034440000}"/>
    <cellStyle name="Normal 25 2" xfId="17463" xr:uid="{00000000-0005-0000-0000-000035440000}"/>
    <cellStyle name="Normal 25 2 10" xfId="17464" xr:uid="{00000000-0005-0000-0000-000036440000}"/>
    <cellStyle name="Normal 25 2 2" xfId="17465" xr:uid="{00000000-0005-0000-0000-000037440000}"/>
    <cellStyle name="Normal 25 2 2 2" xfId="17466" xr:uid="{00000000-0005-0000-0000-000038440000}"/>
    <cellStyle name="Normal 25 2 2 2 2" xfId="17467" xr:uid="{00000000-0005-0000-0000-000039440000}"/>
    <cellStyle name="Normal 25 2 2 2 2 2" xfId="17468" xr:uid="{00000000-0005-0000-0000-00003A440000}"/>
    <cellStyle name="Normal 25 2 2 2 2 2 2" xfId="17469" xr:uid="{00000000-0005-0000-0000-00003B440000}"/>
    <cellStyle name="Normal 25 2 2 2 2 3" xfId="17470" xr:uid="{00000000-0005-0000-0000-00003C440000}"/>
    <cellStyle name="Normal 25 2 2 2 2 3 2" xfId="17471" xr:uid="{00000000-0005-0000-0000-00003D440000}"/>
    <cellStyle name="Normal 25 2 2 2 2 4" xfId="17472" xr:uid="{00000000-0005-0000-0000-00003E440000}"/>
    <cellStyle name="Normal 25 2 2 2 3" xfId="17473" xr:uid="{00000000-0005-0000-0000-00003F440000}"/>
    <cellStyle name="Normal 25 2 2 2 3 2" xfId="17474" xr:uid="{00000000-0005-0000-0000-000040440000}"/>
    <cellStyle name="Normal 25 2 2 2 4" xfId="17475" xr:uid="{00000000-0005-0000-0000-000041440000}"/>
    <cellStyle name="Normal 25 2 2 2 4 2" xfId="17476" xr:uid="{00000000-0005-0000-0000-000042440000}"/>
    <cellStyle name="Normal 25 2 2 2 5" xfId="17477" xr:uid="{00000000-0005-0000-0000-000043440000}"/>
    <cellStyle name="Normal 25 2 2 2 5 2" xfId="17478" xr:uid="{00000000-0005-0000-0000-000044440000}"/>
    <cellStyle name="Normal 25 2 2 2 6" xfId="17479" xr:uid="{00000000-0005-0000-0000-000045440000}"/>
    <cellStyle name="Normal 25 2 2 2 6 2" xfId="17480" xr:uid="{00000000-0005-0000-0000-000046440000}"/>
    <cellStyle name="Normal 25 2 2 2 7" xfId="17481" xr:uid="{00000000-0005-0000-0000-000047440000}"/>
    <cellStyle name="Normal 25 2 2 3" xfId="17482" xr:uid="{00000000-0005-0000-0000-000048440000}"/>
    <cellStyle name="Normal 25 2 2 3 2" xfId="17483" xr:uid="{00000000-0005-0000-0000-000049440000}"/>
    <cellStyle name="Normal 25 2 2 3 2 2" xfId="17484" xr:uid="{00000000-0005-0000-0000-00004A440000}"/>
    <cellStyle name="Normal 25 2 2 3 3" xfId="17485" xr:uid="{00000000-0005-0000-0000-00004B440000}"/>
    <cellStyle name="Normal 25 2 2 3 3 2" xfId="17486" xr:uid="{00000000-0005-0000-0000-00004C440000}"/>
    <cellStyle name="Normal 25 2 2 3 4" xfId="17487" xr:uid="{00000000-0005-0000-0000-00004D440000}"/>
    <cellStyle name="Normal 25 2 2 3 4 2" xfId="17488" xr:uid="{00000000-0005-0000-0000-00004E440000}"/>
    <cellStyle name="Normal 25 2 2 3 5" xfId="17489" xr:uid="{00000000-0005-0000-0000-00004F440000}"/>
    <cellStyle name="Normal 25 2 2 3 5 2" xfId="17490" xr:uid="{00000000-0005-0000-0000-000050440000}"/>
    <cellStyle name="Normal 25 2 2 3 6" xfId="17491" xr:uid="{00000000-0005-0000-0000-000051440000}"/>
    <cellStyle name="Normal 25 2 2 4" xfId="17492" xr:uid="{00000000-0005-0000-0000-000052440000}"/>
    <cellStyle name="Normal 25 2 2 4 2" xfId="17493" xr:uid="{00000000-0005-0000-0000-000053440000}"/>
    <cellStyle name="Normal 25 2 2 4 2 2" xfId="17494" xr:uid="{00000000-0005-0000-0000-000054440000}"/>
    <cellStyle name="Normal 25 2 2 4 3" xfId="17495" xr:uid="{00000000-0005-0000-0000-000055440000}"/>
    <cellStyle name="Normal 25 2 2 5" xfId="17496" xr:uid="{00000000-0005-0000-0000-000056440000}"/>
    <cellStyle name="Normal 25 2 2 5 2" xfId="17497" xr:uid="{00000000-0005-0000-0000-000057440000}"/>
    <cellStyle name="Normal 25 2 2 6" xfId="17498" xr:uid="{00000000-0005-0000-0000-000058440000}"/>
    <cellStyle name="Normal 25 2 2 6 2" xfId="17499" xr:uid="{00000000-0005-0000-0000-000059440000}"/>
    <cellStyle name="Normal 25 2 2 7" xfId="17500" xr:uid="{00000000-0005-0000-0000-00005A440000}"/>
    <cellStyle name="Normal 25 2 2 7 2" xfId="17501" xr:uid="{00000000-0005-0000-0000-00005B440000}"/>
    <cellStyle name="Normal 25 2 2 8" xfId="17502" xr:uid="{00000000-0005-0000-0000-00005C440000}"/>
    <cellStyle name="Normal 25 2 3" xfId="17503" xr:uid="{00000000-0005-0000-0000-00005D440000}"/>
    <cellStyle name="Normal 25 2 3 2" xfId="17504" xr:uid="{00000000-0005-0000-0000-00005E440000}"/>
    <cellStyle name="Normal 25 2 3 2 2" xfId="17505" xr:uid="{00000000-0005-0000-0000-00005F440000}"/>
    <cellStyle name="Normal 25 2 3 2 2 2" xfId="17506" xr:uid="{00000000-0005-0000-0000-000060440000}"/>
    <cellStyle name="Normal 25 2 3 2 2 2 2" xfId="17507" xr:uid="{00000000-0005-0000-0000-000061440000}"/>
    <cellStyle name="Normal 25 2 3 2 2 3" xfId="17508" xr:uid="{00000000-0005-0000-0000-000062440000}"/>
    <cellStyle name="Normal 25 2 3 2 2 3 2" xfId="17509" xr:uid="{00000000-0005-0000-0000-000063440000}"/>
    <cellStyle name="Normal 25 2 3 2 2 4" xfId="17510" xr:uid="{00000000-0005-0000-0000-000064440000}"/>
    <cellStyle name="Normal 25 2 3 2 3" xfId="17511" xr:uid="{00000000-0005-0000-0000-000065440000}"/>
    <cellStyle name="Normal 25 2 3 2 3 2" xfId="17512" xr:uid="{00000000-0005-0000-0000-000066440000}"/>
    <cellStyle name="Normal 25 2 3 2 4" xfId="17513" xr:uid="{00000000-0005-0000-0000-000067440000}"/>
    <cellStyle name="Normal 25 2 3 2 4 2" xfId="17514" xr:uid="{00000000-0005-0000-0000-000068440000}"/>
    <cellStyle name="Normal 25 2 3 2 5" xfId="17515" xr:uid="{00000000-0005-0000-0000-000069440000}"/>
    <cellStyle name="Normal 25 2 3 2 5 2" xfId="17516" xr:uid="{00000000-0005-0000-0000-00006A440000}"/>
    <cellStyle name="Normal 25 2 3 2 6" xfId="17517" xr:uid="{00000000-0005-0000-0000-00006B440000}"/>
    <cellStyle name="Normal 25 2 3 2 6 2" xfId="17518" xr:uid="{00000000-0005-0000-0000-00006C440000}"/>
    <cellStyle name="Normal 25 2 3 2 7" xfId="17519" xr:uid="{00000000-0005-0000-0000-00006D440000}"/>
    <cellStyle name="Normal 25 2 3 3" xfId="17520" xr:uid="{00000000-0005-0000-0000-00006E440000}"/>
    <cellStyle name="Normal 25 2 3 3 2" xfId="17521" xr:uid="{00000000-0005-0000-0000-00006F440000}"/>
    <cellStyle name="Normal 25 2 3 3 2 2" xfId="17522" xr:uid="{00000000-0005-0000-0000-000070440000}"/>
    <cellStyle name="Normal 25 2 3 3 3" xfId="17523" xr:uid="{00000000-0005-0000-0000-000071440000}"/>
    <cellStyle name="Normal 25 2 3 3 3 2" xfId="17524" xr:uid="{00000000-0005-0000-0000-000072440000}"/>
    <cellStyle name="Normal 25 2 3 3 4" xfId="17525" xr:uid="{00000000-0005-0000-0000-000073440000}"/>
    <cellStyle name="Normal 25 2 3 3 4 2" xfId="17526" xr:uid="{00000000-0005-0000-0000-000074440000}"/>
    <cellStyle name="Normal 25 2 3 3 5" xfId="17527" xr:uid="{00000000-0005-0000-0000-000075440000}"/>
    <cellStyle name="Normal 25 2 3 3 5 2" xfId="17528" xr:uid="{00000000-0005-0000-0000-000076440000}"/>
    <cellStyle name="Normal 25 2 3 3 6" xfId="17529" xr:uid="{00000000-0005-0000-0000-000077440000}"/>
    <cellStyle name="Normal 25 2 3 4" xfId="17530" xr:uid="{00000000-0005-0000-0000-000078440000}"/>
    <cellStyle name="Normal 25 2 3 4 2" xfId="17531" xr:uid="{00000000-0005-0000-0000-000079440000}"/>
    <cellStyle name="Normal 25 2 3 4 2 2" xfId="17532" xr:uid="{00000000-0005-0000-0000-00007A440000}"/>
    <cellStyle name="Normal 25 2 3 4 3" xfId="17533" xr:uid="{00000000-0005-0000-0000-00007B440000}"/>
    <cellStyle name="Normal 25 2 3 5" xfId="17534" xr:uid="{00000000-0005-0000-0000-00007C440000}"/>
    <cellStyle name="Normal 25 2 3 5 2" xfId="17535" xr:uid="{00000000-0005-0000-0000-00007D440000}"/>
    <cellStyle name="Normal 25 2 3 6" xfId="17536" xr:uid="{00000000-0005-0000-0000-00007E440000}"/>
    <cellStyle name="Normal 25 2 3 6 2" xfId="17537" xr:uid="{00000000-0005-0000-0000-00007F440000}"/>
    <cellStyle name="Normal 25 2 3 7" xfId="17538" xr:uid="{00000000-0005-0000-0000-000080440000}"/>
    <cellStyle name="Normal 25 2 3 7 2" xfId="17539" xr:uid="{00000000-0005-0000-0000-000081440000}"/>
    <cellStyle name="Normal 25 2 3 8" xfId="17540" xr:uid="{00000000-0005-0000-0000-000082440000}"/>
    <cellStyle name="Normal 25 2 4" xfId="17541" xr:uid="{00000000-0005-0000-0000-000083440000}"/>
    <cellStyle name="Normal 25 2 4 2" xfId="17542" xr:uid="{00000000-0005-0000-0000-000084440000}"/>
    <cellStyle name="Normal 25 2 4 2 2" xfId="17543" xr:uid="{00000000-0005-0000-0000-000085440000}"/>
    <cellStyle name="Normal 25 2 4 2 2 2" xfId="17544" xr:uid="{00000000-0005-0000-0000-000086440000}"/>
    <cellStyle name="Normal 25 2 4 2 3" xfId="17545" xr:uid="{00000000-0005-0000-0000-000087440000}"/>
    <cellStyle name="Normal 25 2 4 2 3 2" xfId="17546" xr:uid="{00000000-0005-0000-0000-000088440000}"/>
    <cellStyle name="Normal 25 2 4 2 4" xfId="17547" xr:uid="{00000000-0005-0000-0000-000089440000}"/>
    <cellStyle name="Normal 25 2 4 3" xfId="17548" xr:uid="{00000000-0005-0000-0000-00008A440000}"/>
    <cellStyle name="Normal 25 2 4 3 2" xfId="17549" xr:uid="{00000000-0005-0000-0000-00008B440000}"/>
    <cellStyle name="Normal 25 2 4 4" xfId="17550" xr:uid="{00000000-0005-0000-0000-00008C440000}"/>
    <cellStyle name="Normal 25 2 4 4 2" xfId="17551" xr:uid="{00000000-0005-0000-0000-00008D440000}"/>
    <cellStyle name="Normal 25 2 4 5" xfId="17552" xr:uid="{00000000-0005-0000-0000-00008E440000}"/>
    <cellStyle name="Normal 25 2 4 5 2" xfId="17553" xr:uid="{00000000-0005-0000-0000-00008F440000}"/>
    <cellStyle name="Normal 25 2 4 6" xfId="17554" xr:uid="{00000000-0005-0000-0000-000090440000}"/>
    <cellStyle name="Normal 25 2 4 6 2" xfId="17555" xr:uid="{00000000-0005-0000-0000-000091440000}"/>
    <cellStyle name="Normal 25 2 4 7" xfId="17556" xr:uid="{00000000-0005-0000-0000-000092440000}"/>
    <cellStyle name="Normal 25 2 5" xfId="17557" xr:uid="{00000000-0005-0000-0000-000093440000}"/>
    <cellStyle name="Normal 25 2 5 2" xfId="17558" xr:uid="{00000000-0005-0000-0000-000094440000}"/>
    <cellStyle name="Normal 25 2 5 2 2" xfId="17559" xr:uid="{00000000-0005-0000-0000-000095440000}"/>
    <cellStyle name="Normal 25 2 5 3" xfId="17560" xr:uid="{00000000-0005-0000-0000-000096440000}"/>
    <cellStyle name="Normal 25 2 5 3 2" xfId="17561" xr:uid="{00000000-0005-0000-0000-000097440000}"/>
    <cellStyle name="Normal 25 2 5 4" xfId="17562" xr:uid="{00000000-0005-0000-0000-000098440000}"/>
    <cellStyle name="Normal 25 2 5 4 2" xfId="17563" xr:uid="{00000000-0005-0000-0000-000099440000}"/>
    <cellStyle name="Normal 25 2 5 5" xfId="17564" xr:uid="{00000000-0005-0000-0000-00009A440000}"/>
    <cellStyle name="Normal 25 2 5 5 2" xfId="17565" xr:uid="{00000000-0005-0000-0000-00009B440000}"/>
    <cellStyle name="Normal 25 2 5 6" xfId="17566" xr:uid="{00000000-0005-0000-0000-00009C440000}"/>
    <cellStyle name="Normal 25 2 6" xfId="17567" xr:uid="{00000000-0005-0000-0000-00009D440000}"/>
    <cellStyle name="Normal 25 2 6 2" xfId="17568" xr:uid="{00000000-0005-0000-0000-00009E440000}"/>
    <cellStyle name="Normal 25 2 6 2 2" xfId="17569" xr:uid="{00000000-0005-0000-0000-00009F440000}"/>
    <cellStyle name="Normal 25 2 6 3" xfId="17570" xr:uid="{00000000-0005-0000-0000-0000A0440000}"/>
    <cellStyle name="Normal 25 2 7" xfId="17571" xr:uid="{00000000-0005-0000-0000-0000A1440000}"/>
    <cellStyle name="Normal 25 2 7 2" xfId="17572" xr:uid="{00000000-0005-0000-0000-0000A2440000}"/>
    <cellStyle name="Normal 25 2 8" xfId="17573" xr:uid="{00000000-0005-0000-0000-0000A3440000}"/>
    <cellStyle name="Normal 25 2 8 2" xfId="17574" xr:uid="{00000000-0005-0000-0000-0000A4440000}"/>
    <cellStyle name="Normal 25 2 9" xfId="17575" xr:uid="{00000000-0005-0000-0000-0000A5440000}"/>
    <cellStyle name="Normal 25 2 9 2" xfId="17576" xr:uid="{00000000-0005-0000-0000-0000A6440000}"/>
    <cellStyle name="Normal 25 3" xfId="17577" xr:uid="{00000000-0005-0000-0000-0000A7440000}"/>
    <cellStyle name="Normal 25 3 2" xfId="17578" xr:uid="{00000000-0005-0000-0000-0000A8440000}"/>
    <cellStyle name="Normal 25 3 2 2" xfId="17579" xr:uid="{00000000-0005-0000-0000-0000A9440000}"/>
    <cellStyle name="Normal 25 3 2 2 2" xfId="17580" xr:uid="{00000000-0005-0000-0000-0000AA440000}"/>
    <cellStyle name="Normal 25 3 2 2 2 2" xfId="17581" xr:uid="{00000000-0005-0000-0000-0000AB440000}"/>
    <cellStyle name="Normal 25 3 2 2 3" xfId="17582" xr:uid="{00000000-0005-0000-0000-0000AC440000}"/>
    <cellStyle name="Normal 25 3 2 2 3 2" xfId="17583" xr:uid="{00000000-0005-0000-0000-0000AD440000}"/>
    <cellStyle name="Normal 25 3 2 2 4" xfId="17584" xr:uid="{00000000-0005-0000-0000-0000AE440000}"/>
    <cellStyle name="Normal 25 3 2 3" xfId="17585" xr:uid="{00000000-0005-0000-0000-0000AF440000}"/>
    <cellStyle name="Normal 25 3 2 3 2" xfId="17586" xr:uid="{00000000-0005-0000-0000-0000B0440000}"/>
    <cellStyle name="Normal 25 3 2 4" xfId="17587" xr:uid="{00000000-0005-0000-0000-0000B1440000}"/>
    <cellStyle name="Normal 25 3 2 4 2" xfId="17588" xr:uid="{00000000-0005-0000-0000-0000B2440000}"/>
    <cellStyle name="Normal 25 3 2 5" xfId="17589" xr:uid="{00000000-0005-0000-0000-0000B3440000}"/>
    <cellStyle name="Normal 25 3 2 5 2" xfId="17590" xr:uid="{00000000-0005-0000-0000-0000B4440000}"/>
    <cellStyle name="Normal 25 3 2 6" xfId="17591" xr:uid="{00000000-0005-0000-0000-0000B5440000}"/>
    <cellStyle name="Normal 25 3 2 6 2" xfId="17592" xr:uid="{00000000-0005-0000-0000-0000B6440000}"/>
    <cellStyle name="Normal 25 3 2 7" xfId="17593" xr:uid="{00000000-0005-0000-0000-0000B7440000}"/>
    <cellStyle name="Normal 25 3 3" xfId="17594" xr:uid="{00000000-0005-0000-0000-0000B8440000}"/>
    <cellStyle name="Normal 25 3 3 2" xfId="17595" xr:uid="{00000000-0005-0000-0000-0000B9440000}"/>
    <cellStyle name="Normal 25 3 3 2 2" xfId="17596" xr:uid="{00000000-0005-0000-0000-0000BA440000}"/>
    <cellStyle name="Normal 25 3 3 3" xfId="17597" xr:uid="{00000000-0005-0000-0000-0000BB440000}"/>
    <cellStyle name="Normal 25 3 3 3 2" xfId="17598" xr:uid="{00000000-0005-0000-0000-0000BC440000}"/>
    <cellStyle name="Normal 25 3 3 4" xfId="17599" xr:uid="{00000000-0005-0000-0000-0000BD440000}"/>
    <cellStyle name="Normal 25 3 3 4 2" xfId="17600" xr:uid="{00000000-0005-0000-0000-0000BE440000}"/>
    <cellStyle name="Normal 25 3 3 5" xfId="17601" xr:uid="{00000000-0005-0000-0000-0000BF440000}"/>
    <cellStyle name="Normal 25 3 3 5 2" xfId="17602" xr:uid="{00000000-0005-0000-0000-0000C0440000}"/>
    <cellStyle name="Normal 25 3 3 6" xfId="17603" xr:uid="{00000000-0005-0000-0000-0000C1440000}"/>
    <cellStyle name="Normal 25 3 4" xfId="17604" xr:uid="{00000000-0005-0000-0000-0000C2440000}"/>
    <cellStyle name="Normal 25 3 4 2" xfId="17605" xr:uid="{00000000-0005-0000-0000-0000C3440000}"/>
    <cellStyle name="Normal 25 3 4 2 2" xfId="17606" xr:uid="{00000000-0005-0000-0000-0000C4440000}"/>
    <cellStyle name="Normal 25 3 4 3" xfId="17607" xr:uid="{00000000-0005-0000-0000-0000C5440000}"/>
    <cellStyle name="Normal 25 3 5" xfId="17608" xr:uid="{00000000-0005-0000-0000-0000C6440000}"/>
    <cellStyle name="Normal 25 3 5 2" xfId="17609" xr:uid="{00000000-0005-0000-0000-0000C7440000}"/>
    <cellStyle name="Normal 25 3 6" xfId="17610" xr:uid="{00000000-0005-0000-0000-0000C8440000}"/>
    <cellStyle name="Normal 25 3 6 2" xfId="17611" xr:uid="{00000000-0005-0000-0000-0000C9440000}"/>
    <cellStyle name="Normal 25 3 7" xfId="17612" xr:uid="{00000000-0005-0000-0000-0000CA440000}"/>
    <cellStyle name="Normal 25 3 7 2" xfId="17613" xr:uid="{00000000-0005-0000-0000-0000CB440000}"/>
    <cellStyle name="Normal 25 3 8" xfId="17614" xr:uid="{00000000-0005-0000-0000-0000CC440000}"/>
    <cellStyle name="Normal 25 4" xfId="17615" xr:uid="{00000000-0005-0000-0000-0000CD440000}"/>
    <cellStyle name="Normal 25 4 2" xfId="17616" xr:uid="{00000000-0005-0000-0000-0000CE440000}"/>
    <cellStyle name="Normal 25 4 2 2" xfId="17617" xr:uid="{00000000-0005-0000-0000-0000CF440000}"/>
    <cellStyle name="Normal 25 4 2 2 2" xfId="17618" xr:uid="{00000000-0005-0000-0000-0000D0440000}"/>
    <cellStyle name="Normal 25 4 2 2 2 2" xfId="17619" xr:uid="{00000000-0005-0000-0000-0000D1440000}"/>
    <cellStyle name="Normal 25 4 2 2 3" xfId="17620" xr:uid="{00000000-0005-0000-0000-0000D2440000}"/>
    <cellStyle name="Normal 25 4 2 2 3 2" xfId="17621" xr:uid="{00000000-0005-0000-0000-0000D3440000}"/>
    <cellStyle name="Normal 25 4 2 2 4" xfId="17622" xr:uid="{00000000-0005-0000-0000-0000D4440000}"/>
    <cellStyle name="Normal 25 4 2 3" xfId="17623" xr:uid="{00000000-0005-0000-0000-0000D5440000}"/>
    <cellStyle name="Normal 25 4 2 3 2" xfId="17624" xr:uid="{00000000-0005-0000-0000-0000D6440000}"/>
    <cellStyle name="Normal 25 4 2 4" xfId="17625" xr:uid="{00000000-0005-0000-0000-0000D7440000}"/>
    <cellStyle name="Normal 25 4 2 4 2" xfId="17626" xr:uid="{00000000-0005-0000-0000-0000D8440000}"/>
    <cellStyle name="Normal 25 4 2 5" xfId="17627" xr:uid="{00000000-0005-0000-0000-0000D9440000}"/>
    <cellStyle name="Normal 25 4 2 5 2" xfId="17628" xr:uid="{00000000-0005-0000-0000-0000DA440000}"/>
    <cellStyle name="Normal 25 4 2 6" xfId="17629" xr:uid="{00000000-0005-0000-0000-0000DB440000}"/>
    <cellStyle name="Normal 25 4 2 6 2" xfId="17630" xr:uid="{00000000-0005-0000-0000-0000DC440000}"/>
    <cellStyle name="Normal 25 4 2 7" xfId="17631" xr:uid="{00000000-0005-0000-0000-0000DD440000}"/>
    <cellStyle name="Normal 25 4 3" xfId="17632" xr:uid="{00000000-0005-0000-0000-0000DE440000}"/>
    <cellStyle name="Normal 25 4 3 2" xfId="17633" xr:uid="{00000000-0005-0000-0000-0000DF440000}"/>
    <cellStyle name="Normal 25 4 3 2 2" xfId="17634" xr:uid="{00000000-0005-0000-0000-0000E0440000}"/>
    <cellStyle name="Normal 25 4 3 3" xfId="17635" xr:uid="{00000000-0005-0000-0000-0000E1440000}"/>
    <cellStyle name="Normal 25 4 3 3 2" xfId="17636" xr:uid="{00000000-0005-0000-0000-0000E2440000}"/>
    <cellStyle name="Normal 25 4 3 4" xfId="17637" xr:uid="{00000000-0005-0000-0000-0000E3440000}"/>
    <cellStyle name="Normal 25 4 3 4 2" xfId="17638" xr:uid="{00000000-0005-0000-0000-0000E4440000}"/>
    <cellStyle name="Normal 25 4 3 5" xfId="17639" xr:uid="{00000000-0005-0000-0000-0000E5440000}"/>
    <cellStyle name="Normal 25 4 3 5 2" xfId="17640" xr:uid="{00000000-0005-0000-0000-0000E6440000}"/>
    <cellStyle name="Normal 25 4 3 6" xfId="17641" xr:uid="{00000000-0005-0000-0000-0000E7440000}"/>
    <cellStyle name="Normal 25 4 4" xfId="17642" xr:uid="{00000000-0005-0000-0000-0000E8440000}"/>
    <cellStyle name="Normal 25 4 4 2" xfId="17643" xr:uid="{00000000-0005-0000-0000-0000E9440000}"/>
    <cellStyle name="Normal 25 4 4 2 2" xfId="17644" xr:uid="{00000000-0005-0000-0000-0000EA440000}"/>
    <cellStyle name="Normal 25 4 4 3" xfId="17645" xr:uid="{00000000-0005-0000-0000-0000EB440000}"/>
    <cellStyle name="Normal 25 4 5" xfId="17646" xr:uid="{00000000-0005-0000-0000-0000EC440000}"/>
    <cellStyle name="Normal 25 4 5 2" xfId="17647" xr:uid="{00000000-0005-0000-0000-0000ED440000}"/>
    <cellStyle name="Normal 25 4 6" xfId="17648" xr:uid="{00000000-0005-0000-0000-0000EE440000}"/>
    <cellStyle name="Normal 25 4 6 2" xfId="17649" xr:uid="{00000000-0005-0000-0000-0000EF440000}"/>
    <cellStyle name="Normal 25 4 7" xfId="17650" xr:uid="{00000000-0005-0000-0000-0000F0440000}"/>
    <cellStyle name="Normal 25 4 7 2" xfId="17651" xr:uid="{00000000-0005-0000-0000-0000F1440000}"/>
    <cellStyle name="Normal 25 4 8" xfId="17652" xr:uid="{00000000-0005-0000-0000-0000F2440000}"/>
    <cellStyle name="Normal 25 5" xfId="17653" xr:uid="{00000000-0005-0000-0000-0000F3440000}"/>
    <cellStyle name="Normal 25 5 2" xfId="17654" xr:uid="{00000000-0005-0000-0000-0000F4440000}"/>
    <cellStyle name="Normal 25 5 2 2" xfId="17655" xr:uid="{00000000-0005-0000-0000-0000F5440000}"/>
    <cellStyle name="Normal 25 5 2 2 2" xfId="17656" xr:uid="{00000000-0005-0000-0000-0000F6440000}"/>
    <cellStyle name="Normal 25 5 2 3" xfId="17657" xr:uid="{00000000-0005-0000-0000-0000F7440000}"/>
    <cellStyle name="Normal 25 5 2 3 2" xfId="17658" xr:uid="{00000000-0005-0000-0000-0000F8440000}"/>
    <cellStyle name="Normal 25 5 2 4" xfId="17659" xr:uid="{00000000-0005-0000-0000-0000F9440000}"/>
    <cellStyle name="Normal 25 5 3" xfId="17660" xr:uid="{00000000-0005-0000-0000-0000FA440000}"/>
    <cellStyle name="Normal 25 5 3 2" xfId="17661" xr:uid="{00000000-0005-0000-0000-0000FB440000}"/>
    <cellStyle name="Normal 25 5 4" xfId="17662" xr:uid="{00000000-0005-0000-0000-0000FC440000}"/>
    <cellStyle name="Normal 25 5 4 2" xfId="17663" xr:uid="{00000000-0005-0000-0000-0000FD440000}"/>
    <cellStyle name="Normal 25 5 5" xfId="17664" xr:uid="{00000000-0005-0000-0000-0000FE440000}"/>
    <cellStyle name="Normal 25 5 5 2" xfId="17665" xr:uid="{00000000-0005-0000-0000-0000FF440000}"/>
    <cellStyle name="Normal 25 5 6" xfId="17666" xr:uid="{00000000-0005-0000-0000-000000450000}"/>
    <cellStyle name="Normal 25 5 6 2" xfId="17667" xr:uid="{00000000-0005-0000-0000-000001450000}"/>
    <cellStyle name="Normal 25 5 7" xfId="17668" xr:uid="{00000000-0005-0000-0000-000002450000}"/>
    <cellStyle name="Normal 25 6" xfId="17669" xr:uid="{00000000-0005-0000-0000-000003450000}"/>
    <cellStyle name="Normal 25 6 2" xfId="17670" xr:uid="{00000000-0005-0000-0000-000004450000}"/>
    <cellStyle name="Normal 25 6 2 2" xfId="17671" xr:uid="{00000000-0005-0000-0000-000005450000}"/>
    <cellStyle name="Normal 25 6 3" xfId="17672" xr:uid="{00000000-0005-0000-0000-000006450000}"/>
    <cellStyle name="Normal 25 6 3 2" xfId="17673" xr:uid="{00000000-0005-0000-0000-000007450000}"/>
    <cellStyle name="Normal 25 6 4" xfId="17674" xr:uid="{00000000-0005-0000-0000-000008450000}"/>
    <cellStyle name="Normal 25 6 4 2" xfId="17675" xr:uid="{00000000-0005-0000-0000-000009450000}"/>
    <cellStyle name="Normal 25 6 5" xfId="17676" xr:uid="{00000000-0005-0000-0000-00000A450000}"/>
    <cellStyle name="Normal 25 6 5 2" xfId="17677" xr:uid="{00000000-0005-0000-0000-00000B450000}"/>
    <cellStyle name="Normal 25 6 6" xfId="17678" xr:uid="{00000000-0005-0000-0000-00000C450000}"/>
    <cellStyle name="Normal 25 7" xfId="17679" xr:uid="{00000000-0005-0000-0000-00000D450000}"/>
    <cellStyle name="Normal 25 7 2" xfId="17680" xr:uid="{00000000-0005-0000-0000-00000E450000}"/>
    <cellStyle name="Normal 25 7 2 2" xfId="17681" xr:uid="{00000000-0005-0000-0000-00000F450000}"/>
    <cellStyle name="Normal 25 7 3" xfId="17682" xr:uid="{00000000-0005-0000-0000-000010450000}"/>
    <cellStyle name="Normal 25 8" xfId="17683" xr:uid="{00000000-0005-0000-0000-000011450000}"/>
    <cellStyle name="Normal 25 8 2" xfId="17684" xr:uid="{00000000-0005-0000-0000-000012450000}"/>
    <cellStyle name="Normal 25 9" xfId="17685" xr:uid="{00000000-0005-0000-0000-000013450000}"/>
    <cellStyle name="Normal 25 9 2" xfId="17686" xr:uid="{00000000-0005-0000-0000-000014450000}"/>
    <cellStyle name="Normal 26" xfId="17687" xr:uid="{00000000-0005-0000-0000-000015450000}"/>
    <cellStyle name="Normal 26 10" xfId="17688" xr:uid="{00000000-0005-0000-0000-000016450000}"/>
    <cellStyle name="Normal 26 10 2" xfId="17689" xr:uid="{00000000-0005-0000-0000-000017450000}"/>
    <cellStyle name="Normal 26 11" xfId="17690" xr:uid="{00000000-0005-0000-0000-000018450000}"/>
    <cellStyle name="Normal 26 2" xfId="17691" xr:uid="{00000000-0005-0000-0000-000019450000}"/>
    <cellStyle name="Normal 26 2 10" xfId="17692" xr:uid="{00000000-0005-0000-0000-00001A450000}"/>
    <cellStyle name="Normal 26 2 2" xfId="17693" xr:uid="{00000000-0005-0000-0000-00001B450000}"/>
    <cellStyle name="Normal 26 2 2 2" xfId="17694" xr:uid="{00000000-0005-0000-0000-00001C450000}"/>
    <cellStyle name="Normal 26 2 2 2 2" xfId="17695" xr:uid="{00000000-0005-0000-0000-00001D450000}"/>
    <cellStyle name="Normal 26 2 2 2 2 2" xfId="17696" xr:uid="{00000000-0005-0000-0000-00001E450000}"/>
    <cellStyle name="Normal 26 2 2 2 2 2 2" xfId="17697" xr:uid="{00000000-0005-0000-0000-00001F450000}"/>
    <cellStyle name="Normal 26 2 2 2 2 3" xfId="17698" xr:uid="{00000000-0005-0000-0000-000020450000}"/>
    <cellStyle name="Normal 26 2 2 2 2 3 2" xfId="17699" xr:uid="{00000000-0005-0000-0000-000021450000}"/>
    <cellStyle name="Normal 26 2 2 2 2 4" xfId="17700" xr:uid="{00000000-0005-0000-0000-000022450000}"/>
    <cellStyle name="Normal 26 2 2 2 3" xfId="17701" xr:uid="{00000000-0005-0000-0000-000023450000}"/>
    <cellStyle name="Normal 26 2 2 2 3 2" xfId="17702" xr:uid="{00000000-0005-0000-0000-000024450000}"/>
    <cellStyle name="Normal 26 2 2 2 4" xfId="17703" xr:uid="{00000000-0005-0000-0000-000025450000}"/>
    <cellStyle name="Normal 26 2 2 2 4 2" xfId="17704" xr:uid="{00000000-0005-0000-0000-000026450000}"/>
    <cellStyle name="Normal 26 2 2 2 5" xfId="17705" xr:uid="{00000000-0005-0000-0000-000027450000}"/>
    <cellStyle name="Normal 26 2 2 2 5 2" xfId="17706" xr:uid="{00000000-0005-0000-0000-000028450000}"/>
    <cellStyle name="Normal 26 2 2 2 6" xfId="17707" xr:uid="{00000000-0005-0000-0000-000029450000}"/>
    <cellStyle name="Normal 26 2 2 2 6 2" xfId="17708" xr:uid="{00000000-0005-0000-0000-00002A450000}"/>
    <cellStyle name="Normal 26 2 2 2 7" xfId="17709" xr:uid="{00000000-0005-0000-0000-00002B450000}"/>
    <cellStyle name="Normal 26 2 2 3" xfId="17710" xr:uid="{00000000-0005-0000-0000-00002C450000}"/>
    <cellStyle name="Normal 26 2 2 3 2" xfId="17711" xr:uid="{00000000-0005-0000-0000-00002D450000}"/>
    <cellStyle name="Normal 26 2 2 3 2 2" xfId="17712" xr:uid="{00000000-0005-0000-0000-00002E450000}"/>
    <cellStyle name="Normal 26 2 2 3 3" xfId="17713" xr:uid="{00000000-0005-0000-0000-00002F450000}"/>
    <cellStyle name="Normal 26 2 2 3 3 2" xfId="17714" xr:uid="{00000000-0005-0000-0000-000030450000}"/>
    <cellStyle name="Normal 26 2 2 3 4" xfId="17715" xr:uid="{00000000-0005-0000-0000-000031450000}"/>
    <cellStyle name="Normal 26 2 2 3 4 2" xfId="17716" xr:uid="{00000000-0005-0000-0000-000032450000}"/>
    <cellStyle name="Normal 26 2 2 3 5" xfId="17717" xr:uid="{00000000-0005-0000-0000-000033450000}"/>
    <cellStyle name="Normal 26 2 2 3 5 2" xfId="17718" xr:uid="{00000000-0005-0000-0000-000034450000}"/>
    <cellStyle name="Normal 26 2 2 3 6" xfId="17719" xr:uid="{00000000-0005-0000-0000-000035450000}"/>
    <cellStyle name="Normal 26 2 2 4" xfId="17720" xr:uid="{00000000-0005-0000-0000-000036450000}"/>
    <cellStyle name="Normal 26 2 2 4 2" xfId="17721" xr:uid="{00000000-0005-0000-0000-000037450000}"/>
    <cellStyle name="Normal 26 2 2 4 2 2" xfId="17722" xr:uid="{00000000-0005-0000-0000-000038450000}"/>
    <cellStyle name="Normal 26 2 2 4 3" xfId="17723" xr:uid="{00000000-0005-0000-0000-000039450000}"/>
    <cellStyle name="Normal 26 2 2 5" xfId="17724" xr:uid="{00000000-0005-0000-0000-00003A450000}"/>
    <cellStyle name="Normal 26 2 2 5 2" xfId="17725" xr:uid="{00000000-0005-0000-0000-00003B450000}"/>
    <cellStyle name="Normal 26 2 2 6" xfId="17726" xr:uid="{00000000-0005-0000-0000-00003C450000}"/>
    <cellStyle name="Normal 26 2 2 6 2" xfId="17727" xr:uid="{00000000-0005-0000-0000-00003D450000}"/>
    <cellStyle name="Normal 26 2 2 7" xfId="17728" xr:uid="{00000000-0005-0000-0000-00003E450000}"/>
    <cellStyle name="Normal 26 2 2 7 2" xfId="17729" xr:uid="{00000000-0005-0000-0000-00003F450000}"/>
    <cellStyle name="Normal 26 2 2 8" xfId="17730" xr:uid="{00000000-0005-0000-0000-000040450000}"/>
    <cellStyle name="Normal 26 2 3" xfId="17731" xr:uid="{00000000-0005-0000-0000-000041450000}"/>
    <cellStyle name="Normal 26 2 3 2" xfId="17732" xr:uid="{00000000-0005-0000-0000-000042450000}"/>
    <cellStyle name="Normal 26 2 3 2 2" xfId="17733" xr:uid="{00000000-0005-0000-0000-000043450000}"/>
    <cellStyle name="Normal 26 2 3 2 2 2" xfId="17734" xr:uid="{00000000-0005-0000-0000-000044450000}"/>
    <cellStyle name="Normal 26 2 3 2 2 2 2" xfId="17735" xr:uid="{00000000-0005-0000-0000-000045450000}"/>
    <cellStyle name="Normal 26 2 3 2 2 3" xfId="17736" xr:uid="{00000000-0005-0000-0000-000046450000}"/>
    <cellStyle name="Normal 26 2 3 2 2 3 2" xfId="17737" xr:uid="{00000000-0005-0000-0000-000047450000}"/>
    <cellStyle name="Normal 26 2 3 2 2 4" xfId="17738" xr:uid="{00000000-0005-0000-0000-000048450000}"/>
    <cellStyle name="Normal 26 2 3 2 3" xfId="17739" xr:uid="{00000000-0005-0000-0000-000049450000}"/>
    <cellStyle name="Normal 26 2 3 2 3 2" xfId="17740" xr:uid="{00000000-0005-0000-0000-00004A450000}"/>
    <cellStyle name="Normal 26 2 3 2 4" xfId="17741" xr:uid="{00000000-0005-0000-0000-00004B450000}"/>
    <cellStyle name="Normal 26 2 3 2 4 2" xfId="17742" xr:uid="{00000000-0005-0000-0000-00004C450000}"/>
    <cellStyle name="Normal 26 2 3 2 5" xfId="17743" xr:uid="{00000000-0005-0000-0000-00004D450000}"/>
    <cellStyle name="Normal 26 2 3 2 5 2" xfId="17744" xr:uid="{00000000-0005-0000-0000-00004E450000}"/>
    <cellStyle name="Normal 26 2 3 2 6" xfId="17745" xr:uid="{00000000-0005-0000-0000-00004F450000}"/>
    <cellStyle name="Normal 26 2 3 2 6 2" xfId="17746" xr:uid="{00000000-0005-0000-0000-000050450000}"/>
    <cellStyle name="Normal 26 2 3 2 7" xfId="17747" xr:uid="{00000000-0005-0000-0000-000051450000}"/>
    <cellStyle name="Normal 26 2 3 3" xfId="17748" xr:uid="{00000000-0005-0000-0000-000052450000}"/>
    <cellStyle name="Normal 26 2 3 3 2" xfId="17749" xr:uid="{00000000-0005-0000-0000-000053450000}"/>
    <cellStyle name="Normal 26 2 3 3 2 2" xfId="17750" xr:uid="{00000000-0005-0000-0000-000054450000}"/>
    <cellStyle name="Normal 26 2 3 3 3" xfId="17751" xr:uid="{00000000-0005-0000-0000-000055450000}"/>
    <cellStyle name="Normal 26 2 3 3 3 2" xfId="17752" xr:uid="{00000000-0005-0000-0000-000056450000}"/>
    <cellStyle name="Normal 26 2 3 3 4" xfId="17753" xr:uid="{00000000-0005-0000-0000-000057450000}"/>
    <cellStyle name="Normal 26 2 3 3 4 2" xfId="17754" xr:uid="{00000000-0005-0000-0000-000058450000}"/>
    <cellStyle name="Normal 26 2 3 3 5" xfId="17755" xr:uid="{00000000-0005-0000-0000-000059450000}"/>
    <cellStyle name="Normal 26 2 3 3 5 2" xfId="17756" xr:uid="{00000000-0005-0000-0000-00005A450000}"/>
    <cellStyle name="Normal 26 2 3 3 6" xfId="17757" xr:uid="{00000000-0005-0000-0000-00005B450000}"/>
    <cellStyle name="Normal 26 2 3 4" xfId="17758" xr:uid="{00000000-0005-0000-0000-00005C450000}"/>
    <cellStyle name="Normal 26 2 3 4 2" xfId="17759" xr:uid="{00000000-0005-0000-0000-00005D450000}"/>
    <cellStyle name="Normal 26 2 3 4 2 2" xfId="17760" xr:uid="{00000000-0005-0000-0000-00005E450000}"/>
    <cellStyle name="Normal 26 2 3 4 3" xfId="17761" xr:uid="{00000000-0005-0000-0000-00005F450000}"/>
    <cellStyle name="Normal 26 2 3 5" xfId="17762" xr:uid="{00000000-0005-0000-0000-000060450000}"/>
    <cellStyle name="Normal 26 2 3 5 2" xfId="17763" xr:uid="{00000000-0005-0000-0000-000061450000}"/>
    <cellStyle name="Normal 26 2 3 6" xfId="17764" xr:uid="{00000000-0005-0000-0000-000062450000}"/>
    <cellStyle name="Normal 26 2 3 6 2" xfId="17765" xr:uid="{00000000-0005-0000-0000-000063450000}"/>
    <cellStyle name="Normal 26 2 3 7" xfId="17766" xr:uid="{00000000-0005-0000-0000-000064450000}"/>
    <cellStyle name="Normal 26 2 3 7 2" xfId="17767" xr:uid="{00000000-0005-0000-0000-000065450000}"/>
    <cellStyle name="Normal 26 2 3 8" xfId="17768" xr:uid="{00000000-0005-0000-0000-000066450000}"/>
    <cellStyle name="Normal 26 2 4" xfId="17769" xr:uid="{00000000-0005-0000-0000-000067450000}"/>
    <cellStyle name="Normal 26 2 4 2" xfId="17770" xr:uid="{00000000-0005-0000-0000-000068450000}"/>
    <cellStyle name="Normal 26 2 4 2 2" xfId="17771" xr:uid="{00000000-0005-0000-0000-000069450000}"/>
    <cellStyle name="Normal 26 2 4 2 2 2" xfId="17772" xr:uid="{00000000-0005-0000-0000-00006A450000}"/>
    <cellStyle name="Normal 26 2 4 2 3" xfId="17773" xr:uid="{00000000-0005-0000-0000-00006B450000}"/>
    <cellStyle name="Normal 26 2 4 2 3 2" xfId="17774" xr:uid="{00000000-0005-0000-0000-00006C450000}"/>
    <cellStyle name="Normal 26 2 4 2 4" xfId="17775" xr:uid="{00000000-0005-0000-0000-00006D450000}"/>
    <cellStyle name="Normal 26 2 4 3" xfId="17776" xr:uid="{00000000-0005-0000-0000-00006E450000}"/>
    <cellStyle name="Normal 26 2 4 3 2" xfId="17777" xr:uid="{00000000-0005-0000-0000-00006F450000}"/>
    <cellStyle name="Normal 26 2 4 4" xfId="17778" xr:uid="{00000000-0005-0000-0000-000070450000}"/>
    <cellStyle name="Normal 26 2 4 4 2" xfId="17779" xr:uid="{00000000-0005-0000-0000-000071450000}"/>
    <cellStyle name="Normal 26 2 4 5" xfId="17780" xr:uid="{00000000-0005-0000-0000-000072450000}"/>
    <cellStyle name="Normal 26 2 4 5 2" xfId="17781" xr:uid="{00000000-0005-0000-0000-000073450000}"/>
    <cellStyle name="Normal 26 2 4 6" xfId="17782" xr:uid="{00000000-0005-0000-0000-000074450000}"/>
    <cellStyle name="Normal 26 2 4 6 2" xfId="17783" xr:uid="{00000000-0005-0000-0000-000075450000}"/>
    <cellStyle name="Normal 26 2 4 7" xfId="17784" xr:uid="{00000000-0005-0000-0000-000076450000}"/>
    <cellStyle name="Normal 26 2 5" xfId="17785" xr:uid="{00000000-0005-0000-0000-000077450000}"/>
    <cellStyle name="Normal 26 2 5 2" xfId="17786" xr:uid="{00000000-0005-0000-0000-000078450000}"/>
    <cellStyle name="Normal 26 2 5 2 2" xfId="17787" xr:uid="{00000000-0005-0000-0000-000079450000}"/>
    <cellStyle name="Normal 26 2 5 3" xfId="17788" xr:uid="{00000000-0005-0000-0000-00007A450000}"/>
    <cellStyle name="Normal 26 2 5 3 2" xfId="17789" xr:uid="{00000000-0005-0000-0000-00007B450000}"/>
    <cellStyle name="Normal 26 2 5 4" xfId="17790" xr:uid="{00000000-0005-0000-0000-00007C450000}"/>
    <cellStyle name="Normal 26 2 5 4 2" xfId="17791" xr:uid="{00000000-0005-0000-0000-00007D450000}"/>
    <cellStyle name="Normal 26 2 5 5" xfId="17792" xr:uid="{00000000-0005-0000-0000-00007E450000}"/>
    <cellStyle name="Normal 26 2 5 5 2" xfId="17793" xr:uid="{00000000-0005-0000-0000-00007F450000}"/>
    <cellStyle name="Normal 26 2 5 6" xfId="17794" xr:uid="{00000000-0005-0000-0000-000080450000}"/>
    <cellStyle name="Normal 26 2 6" xfId="17795" xr:uid="{00000000-0005-0000-0000-000081450000}"/>
    <cellStyle name="Normal 26 2 6 2" xfId="17796" xr:uid="{00000000-0005-0000-0000-000082450000}"/>
    <cellStyle name="Normal 26 2 6 2 2" xfId="17797" xr:uid="{00000000-0005-0000-0000-000083450000}"/>
    <cellStyle name="Normal 26 2 6 3" xfId="17798" xr:uid="{00000000-0005-0000-0000-000084450000}"/>
    <cellStyle name="Normal 26 2 7" xfId="17799" xr:uid="{00000000-0005-0000-0000-000085450000}"/>
    <cellStyle name="Normal 26 2 7 2" xfId="17800" xr:uid="{00000000-0005-0000-0000-000086450000}"/>
    <cellStyle name="Normal 26 2 8" xfId="17801" xr:uid="{00000000-0005-0000-0000-000087450000}"/>
    <cellStyle name="Normal 26 2 8 2" xfId="17802" xr:uid="{00000000-0005-0000-0000-000088450000}"/>
    <cellStyle name="Normal 26 2 9" xfId="17803" xr:uid="{00000000-0005-0000-0000-000089450000}"/>
    <cellStyle name="Normal 26 2 9 2" xfId="17804" xr:uid="{00000000-0005-0000-0000-00008A450000}"/>
    <cellStyle name="Normal 26 3" xfId="17805" xr:uid="{00000000-0005-0000-0000-00008B450000}"/>
    <cellStyle name="Normal 26 3 2" xfId="17806" xr:uid="{00000000-0005-0000-0000-00008C450000}"/>
    <cellStyle name="Normal 26 3 2 2" xfId="17807" xr:uid="{00000000-0005-0000-0000-00008D450000}"/>
    <cellStyle name="Normal 26 3 2 2 2" xfId="17808" xr:uid="{00000000-0005-0000-0000-00008E450000}"/>
    <cellStyle name="Normal 26 3 2 2 2 2" xfId="17809" xr:uid="{00000000-0005-0000-0000-00008F450000}"/>
    <cellStyle name="Normal 26 3 2 2 3" xfId="17810" xr:uid="{00000000-0005-0000-0000-000090450000}"/>
    <cellStyle name="Normal 26 3 2 2 3 2" xfId="17811" xr:uid="{00000000-0005-0000-0000-000091450000}"/>
    <cellStyle name="Normal 26 3 2 2 4" xfId="17812" xr:uid="{00000000-0005-0000-0000-000092450000}"/>
    <cellStyle name="Normal 26 3 2 3" xfId="17813" xr:uid="{00000000-0005-0000-0000-000093450000}"/>
    <cellStyle name="Normal 26 3 2 3 2" xfId="17814" xr:uid="{00000000-0005-0000-0000-000094450000}"/>
    <cellStyle name="Normal 26 3 2 4" xfId="17815" xr:uid="{00000000-0005-0000-0000-000095450000}"/>
    <cellStyle name="Normal 26 3 2 4 2" xfId="17816" xr:uid="{00000000-0005-0000-0000-000096450000}"/>
    <cellStyle name="Normal 26 3 2 5" xfId="17817" xr:uid="{00000000-0005-0000-0000-000097450000}"/>
    <cellStyle name="Normal 26 3 2 5 2" xfId="17818" xr:uid="{00000000-0005-0000-0000-000098450000}"/>
    <cellStyle name="Normal 26 3 2 6" xfId="17819" xr:uid="{00000000-0005-0000-0000-000099450000}"/>
    <cellStyle name="Normal 26 3 2 6 2" xfId="17820" xr:uid="{00000000-0005-0000-0000-00009A450000}"/>
    <cellStyle name="Normal 26 3 2 7" xfId="17821" xr:uid="{00000000-0005-0000-0000-00009B450000}"/>
    <cellStyle name="Normal 26 3 3" xfId="17822" xr:uid="{00000000-0005-0000-0000-00009C450000}"/>
    <cellStyle name="Normal 26 3 3 2" xfId="17823" xr:uid="{00000000-0005-0000-0000-00009D450000}"/>
    <cellStyle name="Normal 26 3 3 2 2" xfId="17824" xr:uid="{00000000-0005-0000-0000-00009E450000}"/>
    <cellStyle name="Normal 26 3 3 3" xfId="17825" xr:uid="{00000000-0005-0000-0000-00009F450000}"/>
    <cellStyle name="Normal 26 3 3 3 2" xfId="17826" xr:uid="{00000000-0005-0000-0000-0000A0450000}"/>
    <cellStyle name="Normal 26 3 3 4" xfId="17827" xr:uid="{00000000-0005-0000-0000-0000A1450000}"/>
    <cellStyle name="Normal 26 3 3 4 2" xfId="17828" xr:uid="{00000000-0005-0000-0000-0000A2450000}"/>
    <cellStyle name="Normal 26 3 3 5" xfId="17829" xr:uid="{00000000-0005-0000-0000-0000A3450000}"/>
    <cellStyle name="Normal 26 3 3 5 2" xfId="17830" xr:uid="{00000000-0005-0000-0000-0000A4450000}"/>
    <cellStyle name="Normal 26 3 3 6" xfId="17831" xr:uid="{00000000-0005-0000-0000-0000A5450000}"/>
    <cellStyle name="Normal 26 3 4" xfId="17832" xr:uid="{00000000-0005-0000-0000-0000A6450000}"/>
    <cellStyle name="Normal 26 3 4 2" xfId="17833" xr:uid="{00000000-0005-0000-0000-0000A7450000}"/>
    <cellStyle name="Normal 26 3 4 2 2" xfId="17834" xr:uid="{00000000-0005-0000-0000-0000A8450000}"/>
    <cellStyle name="Normal 26 3 4 3" xfId="17835" xr:uid="{00000000-0005-0000-0000-0000A9450000}"/>
    <cellStyle name="Normal 26 3 5" xfId="17836" xr:uid="{00000000-0005-0000-0000-0000AA450000}"/>
    <cellStyle name="Normal 26 3 5 2" xfId="17837" xr:uid="{00000000-0005-0000-0000-0000AB450000}"/>
    <cellStyle name="Normal 26 3 6" xfId="17838" xr:uid="{00000000-0005-0000-0000-0000AC450000}"/>
    <cellStyle name="Normal 26 3 6 2" xfId="17839" xr:uid="{00000000-0005-0000-0000-0000AD450000}"/>
    <cellStyle name="Normal 26 3 7" xfId="17840" xr:uid="{00000000-0005-0000-0000-0000AE450000}"/>
    <cellStyle name="Normal 26 3 7 2" xfId="17841" xr:uid="{00000000-0005-0000-0000-0000AF450000}"/>
    <cellStyle name="Normal 26 3 8" xfId="17842" xr:uid="{00000000-0005-0000-0000-0000B0450000}"/>
    <cellStyle name="Normal 26 4" xfId="17843" xr:uid="{00000000-0005-0000-0000-0000B1450000}"/>
    <cellStyle name="Normal 26 4 2" xfId="17844" xr:uid="{00000000-0005-0000-0000-0000B2450000}"/>
    <cellStyle name="Normal 26 4 2 2" xfId="17845" xr:uid="{00000000-0005-0000-0000-0000B3450000}"/>
    <cellStyle name="Normal 26 4 2 2 2" xfId="17846" xr:uid="{00000000-0005-0000-0000-0000B4450000}"/>
    <cellStyle name="Normal 26 4 2 2 2 2" xfId="17847" xr:uid="{00000000-0005-0000-0000-0000B5450000}"/>
    <cellStyle name="Normal 26 4 2 2 3" xfId="17848" xr:uid="{00000000-0005-0000-0000-0000B6450000}"/>
    <cellStyle name="Normal 26 4 2 2 3 2" xfId="17849" xr:uid="{00000000-0005-0000-0000-0000B7450000}"/>
    <cellStyle name="Normal 26 4 2 2 4" xfId="17850" xr:uid="{00000000-0005-0000-0000-0000B8450000}"/>
    <cellStyle name="Normal 26 4 2 3" xfId="17851" xr:uid="{00000000-0005-0000-0000-0000B9450000}"/>
    <cellStyle name="Normal 26 4 2 3 2" xfId="17852" xr:uid="{00000000-0005-0000-0000-0000BA450000}"/>
    <cellStyle name="Normal 26 4 2 4" xfId="17853" xr:uid="{00000000-0005-0000-0000-0000BB450000}"/>
    <cellStyle name="Normal 26 4 2 4 2" xfId="17854" xr:uid="{00000000-0005-0000-0000-0000BC450000}"/>
    <cellStyle name="Normal 26 4 2 5" xfId="17855" xr:uid="{00000000-0005-0000-0000-0000BD450000}"/>
    <cellStyle name="Normal 26 4 2 5 2" xfId="17856" xr:uid="{00000000-0005-0000-0000-0000BE450000}"/>
    <cellStyle name="Normal 26 4 2 6" xfId="17857" xr:uid="{00000000-0005-0000-0000-0000BF450000}"/>
    <cellStyle name="Normal 26 4 2 6 2" xfId="17858" xr:uid="{00000000-0005-0000-0000-0000C0450000}"/>
    <cellStyle name="Normal 26 4 2 7" xfId="17859" xr:uid="{00000000-0005-0000-0000-0000C1450000}"/>
    <cellStyle name="Normal 26 4 3" xfId="17860" xr:uid="{00000000-0005-0000-0000-0000C2450000}"/>
    <cellStyle name="Normal 26 4 3 2" xfId="17861" xr:uid="{00000000-0005-0000-0000-0000C3450000}"/>
    <cellStyle name="Normal 26 4 3 2 2" xfId="17862" xr:uid="{00000000-0005-0000-0000-0000C4450000}"/>
    <cellStyle name="Normal 26 4 3 3" xfId="17863" xr:uid="{00000000-0005-0000-0000-0000C5450000}"/>
    <cellStyle name="Normal 26 4 3 3 2" xfId="17864" xr:uid="{00000000-0005-0000-0000-0000C6450000}"/>
    <cellStyle name="Normal 26 4 3 4" xfId="17865" xr:uid="{00000000-0005-0000-0000-0000C7450000}"/>
    <cellStyle name="Normal 26 4 3 4 2" xfId="17866" xr:uid="{00000000-0005-0000-0000-0000C8450000}"/>
    <cellStyle name="Normal 26 4 3 5" xfId="17867" xr:uid="{00000000-0005-0000-0000-0000C9450000}"/>
    <cellStyle name="Normal 26 4 3 5 2" xfId="17868" xr:uid="{00000000-0005-0000-0000-0000CA450000}"/>
    <cellStyle name="Normal 26 4 3 6" xfId="17869" xr:uid="{00000000-0005-0000-0000-0000CB450000}"/>
    <cellStyle name="Normal 26 4 4" xfId="17870" xr:uid="{00000000-0005-0000-0000-0000CC450000}"/>
    <cellStyle name="Normal 26 4 4 2" xfId="17871" xr:uid="{00000000-0005-0000-0000-0000CD450000}"/>
    <cellStyle name="Normal 26 4 4 2 2" xfId="17872" xr:uid="{00000000-0005-0000-0000-0000CE450000}"/>
    <cellStyle name="Normal 26 4 4 3" xfId="17873" xr:uid="{00000000-0005-0000-0000-0000CF450000}"/>
    <cellStyle name="Normal 26 4 5" xfId="17874" xr:uid="{00000000-0005-0000-0000-0000D0450000}"/>
    <cellStyle name="Normal 26 4 5 2" xfId="17875" xr:uid="{00000000-0005-0000-0000-0000D1450000}"/>
    <cellStyle name="Normal 26 4 6" xfId="17876" xr:uid="{00000000-0005-0000-0000-0000D2450000}"/>
    <cellStyle name="Normal 26 4 6 2" xfId="17877" xr:uid="{00000000-0005-0000-0000-0000D3450000}"/>
    <cellStyle name="Normal 26 4 7" xfId="17878" xr:uid="{00000000-0005-0000-0000-0000D4450000}"/>
    <cellStyle name="Normal 26 4 7 2" xfId="17879" xr:uid="{00000000-0005-0000-0000-0000D5450000}"/>
    <cellStyle name="Normal 26 4 8" xfId="17880" xr:uid="{00000000-0005-0000-0000-0000D6450000}"/>
    <cellStyle name="Normal 26 5" xfId="17881" xr:uid="{00000000-0005-0000-0000-0000D7450000}"/>
    <cellStyle name="Normal 26 5 2" xfId="17882" xr:uid="{00000000-0005-0000-0000-0000D8450000}"/>
    <cellStyle name="Normal 26 5 2 2" xfId="17883" xr:uid="{00000000-0005-0000-0000-0000D9450000}"/>
    <cellStyle name="Normal 26 5 2 2 2" xfId="17884" xr:uid="{00000000-0005-0000-0000-0000DA450000}"/>
    <cellStyle name="Normal 26 5 2 3" xfId="17885" xr:uid="{00000000-0005-0000-0000-0000DB450000}"/>
    <cellStyle name="Normal 26 5 2 3 2" xfId="17886" xr:uid="{00000000-0005-0000-0000-0000DC450000}"/>
    <cellStyle name="Normal 26 5 2 4" xfId="17887" xr:uid="{00000000-0005-0000-0000-0000DD450000}"/>
    <cellStyle name="Normal 26 5 3" xfId="17888" xr:uid="{00000000-0005-0000-0000-0000DE450000}"/>
    <cellStyle name="Normal 26 5 3 2" xfId="17889" xr:uid="{00000000-0005-0000-0000-0000DF450000}"/>
    <cellStyle name="Normal 26 5 4" xfId="17890" xr:uid="{00000000-0005-0000-0000-0000E0450000}"/>
    <cellStyle name="Normal 26 5 4 2" xfId="17891" xr:uid="{00000000-0005-0000-0000-0000E1450000}"/>
    <cellStyle name="Normal 26 5 5" xfId="17892" xr:uid="{00000000-0005-0000-0000-0000E2450000}"/>
    <cellStyle name="Normal 26 5 5 2" xfId="17893" xr:uid="{00000000-0005-0000-0000-0000E3450000}"/>
    <cellStyle name="Normal 26 5 6" xfId="17894" xr:uid="{00000000-0005-0000-0000-0000E4450000}"/>
    <cellStyle name="Normal 26 5 6 2" xfId="17895" xr:uid="{00000000-0005-0000-0000-0000E5450000}"/>
    <cellStyle name="Normal 26 5 7" xfId="17896" xr:uid="{00000000-0005-0000-0000-0000E6450000}"/>
    <cellStyle name="Normal 26 6" xfId="17897" xr:uid="{00000000-0005-0000-0000-0000E7450000}"/>
    <cellStyle name="Normal 26 6 2" xfId="17898" xr:uid="{00000000-0005-0000-0000-0000E8450000}"/>
    <cellStyle name="Normal 26 6 2 2" xfId="17899" xr:uid="{00000000-0005-0000-0000-0000E9450000}"/>
    <cellStyle name="Normal 26 6 3" xfId="17900" xr:uid="{00000000-0005-0000-0000-0000EA450000}"/>
    <cellStyle name="Normal 26 6 3 2" xfId="17901" xr:uid="{00000000-0005-0000-0000-0000EB450000}"/>
    <cellStyle name="Normal 26 6 4" xfId="17902" xr:uid="{00000000-0005-0000-0000-0000EC450000}"/>
    <cellStyle name="Normal 26 6 4 2" xfId="17903" xr:uid="{00000000-0005-0000-0000-0000ED450000}"/>
    <cellStyle name="Normal 26 6 5" xfId="17904" xr:uid="{00000000-0005-0000-0000-0000EE450000}"/>
    <cellStyle name="Normal 26 6 5 2" xfId="17905" xr:uid="{00000000-0005-0000-0000-0000EF450000}"/>
    <cellStyle name="Normal 26 6 6" xfId="17906" xr:uid="{00000000-0005-0000-0000-0000F0450000}"/>
    <cellStyle name="Normal 26 7" xfId="17907" xr:uid="{00000000-0005-0000-0000-0000F1450000}"/>
    <cellStyle name="Normal 26 7 2" xfId="17908" xr:uid="{00000000-0005-0000-0000-0000F2450000}"/>
    <cellStyle name="Normal 26 7 2 2" xfId="17909" xr:uid="{00000000-0005-0000-0000-0000F3450000}"/>
    <cellStyle name="Normal 26 7 3" xfId="17910" xr:uid="{00000000-0005-0000-0000-0000F4450000}"/>
    <cellStyle name="Normal 26 8" xfId="17911" xr:uid="{00000000-0005-0000-0000-0000F5450000}"/>
    <cellStyle name="Normal 26 8 2" xfId="17912" xr:uid="{00000000-0005-0000-0000-0000F6450000}"/>
    <cellStyle name="Normal 26 9" xfId="17913" xr:uid="{00000000-0005-0000-0000-0000F7450000}"/>
    <cellStyle name="Normal 26 9 2" xfId="17914" xr:uid="{00000000-0005-0000-0000-0000F8450000}"/>
    <cellStyle name="Normal 27" xfId="17915" xr:uid="{00000000-0005-0000-0000-0000F9450000}"/>
    <cellStyle name="Normal 27 10" xfId="17916" xr:uid="{00000000-0005-0000-0000-0000FA450000}"/>
    <cellStyle name="Normal 27 10 2" xfId="17917" xr:uid="{00000000-0005-0000-0000-0000FB450000}"/>
    <cellStyle name="Normal 27 11" xfId="17918" xr:uid="{00000000-0005-0000-0000-0000FC450000}"/>
    <cellStyle name="Normal 27 2" xfId="17919" xr:uid="{00000000-0005-0000-0000-0000FD450000}"/>
    <cellStyle name="Normal 27 2 10" xfId="17920" xr:uid="{00000000-0005-0000-0000-0000FE450000}"/>
    <cellStyle name="Normal 27 2 2" xfId="17921" xr:uid="{00000000-0005-0000-0000-0000FF450000}"/>
    <cellStyle name="Normal 27 2 2 2" xfId="17922" xr:uid="{00000000-0005-0000-0000-000000460000}"/>
    <cellStyle name="Normal 27 2 2 2 2" xfId="17923" xr:uid="{00000000-0005-0000-0000-000001460000}"/>
    <cellStyle name="Normal 27 2 2 2 2 2" xfId="17924" xr:uid="{00000000-0005-0000-0000-000002460000}"/>
    <cellStyle name="Normal 27 2 2 2 2 2 2" xfId="17925" xr:uid="{00000000-0005-0000-0000-000003460000}"/>
    <cellStyle name="Normal 27 2 2 2 2 3" xfId="17926" xr:uid="{00000000-0005-0000-0000-000004460000}"/>
    <cellStyle name="Normal 27 2 2 2 2 3 2" xfId="17927" xr:uid="{00000000-0005-0000-0000-000005460000}"/>
    <cellStyle name="Normal 27 2 2 2 2 4" xfId="17928" xr:uid="{00000000-0005-0000-0000-000006460000}"/>
    <cellStyle name="Normal 27 2 2 2 3" xfId="17929" xr:uid="{00000000-0005-0000-0000-000007460000}"/>
    <cellStyle name="Normal 27 2 2 2 3 2" xfId="17930" xr:uid="{00000000-0005-0000-0000-000008460000}"/>
    <cellStyle name="Normal 27 2 2 2 4" xfId="17931" xr:uid="{00000000-0005-0000-0000-000009460000}"/>
    <cellStyle name="Normal 27 2 2 2 4 2" xfId="17932" xr:uid="{00000000-0005-0000-0000-00000A460000}"/>
    <cellStyle name="Normal 27 2 2 2 5" xfId="17933" xr:uid="{00000000-0005-0000-0000-00000B460000}"/>
    <cellStyle name="Normal 27 2 2 2 5 2" xfId="17934" xr:uid="{00000000-0005-0000-0000-00000C460000}"/>
    <cellStyle name="Normal 27 2 2 2 6" xfId="17935" xr:uid="{00000000-0005-0000-0000-00000D460000}"/>
    <cellStyle name="Normal 27 2 2 2 6 2" xfId="17936" xr:uid="{00000000-0005-0000-0000-00000E460000}"/>
    <cellStyle name="Normal 27 2 2 2 7" xfId="17937" xr:uid="{00000000-0005-0000-0000-00000F460000}"/>
    <cellStyle name="Normal 27 2 2 3" xfId="17938" xr:uid="{00000000-0005-0000-0000-000010460000}"/>
    <cellStyle name="Normal 27 2 2 3 2" xfId="17939" xr:uid="{00000000-0005-0000-0000-000011460000}"/>
    <cellStyle name="Normal 27 2 2 3 2 2" xfId="17940" xr:uid="{00000000-0005-0000-0000-000012460000}"/>
    <cellStyle name="Normal 27 2 2 3 3" xfId="17941" xr:uid="{00000000-0005-0000-0000-000013460000}"/>
    <cellStyle name="Normal 27 2 2 3 3 2" xfId="17942" xr:uid="{00000000-0005-0000-0000-000014460000}"/>
    <cellStyle name="Normal 27 2 2 3 4" xfId="17943" xr:uid="{00000000-0005-0000-0000-000015460000}"/>
    <cellStyle name="Normal 27 2 2 3 4 2" xfId="17944" xr:uid="{00000000-0005-0000-0000-000016460000}"/>
    <cellStyle name="Normal 27 2 2 3 5" xfId="17945" xr:uid="{00000000-0005-0000-0000-000017460000}"/>
    <cellStyle name="Normal 27 2 2 3 5 2" xfId="17946" xr:uid="{00000000-0005-0000-0000-000018460000}"/>
    <cellStyle name="Normal 27 2 2 3 6" xfId="17947" xr:uid="{00000000-0005-0000-0000-000019460000}"/>
    <cellStyle name="Normal 27 2 2 4" xfId="17948" xr:uid="{00000000-0005-0000-0000-00001A460000}"/>
    <cellStyle name="Normal 27 2 2 4 2" xfId="17949" xr:uid="{00000000-0005-0000-0000-00001B460000}"/>
    <cellStyle name="Normal 27 2 2 4 2 2" xfId="17950" xr:uid="{00000000-0005-0000-0000-00001C460000}"/>
    <cellStyle name="Normal 27 2 2 4 3" xfId="17951" xr:uid="{00000000-0005-0000-0000-00001D460000}"/>
    <cellStyle name="Normal 27 2 2 5" xfId="17952" xr:uid="{00000000-0005-0000-0000-00001E460000}"/>
    <cellStyle name="Normal 27 2 2 5 2" xfId="17953" xr:uid="{00000000-0005-0000-0000-00001F460000}"/>
    <cellStyle name="Normal 27 2 2 6" xfId="17954" xr:uid="{00000000-0005-0000-0000-000020460000}"/>
    <cellStyle name="Normal 27 2 2 6 2" xfId="17955" xr:uid="{00000000-0005-0000-0000-000021460000}"/>
    <cellStyle name="Normal 27 2 2 7" xfId="17956" xr:uid="{00000000-0005-0000-0000-000022460000}"/>
    <cellStyle name="Normal 27 2 2 7 2" xfId="17957" xr:uid="{00000000-0005-0000-0000-000023460000}"/>
    <cellStyle name="Normal 27 2 2 8" xfId="17958" xr:uid="{00000000-0005-0000-0000-000024460000}"/>
    <cellStyle name="Normal 27 2 3" xfId="17959" xr:uid="{00000000-0005-0000-0000-000025460000}"/>
    <cellStyle name="Normal 27 2 3 2" xfId="17960" xr:uid="{00000000-0005-0000-0000-000026460000}"/>
    <cellStyle name="Normal 27 2 3 2 2" xfId="17961" xr:uid="{00000000-0005-0000-0000-000027460000}"/>
    <cellStyle name="Normal 27 2 3 2 2 2" xfId="17962" xr:uid="{00000000-0005-0000-0000-000028460000}"/>
    <cellStyle name="Normal 27 2 3 2 2 2 2" xfId="17963" xr:uid="{00000000-0005-0000-0000-000029460000}"/>
    <cellStyle name="Normal 27 2 3 2 2 3" xfId="17964" xr:uid="{00000000-0005-0000-0000-00002A460000}"/>
    <cellStyle name="Normal 27 2 3 2 2 3 2" xfId="17965" xr:uid="{00000000-0005-0000-0000-00002B460000}"/>
    <cellStyle name="Normal 27 2 3 2 2 4" xfId="17966" xr:uid="{00000000-0005-0000-0000-00002C460000}"/>
    <cellStyle name="Normal 27 2 3 2 3" xfId="17967" xr:uid="{00000000-0005-0000-0000-00002D460000}"/>
    <cellStyle name="Normal 27 2 3 2 3 2" xfId="17968" xr:uid="{00000000-0005-0000-0000-00002E460000}"/>
    <cellStyle name="Normal 27 2 3 2 4" xfId="17969" xr:uid="{00000000-0005-0000-0000-00002F460000}"/>
    <cellStyle name="Normal 27 2 3 2 4 2" xfId="17970" xr:uid="{00000000-0005-0000-0000-000030460000}"/>
    <cellStyle name="Normal 27 2 3 2 5" xfId="17971" xr:uid="{00000000-0005-0000-0000-000031460000}"/>
    <cellStyle name="Normal 27 2 3 2 5 2" xfId="17972" xr:uid="{00000000-0005-0000-0000-000032460000}"/>
    <cellStyle name="Normal 27 2 3 2 6" xfId="17973" xr:uid="{00000000-0005-0000-0000-000033460000}"/>
    <cellStyle name="Normal 27 2 3 2 6 2" xfId="17974" xr:uid="{00000000-0005-0000-0000-000034460000}"/>
    <cellStyle name="Normal 27 2 3 2 7" xfId="17975" xr:uid="{00000000-0005-0000-0000-000035460000}"/>
    <cellStyle name="Normal 27 2 3 3" xfId="17976" xr:uid="{00000000-0005-0000-0000-000036460000}"/>
    <cellStyle name="Normal 27 2 3 3 2" xfId="17977" xr:uid="{00000000-0005-0000-0000-000037460000}"/>
    <cellStyle name="Normal 27 2 3 3 2 2" xfId="17978" xr:uid="{00000000-0005-0000-0000-000038460000}"/>
    <cellStyle name="Normal 27 2 3 3 3" xfId="17979" xr:uid="{00000000-0005-0000-0000-000039460000}"/>
    <cellStyle name="Normal 27 2 3 3 3 2" xfId="17980" xr:uid="{00000000-0005-0000-0000-00003A460000}"/>
    <cellStyle name="Normal 27 2 3 3 4" xfId="17981" xr:uid="{00000000-0005-0000-0000-00003B460000}"/>
    <cellStyle name="Normal 27 2 3 3 4 2" xfId="17982" xr:uid="{00000000-0005-0000-0000-00003C460000}"/>
    <cellStyle name="Normal 27 2 3 3 5" xfId="17983" xr:uid="{00000000-0005-0000-0000-00003D460000}"/>
    <cellStyle name="Normal 27 2 3 3 5 2" xfId="17984" xr:uid="{00000000-0005-0000-0000-00003E460000}"/>
    <cellStyle name="Normal 27 2 3 3 6" xfId="17985" xr:uid="{00000000-0005-0000-0000-00003F460000}"/>
    <cellStyle name="Normal 27 2 3 4" xfId="17986" xr:uid="{00000000-0005-0000-0000-000040460000}"/>
    <cellStyle name="Normal 27 2 3 4 2" xfId="17987" xr:uid="{00000000-0005-0000-0000-000041460000}"/>
    <cellStyle name="Normal 27 2 3 4 2 2" xfId="17988" xr:uid="{00000000-0005-0000-0000-000042460000}"/>
    <cellStyle name="Normal 27 2 3 4 3" xfId="17989" xr:uid="{00000000-0005-0000-0000-000043460000}"/>
    <cellStyle name="Normal 27 2 3 5" xfId="17990" xr:uid="{00000000-0005-0000-0000-000044460000}"/>
    <cellStyle name="Normal 27 2 3 5 2" xfId="17991" xr:uid="{00000000-0005-0000-0000-000045460000}"/>
    <cellStyle name="Normal 27 2 3 6" xfId="17992" xr:uid="{00000000-0005-0000-0000-000046460000}"/>
    <cellStyle name="Normal 27 2 3 6 2" xfId="17993" xr:uid="{00000000-0005-0000-0000-000047460000}"/>
    <cellStyle name="Normal 27 2 3 7" xfId="17994" xr:uid="{00000000-0005-0000-0000-000048460000}"/>
    <cellStyle name="Normal 27 2 3 7 2" xfId="17995" xr:uid="{00000000-0005-0000-0000-000049460000}"/>
    <cellStyle name="Normal 27 2 3 8" xfId="17996" xr:uid="{00000000-0005-0000-0000-00004A460000}"/>
    <cellStyle name="Normal 27 2 4" xfId="17997" xr:uid="{00000000-0005-0000-0000-00004B460000}"/>
    <cellStyle name="Normal 27 2 4 2" xfId="17998" xr:uid="{00000000-0005-0000-0000-00004C460000}"/>
    <cellStyle name="Normal 27 2 4 2 2" xfId="17999" xr:uid="{00000000-0005-0000-0000-00004D460000}"/>
    <cellStyle name="Normal 27 2 4 2 2 2" xfId="18000" xr:uid="{00000000-0005-0000-0000-00004E460000}"/>
    <cellStyle name="Normal 27 2 4 2 3" xfId="18001" xr:uid="{00000000-0005-0000-0000-00004F460000}"/>
    <cellStyle name="Normal 27 2 4 2 3 2" xfId="18002" xr:uid="{00000000-0005-0000-0000-000050460000}"/>
    <cellStyle name="Normal 27 2 4 2 4" xfId="18003" xr:uid="{00000000-0005-0000-0000-000051460000}"/>
    <cellStyle name="Normal 27 2 4 3" xfId="18004" xr:uid="{00000000-0005-0000-0000-000052460000}"/>
    <cellStyle name="Normal 27 2 4 3 2" xfId="18005" xr:uid="{00000000-0005-0000-0000-000053460000}"/>
    <cellStyle name="Normal 27 2 4 4" xfId="18006" xr:uid="{00000000-0005-0000-0000-000054460000}"/>
    <cellStyle name="Normal 27 2 4 4 2" xfId="18007" xr:uid="{00000000-0005-0000-0000-000055460000}"/>
    <cellStyle name="Normal 27 2 4 5" xfId="18008" xr:uid="{00000000-0005-0000-0000-000056460000}"/>
    <cellStyle name="Normal 27 2 4 5 2" xfId="18009" xr:uid="{00000000-0005-0000-0000-000057460000}"/>
    <cellStyle name="Normal 27 2 4 6" xfId="18010" xr:uid="{00000000-0005-0000-0000-000058460000}"/>
    <cellStyle name="Normal 27 2 4 6 2" xfId="18011" xr:uid="{00000000-0005-0000-0000-000059460000}"/>
    <cellStyle name="Normal 27 2 4 7" xfId="18012" xr:uid="{00000000-0005-0000-0000-00005A460000}"/>
    <cellStyle name="Normal 27 2 5" xfId="18013" xr:uid="{00000000-0005-0000-0000-00005B460000}"/>
    <cellStyle name="Normal 27 2 5 2" xfId="18014" xr:uid="{00000000-0005-0000-0000-00005C460000}"/>
    <cellStyle name="Normal 27 2 5 2 2" xfId="18015" xr:uid="{00000000-0005-0000-0000-00005D460000}"/>
    <cellStyle name="Normal 27 2 5 3" xfId="18016" xr:uid="{00000000-0005-0000-0000-00005E460000}"/>
    <cellStyle name="Normal 27 2 5 3 2" xfId="18017" xr:uid="{00000000-0005-0000-0000-00005F460000}"/>
    <cellStyle name="Normal 27 2 5 4" xfId="18018" xr:uid="{00000000-0005-0000-0000-000060460000}"/>
    <cellStyle name="Normal 27 2 5 4 2" xfId="18019" xr:uid="{00000000-0005-0000-0000-000061460000}"/>
    <cellStyle name="Normal 27 2 5 5" xfId="18020" xr:uid="{00000000-0005-0000-0000-000062460000}"/>
    <cellStyle name="Normal 27 2 5 5 2" xfId="18021" xr:uid="{00000000-0005-0000-0000-000063460000}"/>
    <cellStyle name="Normal 27 2 5 6" xfId="18022" xr:uid="{00000000-0005-0000-0000-000064460000}"/>
    <cellStyle name="Normal 27 2 6" xfId="18023" xr:uid="{00000000-0005-0000-0000-000065460000}"/>
    <cellStyle name="Normal 27 2 6 2" xfId="18024" xr:uid="{00000000-0005-0000-0000-000066460000}"/>
    <cellStyle name="Normal 27 2 6 2 2" xfId="18025" xr:uid="{00000000-0005-0000-0000-000067460000}"/>
    <cellStyle name="Normal 27 2 6 3" xfId="18026" xr:uid="{00000000-0005-0000-0000-000068460000}"/>
    <cellStyle name="Normal 27 2 7" xfId="18027" xr:uid="{00000000-0005-0000-0000-000069460000}"/>
    <cellStyle name="Normal 27 2 7 2" xfId="18028" xr:uid="{00000000-0005-0000-0000-00006A460000}"/>
    <cellStyle name="Normal 27 2 8" xfId="18029" xr:uid="{00000000-0005-0000-0000-00006B460000}"/>
    <cellStyle name="Normal 27 2 8 2" xfId="18030" xr:uid="{00000000-0005-0000-0000-00006C460000}"/>
    <cellStyle name="Normal 27 2 9" xfId="18031" xr:uid="{00000000-0005-0000-0000-00006D460000}"/>
    <cellStyle name="Normal 27 2 9 2" xfId="18032" xr:uid="{00000000-0005-0000-0000-00006E460000}"/>
    <cellStyle name="Normal 27 3" xfId="18033" xr:uid="{00000000-0005-0000-0000-00006F460000}"/>
    <cellStyle name="Normal 27 3 2" xfId="18034" xr:uid="{00000000-0005-0000-0000-000070460000}"/>
    <cellStyle name="Normal 27 3 2 2" xfId="18035" xr:uid="{00000000-0005-0000-0000-000071460000}"/>
    <cellStyle name="Normal 27 3 2 2 2" xfId="18036" xr:uid="{00000000-0005-0000-0000-000072460000}"/>
    <cellStyle name="Normal 27 3 2 2 2 2" xfId="18037" xr:uid="{00000000-0005-0000-0000-000073460000}"/>
    <cellStyle name="Normal 27 3 2 2 3" xfId="18038" xr:uid="{00000000-0005-0000-0000-000074460000}"/>
    <cellStyle name="Normal 27 3 2 2 3 2" xfId="18039" xr:uid="{00000000-0005-0000-0000-000075460000}"/>
    <cellStyle name="Normal 27 3 2 2 4" xfId="18040" xr:uid="{00000000-0005-0000-0000-000076460000}"/>
    <cellStyle name="Normal 27 3 2 3" xfId="18041" xr:uid="{00000000-0005-0000-0000-000077460000}"/>
    <cellStyle name="Normal 27 3 2 3 2" xfId="18042" xr:uid="{00000000-0005-0000-0000-000078460000}"/>
    <cellStyle name="Normal 27 3 2 4" xfId="18043" xr:uid="{00000000-0005-0000-0000-000079460000}"/>
    <cellStyle name="Normal 27 3 2 4 2" xfId="18044" xr:uid="{00000000-0005-0000-0000-00007A460000}"/>
    <cellStyle name="Normal 27 3 2 5" xfId="18045" xr:uid="{00000000-0005-0000-0000-00007B460000}"/>
    <cellStyle name="Normal 27 3 2 5 2" xfId="18046" xr:uid="{00000000-0005-0000-0000-00007C460000}"/>
    <cellStyle name="Normal 27 3 2 6" xfId="18047" xr:uid="{00000000-0005-0000-0000-00007D460000}"/>
    <cellStyle name="Normal 27 3 2 6 2" xfId="18048" xr:uid="{00000000-0005-0000-0000-00007E460000}"/>
    <cellStyle name="Normal 27 3 2 7" xfId="18049" xr:uid="{00000000-0005-0000-0000-00007F460000}"/>
    <cellStyle name="Normal 27 3 3" xfId="18050" xr:uid="{00000000-0005-0000-0000-000080460000}"/>
    <cellStyle name="Normal 27 3 3 2" xfId="18051" xr:uid="{00000000-0005-0000-0000-000081460000}"/>
    <cellStyle name="Normal 27 3 3 2 2" xfId="18052" xr:uid="{00000000-0005-0000-0000-000082460000}"/>
    <cellStyle name="Normal 27 3 3 3" xfId="18053" xr:uid="{00000000-0005-0000-0000-000083460000}"/>
    <cellStyle name="Normal 27 3 3 3 2" xfId="18054" xr:uid="{00000000-0005-0000-0000-000084460000}"/>
    <cellStyle name="Normal 27 3 3 4" xfId="18055" xr:uid="{00000000-0005-0000-0000-000085460000}"/>
    <cellStyle name="Normal 27 3 3 4 2" xfId="18056" xr:uid="{00000000-0005-0000-0000-000086460000}"/>
    <cellStyle name="Normal 27 3 3 5" xfId="18057" xr:uid="{00000000-0005-0000-0000-000087460000}"/>
    <cellStyle name="Normal 27 3 3 5 2" xfId="18058" xr:uid="{00000000-0005-0000-0000-000088460000}"/>
    <cellStyle name="Normal 27 3 3 6" xfId="18059" xr:uid="{00000000-0005-0000-0000-000089460000}"/>
    <cellStyle name="Normal 27 3 4" xfId="18060" xr:uid="{00000000-0005-0000-0000-00008A460000}"/>
    <cellStyle name="Normal 27 3 4 2" xfId="18061" xr:uid="{00000000-0005-0000-0000-00008B460000}"/>
    <cellStyle name="Normal 27 3 4 2 2" xfId="18062" xr:uid="{00000000-0005-0000-0000-00008C460000}"/>
    <cellStyle name="Normal 27 3 4 3" xfId="18063" xr:uid="{00000000-0005-0000-0000-00008D460000}"/>
    <cellStyle name="Normal 27 3 5" xfId="18064" xr:uid="{00000000-0005-0000-0000-00008E460000}"/>
    <cellStyle name="Normal 27 3 5 2" xfId="18065" xr:uid="{00000000-0005-0000-0000-00008F460000}"/>
    <cellStyle name="Normal 27 3 6" xfId="18066" xr:uid="{00000000-0005-0000-0000-000090460000}"/>
    <cellStyle name="Normal 27 3 6 2" xfId="18067" xr:uid="{00000000-0005-0000-0000-000091460000}"/>
    <cellStyle name="Normal 27 3 7" xfId="18068" xr:uid="{00000000-0005-0000-0000-000092460000}"/>
    <cellStyle name="Normal 27 3 7 2" xfId="18069" xr:uid="{00000000-0005-0000-0000-000093460000}"/>
    <cellStyle name="Normal 27 3 8" xfId="18070" xr:uid="{00000000-0005-0000-0000-000094460000}"/>
    <cellStyle name="Normal 27 4" xfId="18071" xr:uid="{00000000-0005-0000-0000-000095460000}"/>
    <cellStyle name="Normal 27 4 2" xfId="18072" xr:uid="{00000000-0005-0000-0000-000096460000}"/>
    <cellStyle name="Normal 27 4 2 2" xfId="18073" xr:uid="{00000000-0005-0000-0000-000097460000}"/>
    <cellStyle name="Normal 27 4 2 2 2" xfId="18074" xr:uid="{00000000-0005-0000-0000-000098460000}"/>
    <cellStyle name="Normal 27 4 2 2 2 2" xfId="18075" xr:uid="{00000000-0005-0000-0000-000099460000}"/>
    <cellStyle name="Normal 27 4 2 2 3" xfId="18076" xr:uid="{00000000-0005-0000-0000-00009A460000}"/>
    <cellStyle name="Normal 27 4 2 2 3 2" xfId="18077" xr:uid="{00000000-0005-0000-0000-00009B460000}"/>
    <cellStyle name="Normal 27 4 2 2 4" xfId="18078" xr:uid="{00000000-0005-0000-0000-00009C460000}"/>
    <cellStyle name="Normal 27 4 2 3" xfId="18079" xr:uid="{00000000-0005-0000-0000-00009D460000}"/>
    <cellStyle name="Normal 27 4 2 3 2" xfId="18080" xr:uid="{00000000-0005-0000-0000-00009E460000}"/>
    <cellStyle name="Normal 27 4 2 4" xfId="18081" xr:uid="{00000000-0005-0000-0000-00009F460000}"/>
    <cellStyle name="Normal 27 4 2 4 2" xfId="18082" xr:uid="{00000000-0005-0000-0000-0000A0460000}"/>
    <cellStyle name="Normal 27 4 2 5" xfId="18083" xr:uid="{00000000-0005-0000-0000-0000A1460000}"/>
    <cellStyle name="Normal 27 4 2 5 2" xfId="18084" xr:uid="{00000000-0005-0000-0000-0000A2460000}"/>
    <cellStyle name="Normal 27 4 2 6" xfId="18085" xr:uid="{00000000-0005-0000-0000-0000A3460000}"/>
    <cellStyle name="Normal 27 4 2 6 2" xfId="18086" xr:uid="{00000000-0005-0000-0000-0000A4460000}"/>
    <cellStyle name="Normal 27 4 2 7" xfId="18087" xr:uid="{00000000-0005-0000-0000-0000A5460000}"/>
    <cellStyle name="Normal 27 4 3" xfId="18088" xr:uid="{00000000-0005-0000-0000-0000A6460000}"/>
    <cellStyle name="Normal 27 4 3 2" xfId="18089" xr:uid="{00000000-0005-0000-0000-0000A7460000}"/>
    <cellStyle name="Normal 27 4 3 2 2" xfId="18090" xr:uid="{00000000-0005-0000-0000-0000A8460000}"/>
    <cellStyle name="Normal 27 4 3 3" xfId="18091" xr:uid="{00000000-0005-0000-0000-0000A9460000}"/>
    <cellStyle name="Normal 27 4 3 3 2" xfId="18092" xr:uid="{00000000-0005-0000-0000-0000AA460000}"/>
    <cellStyle name="Normal 27 4 3 4" xfId="18093" xr:uid="{00000000-0005-0000-0000-0000AB460000}"/>
    <cellStyle name="Normal 27 4 3 4 2" xfId="18094" xr:uid="{00000000-0005-0000-0000-0000AC460000}"/>
    <cellStyle name="Normal 27 4 3 5" xfId="18095" xr:uid="{00000000-0005-0000-0000-0000AD460000}"/>
    <cellStyle name="Normal 27 4 3 5 2" xfId="18096" xr:uid="{00000000-0005-0000-0000-0000AE460000}"/>
    <cellStyle name="Normal 27 4 3 6" xfId="18097" xr:uid="{00000000-0005-0000-0000-0000AF460000}"/>
    <cellStyle name="Normal 27 4 4" xfId="18098" xr:uid="{00000000-0005-0000-0000-0000B0460000}"/>
    <cellStyle name="Normal 27 4 4 2" xfId="18099" xr:uid="{00000000-0005-0000-0000-0000B1460000}"/>
    <cellStyle name="Normal 27 4 4 2 2" xfId="18100" xr:uid="{00000000-0005-0000-0000-0000B2460000}"/>
    <cellStyle name="Normal 27 4 4 3" xfId="18101" xr:uid="{00000000-0005-0000-0000-0000B3460000}"/>
    <cellStyle name="Normal 27 4 5" xfId="18102" xr:uid="{00000000-0005-0000-0000-0000B4460000}"/>
    <cellStyle name="Normal 27 4 5 2" xfId="18103" xr:uid="{00000000-0005-0000-0000-0000B5460000}"/>
    <cellStyle name="Normal 27 4 6" xfId="18104" xr:uid="{00000000-0005-0000-0000-0000B6460000}"/>
    <cellStyle name="Normal 27 4 6 2" xfId="18105" xr:uid="{00000000-0005-0000-0000-0000B7460000}"/>
    <cellStyle name="Normal 27 4 7" xfId="18106" xr:uid="{00000000-0005-0000-0000-0000B8460000}"/>
    <cellStyle name="Normal 27 4 7 2" xfId="18107" xr:uid="{00000000-0005-0000-0000-0000B9460000}"/>
    <cellStyle name="Normal 27 4 8" xfId="18108" xr:uid="{00000000-0005-0000-0000-0000BA460000}"/>
    <cellStyle name="Normal 27 5" xfId="18109" xr:uid="{00000000-0005-0000-0000-0000BB460000}"/>
    <cellStyle name="Normal 27 5 2" xfId="18110" xr:uid="{00000000-0005-0000-0000-0000BC460000}"/>
    <cellStyle name="Normal 27 5 2 2" xfId="18111" xr:uid="{00000000-0005-0000-0000-0000BD460000}"/>
    <cellStyle name="Normal 27 5 2 2 2" xfId="18112" xr:uid="{00000000-0005-0000-0000-0000BE460000}"/>
    <cellStyle name="Normal 27 5 2 3" xfId="18113" xr:uid="{00000000-0005-0000-0000-0000BF460000}"/>
    <cellStyle name="Normal 27 5 2 3 2" xfId="18114" xr:uid="{00000000-0005-0000-0000-0000C0460000}"/>
    <cellStyle name="Normal 27 5 2 4" xfId="18115" xr:uid="{00000000-0005-0000-0000-0000C1460000}"/>
    <cellStyle name="Normal 27 5 3" xfId="18116" xr:uid="{00000000-0005-0000-0000-0000C2460000}"/>
    <cellStyle name="Normal 27 5 3 2" xfId="18117" xr:uid="{00000000-0005-0000-0000-0000C3460000}"/>
    <cellStyle name="Normal 27 5 4" xfId="18118" xr:uid="{00000000-0005-0000-0000-0000C4460000}"/>
    <cellStyle name="Normal 27 5 4 2" xfId="18119" xr:uid="{00000000-0005-0000-0000-0000C5460000}"/>
    <cellStyle name="Normal 27 5 5" xfId="18120" xr:uid="{00000000-0005-0000-0000-0000C6460000}"/>
    <cellStyle name="Normal 27 5 5 2" xfId="18121" xr:uid="{00000000-0005-0000-0000-0000C7460000}"/>
    <cellStyle name="Normal 27 5 6" xfId="18122" xr:uid="{00000000-0005-0000-0000-0000C8460000}"/>
    <cellStyle name="Normal 27 5 6 2" xfId="18123" xr:uid="{00000000-0005-0000-0000-0000C9460000}"/>
    <cellStyle name="Normal 27 5 7" xfId="18124" xr:uid="{00000000-0005-0000-0000-0000CA460000}"/>
    <cellStyle name="Normal 27 6" xfId="18125" xr:uid="{00000000-0005-0000-0000-0000CB460000}"/>
    <cellStyle name="Normal 27 6 2" xfId="18126" xr:uid="{00000000-0005-0000-0000-0000CC460000}"/>
    <cellStyle name="Normal 27 6 2 2" xfId="18127" xr:uid="{00000000-0005-0000-0000-0000CD460000}"/>
    <cellStyle name="Normal 27 6 3" xfId="18128" xr:uid="{00000000-0005-0000-0000-0000CE460000}"/>
    <cellStyle name="Normal 27 6 3 2" xfId="18129" xr:uid="{00000000-0005-0000-0000-0000CF460000}"/>
    <cellStyle name="Normal 27 6 4" xfId="18130" xr:uid="{00000000-0005-0000-0000-0000D0460000}"/>
    <cellStyle name="Normal 27 6 4 2" xfId="18131" xr:uid="{00000000-0005-0000-0000-0000D1460000}"/>
    <cellStyle name="Normal 27 6 5" xfId="18132" xr:uid="{00000000-0005-0000-0000-0000D2460000}"/>
    <cellStyle name="Normal 27 6 5 2" xfId="18133" xr:uid="{00000000-0005-0000-0000-0000D3460000}"/>
    <cellStyle name="Normal 27 6 6" xfId="18134" xr:uid="{00000000-0005-0000-0000-0000D4460000}"/>
    <cellStyle name="Normal 27 7" xfId="18135" xr:uid="{00000000-0005-0000-0000-0000D5460000}"/>
    <cellStyle name="Normal 27 7 2" xfId="18136" xr:uid="{00000000-0005-0000-0000-0000D6460000}"/>
    <cellStyle name="Normal 27 7 2 2" xfId="18137" xr:uid="{00000000-0005-0000-0000-0000D7460000}"/>
    <cellStyle name="Normal 27 7 3" xfId="18138" xr:uid="{00000000-0005-0000-0000-0000D8460000}"/>
    <cellStyle name="Normal 27 8" xfId="18139" xr:uid="{00000000-0005-0000-0000-0000D9460000}"/>
    <cellStyle name="Normal 27 8 2" xfId="18140" xr:uid="{00000000-0005-0000-0000-0000DA460000}"/>
    <cellStyle name="Normal 27 9" xfId="18141" xr:uid="{00000000-0005-0000-0000-0000DB460000}"/>
    <cellStyle name="Normal 27 9 2" xfId="18142" xr:uid="{00000000-0005-0000-0000-0000DC460000}"/>
    <cellStyle name="Normal 28" xfId="18143" xr:uid="{00000000-0005-0000-0000-0000DD460000}"/>
    <cellStyle name="Normal 28 10" xfId="18144" xr:uid="{00000000-0005-0000-0000-0000DE460000}"/>
    <cellStyle name="Normal 28 10 2" xfId="18145" xr:uid="{00000000-0005-0000-0000-0000DF460000}"/>
    <cellStyle name="Normal 28 11" xfId="18146" xr:uid="{00000000-0005-0000-0000-0000E0460000}"/>
    <cellStyle name="Normal 28 2" xfId="18147" xr:uid="{00000000-0005-0000-0000-0000E1460000}"/>
    <cellStyle name="Normal 28 2 10" xfId="18148" xr:uid="{00000000-0005-0000-0000-0000E2460000}"/>
    <cellStyle name="Normal 28 2 2" xfId="18149" xr:uid="{00000000-0005-0000-0000-0000E3460000}"/>
    <cellStyle name="Normal 28 2 2 2" xfId="18150" xr:uid="{00000000-0005-0000-0000-0000E4460000}"/>
    <cellStyle name="Normal 28 2 2 2 2" xfId="18151" xr:uid="{00000000-0005-0000-0000-0000E5460000}"/>
    <cellStyle name="Normal 28 2 2 2 2 2" xfId="18152" xr:uid="{00000000-0005-0000-0000-0000E6460000}"/>
    <cellStyle name="Normal 28 2 2 2 2 2 2" xfId="18153" xr:uid="{00000000-0005-0000-0000-0000E7460000}"/>
    <cellStyle name="Normal 28 2 2 2 2 3" xfId="18154" xr:uid="{00000000-0005-0000-0000-0000E8460000}"/>
    <cellStyle name="Normal 28 2 2 2 2 3 2" xfId="18155" xr:uid="{00000000-0005-0000-0000-0000E9460000}"/>
    <cellStyle name="Normal 28 2 2 2 2 4" xfId="18156" xr:uid="{00000000-0005-0000-0000-0000EA460000}"/>
    <cellStyle name="Normal 28 2 2 2 3" xfId="18157" xr:uid="{00000000-0005-0000-0000-0000EB460000}"/>
    <cellStyle name="Normal 28 2 2 2 3 2" xfId="18158" xr:uid="{00000000-0005-0000-0000-0000EC460000}"/>
    <cellStyle name="Normal 28 2 2 2 4" xfId="18159" xr:uid="{00000000-0005-0000-0000-0000ED460000}"/>
    <cellStyle name="Normal 28 2 2 2 4 2" xfId="18160" xr:uid="{00000000-0005-0000-0000-0000EE460000}"/>
    <cellStyle name="Normal 28 2 2 2 5" xfId="18161" xr:uid="{00000000-0005-0000-0000-0000EF460000}"/>
    <cellStyle name="Normal 28 2 2 2 5 2" xfId="18162" xr:uid="{00000000-0005-0000-0000-0000F0460000}"/>
    <cellStyle name="Normal 28 2 2 2 6" xfId="18163" xr:uid="{00000000-0005-0000-0000-0000F1460000}"/>
    <cellStyle name="Normal 28 2 2 2 6 2" xfId="18164" xr:uid="{00000000-0005-0000-0000-0000F2460000}"/>
    <cellStyle name="Normal 28 2 2 2 7" xfId="18165" xr:uid="{00000000-0005-0000-0000-0000F3460000}"/>
    <cellStyle name="Normal 28 2 2 3" xfId="18166" xr:uid="{00000000-0005-0000-0000-0000F4460000}"/>
    <cellStyle name="Normal 28 2 2 3 2" xfId="18167" xr:uid="{00000000-0005-0000-0000-0000F5460000}"/>
    <cellStyle name="Normal 28 2 2 3 2 2" xfId="18168" xr:uid="{00000000-0005-0000-0000-0000F6460000}"/>
    <cellStyle name="Normal 28 2 2 3 3" xfId="18169" xr:uid="{00000000-0005-0000-0000-0000F7460000}"/>
    <cellStyle name="Normal 28 2 2 3 3 2" xfId="18170" xr:uid="{00000000-0005-0000-0000-0000F8460000}"/>
    <cellStyle name="Normal 28 2 2 3 4" xfId="18171" xr:uid="{00000000-0005-0000-0000-0000F9460000}"/>
    <cellStyle name="Normal 28 2 2 3 4 2" xfId="18172" xr:uid="{00000000-0005-0000-0000-0000FA460000}"/>
    <cellStyle name="Normal 28 2 2 3 5" xfId="18173" xr:uid="{00000000-0005-0000-0000-0000FB460000}"/>
    <cellStyle name="Normal 28 2 2 3 5 2" xfId="18174" xr:uid="{00000000-0005-0000-0000-0000FC460000}"/>
    <cellStyle name="Normal 28 2 2 3 6" xfId="18175" xr:uid="{00000000-0005-0000-0000-0000FD460000}"/>
    <cellStyle name="Normal 28 2 2 4" xfId="18176" xr:uid="{00000000-0005-0000-0000-0000FE460000}"/>
    <cellStyle name="Normal 28 2 2 4 2" xfId="18177" xr:uid="{00000000-0005-0000-0000-0000FF460000}"/>
    <cellStyle name="Normal 28 2 2 4 2 2" xfId="18178" xr:uid="{00000000-0005-0000-0000-000000470000}"/>
    <cellStyle name="Normal 28 2 2 4 3" xfId="18179" xr:uid="{00000000-0005-0000-0000-000001470000}"/>
    <cellStyle name="Normal 28 2 2 5" xfId="18180" xr:uid="{00000000-0005-0000-0000-000002470000}"/>
    <cellStyle name="Normal 28 2 2 5 2" xfId="18181" xr:uid="{00000000-0005-0000-0000-000003470000}"/>
    <cellStyle name="Normal 28 2 2 6" xfId="18182" xr:uid="{00000000-0005-0000-0000-000004470000}"/>
    <cellStyle name="Normal 28 2 2 6 2" xfId="18183" xr:uid="{00000000-0005-0000-0000-000005470000}"/>
    <cellStyle name="Normal 28 2 2 7" xfId="18184" xr:uid="{00000000-0005-0000-0000-000006470000}"/>
    <cellStyle name="Normal 28 2 2 7 2" xfId="18185" xr:uid="{00000000-0005-0000-0000-000007470000}"/>
    <cellStyle name="Normal 28 2 2 8" xfId="18186" xr:uid="{00000000-0005-0000-0000-000008470000}"/>
    <cellStyle name="Normal 28 2 3" xfId="18187" xr:uid="{00000000-0005-0000-0000-000009470000}"/>
    <cellStyle name="Normal 28 2 3 2" xfId="18188" xr:uid="{00000000-0005-0000-0000-00000A470000}"/>
    <cellStyle name="Normal 28 2 3 2 2" xfId="18189" xr:uid="{00000000-0005-0000-0000-00000B470000}"/>
    <cellStyle name="Normal 28 2 3 2 2 2" xfId="18190" xr:uid="{00000000-0005-0000-0000-00000C470000}"/>
    <cellStyle name="Normal 28 2 3 2 2 2 2" xfId="18191" xr:uid="{00000000-0005-0000-0000-00000D470000}"/>
    <cellStyle name="Normal 28 2 3 2 2 3" xfId="18192" xr:uid="{00000000-0005-0000-0000-00000E470000}"/>
    <cellStyle name="Normal 28 2 3 2 2 3 2" xfId="18193" xr:uid="{00000000-0005-0000-0000-00000F470000}"/>
    <cellStyle name="Normal 28 2 3 2 2 4" xfId="18194" xr:uid="{00000000-0005-0000-0000-000010470000}"/>
    <cellStyle name="Normal 28 2 3 2 3" xfId="18195" xr:uid="{00000000-0005-0000-0000-000011470000}"/>
    <cellStyle name="Normal 28 2 3 2 3 2" xfId="18196" xr:uid="{00000000-0005-0000-0000-000012470000}"/>
    <cellStyle name="Normal 28 2 3 2 4" xfId="18197" xr:uid="{00000000-0005-0000-0000-000013470000}"/>
    <cellStyle name="Normal 28 2 3 2 4 2" xfId="18198" xr:uid="{00000000-0005-0000-0000-000014470000}"/>
    <cellStyle name="Normal 28 2 3 2 5" xfId="18199" xr:uid="{00000000-0005-0000-0000-000015470000}"/>
    <cellStyle name="Normal 28 2 3 2 5 2" xfId="18200" xr:uid="{00000000-0005-0000-0000-000016470000}"/>
    <cellStyle name="Normal 28 2 3 2 6" xfId="18201" xr:uid="{00000000-0005-0000-0000-000017470000}"/>
    <cellStyle name="Normal 28 2 3 2 6 2" xfId="18202" xr:uid="{00000000-0005-0000-0000-000018470000}"/>
    <cellStyle name="Normal 28 2 3 2 7" xfId="18203" xr:uid="{00000000-0005-0000-0000-000019470000}"/>
    <cellStyle name="Normal 28 2 3 3" xfId="18204" xr:uid="{00000000-0005-0000-0000-00001A470000}"/>
    <cellStyle name="Normal 28 2 3 3 2" xfId="18205" xr:uid="{00000000-0005-0000-0000-00001B470000}"/>
    <cellStyle name="Normal 28 2 3 3 2 2" xfId="18206" xr:uid="{00000000-0005-0000-0000-00001C470000}"/>
    <cellStyle name="Normal 28 2 3 3 3" xfId="18207" xr:uid="{00000000-0005-0000-0000-00001D470000}"/>
    <cellStyle name="Normal 28 2 3 3 3 2" xfId="18208" xr:uid="{00000000-0005-0000-0000-00001E470000}"/>
    <cellStyle name="Normal 28 2 3 3 4" xfId="18209" xr:uid="{00000000-0005-0000-0000-00001F470000}"/>
    <cellStyle name="Normal 28 2 3 3 4 2" xfId="18210" xr:uid="{00000000-0005-0000-0000-000020470000}"/>
    <cellStyle name="Normal 28 2 3 3 5" xfId="18211" xr:uid="{00000000-0005-0000-0000-000021470000}"/>
    <cellStyle name="Normal 28 2 3 3 5 2" xfId="18212" xr:uid="{00000000-0005-0000-0000-000022470000}"/>
    <cellStyle name="Normal 28 2 3 3 6" xfId="18213" xr:uid="{00000000-0005-0000-0000-000023470000}"/>
    <cellStyle name="Normal 28 2 3 4" xfId="18214" xr:uid="{00000000-0005-0000-0000-000024470000}"/>
    <cellStyle name="Normal 28 2 3 4 2" xfId="18215" xr:uid="{00000000-0005-0000-0000-000025470000}"/>
    <cellStyle name="Normal 28 2 3 4 2 2" xfId="18216" xr:uid="{00000000-0005-0000-0000-000026470000}"/>
    <cellStyle name="Normal 28 2 3 4 3" xfId="18217" xr:uid="{00000000-0005-0000-0000-000027470000}"/>
    <cellStyle name="Normal 28 2 3 5" xfId="18218" xr:uid="{00000000-0005-0000-0000-000028470000}"/>
    <cellStyle name="Normal 28 2 3 5 2" xfId="18219" xr:uid="{00000000-0005-0000-0000-000029470000}"/>
    <cellStyle name="Normal 28 2 3 6" xfId="18220" xr:uid="{00000000-0005-0000-0000-00002A470000}"/>
    <cellStyle name="Normal 28 2 3 6 2" xfId="18221" xr:uid="{00000000-0005-0000-0000-00002B470000}"/>
    <cellStyle name="Normal 28 2 3 7" xfId="18222" xr:uid="{00000000-0005-0000-0000-00002C470000}"/>
    <cellStyle name="Normal 28 2 3 7 2" xfId="18223" xr:uid="{00000000-0005-0000-0000-00002D470000}"/>
    <cellStyle name="Normal 28 2 3 8" xfId="18224" xr:uid="{00000000-0005-0000-0000-00002E470000}"/>
    <cellStyle name="Normal 28 2 4" xfId="18225" xr:uid="{00000000-0005-0000-0000-00002F470000}"/>
    <cellStyle name="Normal 28 2 4 2" xfId="18226" xr:uid="{00000000-0005-0000-0000-000030470000}"/>
    <cellStyle name="Normal 28 2 4 2 2" xfId="18227" xr:uid="{00000000-0005-0000-0000-000031470000}"/>
    <cellStyle name="Normal 28 2 4 2 2 2" xfId="18228" xr:uid="{00000000-0005-0000-0000-000032470000}"/>
    <cellStyle name="Normal 28 2 4 2 3" xfId="18229" xr:uid="{00000000-0005-0000-0000-000033470000}"/>
    <cellStyle name="Normal 28 2 4 2 3 2" xfId="18230" xr:uid="{00000000-0005-0000-0000-000034470000}"/>
    <cellStyle name="Normal 28 2 4 2 4" xfId="18231" xr:uid="{00000000-0005-0000-0000-000035470000}"/>
    <cellStyle name="Normal 28 2 4 3" xfId="18232" xr:uid="{00000000-0005-0000-0000-000036470000}"/>
    <cellStyle name="Normal 28 2 4 3 2" xfId="18233" xr:uid="{00000000-0005-0000-0000-000037470000}"/>
    <cellStyle name="Normal 28 2 4 4" xfId="18234" xr:uid="{00000000-0005-0000-0000-000038470000}"/>
    <cellStyle name="Normal 28 2 4 4 2" xfId="18235" xr:uid="{00000000-0005-0000-0000-000039470000}"/>
    <cellStyle name="Normal 28 2 4 5" xfId="18236" xr:uid="{00000000-0005-0000-0000-00003A470000}"/>
    <cellStyle name="Normal 28 2 4 5 2" xfId="18237" xr:uid="{00000000-0005-0000-0000-00003B470000}"/>
    <cellStyle name="Normal 28 2 4 6" xfId="18238" xr:uid="{00000000-0005-0000-0000-00003C470000}"/>
    <cellStyle name="Normal 28 2 4 6 2" xfId="18239" xr:uid="{00000000-0005-0000-0000-00003D470000}"/>
    <cellStyle name="Normal 28 2 4 7" xfId="18240" xr:uid="{00000000-0005-0000-0000-00003E470000}"/>
    <cellStyle name="Normal 28 2 5" xfId="18241" xr:uid="{00000000-0005-0000-0000-00003F470000}"/>
    <cellStyle name="Normal 28 2 5 2" xfId="18242" xr:uid="{00000000-0005-0000-0000-000040470000}"/>
    <cellStyle name="Normal 28 2 5 2 2" xfId="18243" xr:uid="{00000000-0005-0000-0000-000041470000}"/>
    <cellStyle name="Normal 28 2 5 3" xfId="18244" xr:uid="{00000000-0005-0000-0000-000042470000}"/>
    <cellStyle name="Normal 28 2 5 3 2" xfId="18245" xr:uid="{00000000-0005-0000-0000-000043470000}"/>
    <cellStyle name="Normal 28 2 5 4" xfId="18246" xr:uid="{00000000-0005-0000-0000-000044470000}"/>
    <cellStyle name="Normal 28 2 5 4 2" xfId="18247" xr:uid="{00000000-0005-0000-0000-000045470000}"/>
    <cellStyle name="Normal 28 2 5 5" xfId="18248" xr:uid="{00000000-0005-0000-0000-000046470000}"/>
    <cellStyle name="Normal 28 2 5 5 2" xfId="18249" xr:uid="{00000000-0005-0000-0000-000047470000}"/>
    <cellStyle name="Normal 28 2 5 6" xfId="18250" xr:uid="{00000000-0005-0000-0000-000048470000}"/>
    <cellStyle name="Normal 28 2 6" xfId="18251" xr:uid="{00000000-0005-0000-0000-000049470000}"/>
    <cellStyle name="Normal 28 2 6 2" xfId="18252" xr:uid="{00000000-0005-0000-0000-00004A470000}"/>
    <cellStyle name="Normal 28 2 6 2 2" xfId="18253" xr:uid="{00000000-0005-0000-0000-00004B470000}"/>
    <cellStyle name="Normal 28 2 6 3" xfId="18254" xr:uid="{00000000-0005-0000-0000-00004C470000}"/>
    <cellStyle name="Normal 28 2 7" xfId="18255" xr:uid="{00000000-0005-0000-0000-00004D470000}"/>
    <cellStyle name="Normal 28 2 7 2" xfId="18256" xr:uid="{00000000-0005-0000-0000-00004E470000}"/>
    <cellStyle name="Normal 28 2 8" xfId="18257" xr:uid="{00000000-0005-0000-0000-00004F470000}"/>
    <cellStyle name="Normal 28 2 8 2" xfId="18258" xr:uid="{00000000-0005-0000-0000-000050470000}"/>
    <cellStyle name="Normal 28 2 9" xfId="18259" xr:uid="{00000000-0005-0000-0000-000051470000}"/>
    <cellStyle name="Normal 28 2 9 2" xfId="18260" xr:uid="{00000000-0005-0000-0000-000052470000}"/>
    <cellStyle name="Normal 28 3" xfId="18261" xr:uid="{00000000-0005-0000-0000-000053470000}"/>
    <cellStyle name="Normal 28 3 2" xfId="18262" xr:uid="{00000000-0005-0000-0000-000054470000}"/>
    <cellStyle name="Normal 28 3 2 2" xfId="18263" xr:uid="{00000000-0005-0000-0000-000055470000}"/>
    <cellStyle name="Normal 28 3 2 2 2" xfId="18264" xr:uid="{00000000-0005-0000-0000-000056470000}"/>
    <cellStyle name="Normal 28 3 2 2 2 2" xfId="18265" xr:uid="{00000000-0005-0000-0000-000057470000}"/>
    <cellStyle name="Normal 28 3 2 2 3" xfId="18266" xr:uid="{00000000-0005-0000-0000-000058470000}"/>
    <cellStyle name="Normal 28 3 2 2 3 2" xfId="18267" xr:uid="{00000000-0005-0000-0000-000059470000}"/>
    <cellStyle name="Normal 28 3 2 2 4" xfId="18268" xr:uid="{00000000-0005-0000-0000-00005A470000}"/>
    <cellStyle name="Normal 28 3 2 3" xfId="18269" xr:uid="{00000000-0005-0000-0000-00005B470000}"/>
    <cellStyle name="Normal 28 3 2 3 2" xfId="18270" xr:uid="{00000000-0005-0000-0000-00005C470000}"/>
    <cellStyle name="Normal 28 3 2 4" xfId="18271" xr:uid="{00000000-0005-0000-0000-00005D470000}"/>
    <cellStyle name="Normal 28 3 2 4 2" xfId="18272" xr:uid="{00000000-0005-0000-0000-00005E470000}"/>
    <cellStyle name="Normal 28 3 2 5" xfId="18273" xr:uid="{00000000-0005-0000-0000-00005F470000}"/>
    <cellStyle name="Normal 28 3 2 5 2" xfId="18274" xr:uid="{00000000-0005-0000-0000-000060470000}"/>
    <cellStyle name="Normal 28 3 2 6" xfId="18275" xr:uid="{00000000-0005-0000-0000-000061470000}"/>
    <cellStyle name="Normal 28 3 2 6 2" xfId="18276" xr:uid="{00000000-0005-0000-0000-000062470000}"/>
    <cellStyle name="Normal 28 3 2 7" xfId="18277" xr:uid="{00000000-0005-0000-0000-000063470000}"/>
    <cellStyle name="Normal 28 3 3" xfId="18278" xr:uid="{00000000-0005-0000-0000-000064470000}"/>
    <cellStyle name="Normal 28 3 3 2" xfId="18279" xr:uid="{00000000-0005-0000-0000-000065470000}"/>
    <cellStyle name="Normal 28 3 3 2 2" xfId="18280" xr:uid="{00000000-0005-0000-0000-000066470000}"/>
    <cellStyle name="Normal 28 3 3 3" xfId="18281" xr:uid="{00000000-0005-0000-0000-000067470000}"/>
    <cellStyle name="Normal 28 3 3 3 2" xfId="18282" xr:uid="{00000000-0005-0000-0000-000068470000}"/>
    <cellStyle name="Normal 28 3 3 4" xfId="18283" xr:uid="{00000000-0005-0000-0000-000069470000}"/>
    <cellStyle name="Normal 28 3 3 4 2" xfId="18284" xr:uid="{00000000-0005-0000-0000-00006A470000}"/>
    <cellStyle name="Normal 28 3 3 5" xfId="18285" xr:uid="{00000000-0005-0000-0000-00006B470000}"/>
    <cellStyle name="Normal 28 3 3 5 2" xfId="18286" xr:uid="{00000000-0005-0000-0000-00006C470000}"/>
    <cellStyle name="Normal 28 3 3 6" xfId="18287" xr:uid="{00000000-0005-0000-0000-00006D470000}"/>
    <cellStyle name="Normal 28 3 4" xfId="18288" xr:uid="{00000000-0005-0000-0000-00006E470000}"/>
    <cellStyle name="Normal 28 3 4 2" xfId="18289" xr:uid="{00000000-0005-0000-0000-00006F470000}"/>
    <cellStyle name="Normal 28 3 4 2 2" xfId="18290" xr:uid="{00000000-0005-0000-0000-000070470000}"/>
    <cellStyle name="Normal 28 3 4 3" xfId="18291" xr:uid="{00000000-0005-0000-0000-000071470000}"/>
    <cellStyle name="Normal 28 3 5" xfId="18292" xr:uid="{00000000-0005-0000-0000-000072470000}"/>
    <cellStyle name="Normal 28 3 5 2" xfId="18293" xr:uid="{00000000-0005-0000-0000-000073470000}"/>
    <cellStyle name="Normal 28 3 6" xfId="18294" xr:uid="{00000000-0005-0000-0000-000074470000}"/>
    <cellStyle name="Normal 28 3 6 2" xfId="18295" xr:uid="{00000000-0005-0000-0000-000075470000}"/>
    <cellStyle name="Normal 28 3 7" xfId="18296" xr:uid="{00000000-0005-0000-0000-000076470000}"/>
    <cellStyle name="Normal 28 3 7 2" xfId="18297" xr:uid="{00000000-0005-0000-0000-000077470000}"/>
    <cellStyle name="Normal 28 3 8" xfId="18298" xr:uid="{00000000-0005-0000-0000-000078470000}"/>
    <cellStyle name="Normal 28 4" xfId="18299" xr:uid="{00000000-0005-0000-0000-000079470000}"/>
    <cellStyle name="Normal 28 4 2" xfId="18300" xr:uid="{00000000-0005-0000-0000-00007A470000}"/>
    <cellStyle name="Normal 28 4 2 2" xfId="18301" xr:uid="{00000000-0005-0000-0000-00007B470000}"/>
    <cellStyle name="Normal 28 4 2 2 2" xfId="18302" xr:uid="{00000000-0005-0000-0000-00007C470000}"/>
    <cellStyle name="Normal 28 4 2 2 2 2" xfId="18303" xr:uid="{00000000-0005-0000-0000-00007D470000}"/>
    <cellStyle name="Normal 28 4 2 2 3" xfId="18304" xr:uid="{00000000-0005-0000-0000-00007E470000}"/>
    <cellStyle name="Normal 28 4 2 2 3 2" xfId="18305" xr:uid="{00000000-0005-0000-0000-00007F470000}"/>
    <cellStyle name="Normal 28 4 2 2 4" xfId="18306" xr:uid="{00000000-0005-0000-0000-000080470000}"/>
    <cellStyle name="Normal 28 4 2 3" xfId="18307" xr:uid="{00000000-0005-0000-0000-000081470000}"/>
    <cellStyle name="Normal 28 4 2 3 2" xfId="18308" xr:uid="{00000000-0005-0000-0000-000082470000}"/>
    <cellStyle name="Normal 28 4 2 4" xfId="18309" xr:uid="{00000000-0005-0000-0000-000083470000}"/>
    <cellStyle name="Normal 28 4 2 4 2" xfId="18310" xr:uid="{00000000-0005-0000-0000-000084470000}"/>
    <cellStyle name="Normal 28 4 2 5" xfId="18311" xr:uid="{00000000-0005-0000-0000-000085470000}"/>
    <cellStyle name="Normal 28 4 2 5 2" xfId="18312" xr:uid="{00000000-0005-0000-0000-000086470000}"/>
    <cellStyle name="Normal 28 4 2 6" xfId="18313" xr:uid="{00000000-0005-0000-0000-000087470000}"/>
    <cellStyle name="Normal 28 4 2 6 2" xfId="18314" xr:uid="{00000000-0005-0000-0000-000088470000}"/>
    <cellStyle name="Normal 28 4 2 7" xfId="18315" xr:uid="{00000000-0005-0000-0000-000089470000}"/>
    <cellStyle name="Normal 28 4 3" xfId="18316" xr:uid="{00000000-0005-0000-0000-00008A470000}"/>
    <cellStyle name="Normal 28 4 3 2" xfId="18317" xr:uid="{00000000-0005-0000-0000-00008B470000}"/>
    <cellStyle name="Normal 28 4 3 2 2" xfId="18318" xr:uid="{00000000-0005-0000-0000-00008C470000}"/>
    <cellStyle name="Normal 28 4 3 3" xfId="18319" xr:uid="{00000000-0005-0000-0000-00008D470000}"/>
    <cellStyle name="Normal 28 4 3 3 2" xfId="18320" xr:uid="{00000000-0005-0000-0000-00008E470000}"/>
    <cellStyle name="Normal 28 4 3 4" xfId="18321" xr:uid="{00000000-0005-0000-0000-00008F470000}"/>
    <cellStyle name="Normal 28 4 3 4 2" xfId="18322" xr:uid="{00000000-0005-0000-0000-000090470000}"/>
    <cellStyle name="Normal 28 4 3 5" xfId="18323" xr:uid="{00000000-0005-0000-0000-000091470000}"/>
    <cellStyle name="Normal 28 4 3 5 2" xfId="18324" xr:uid="{00000000-0005-0000-0000-000092470000}"/>
    <cellStyle name="Normal 28 4 3 6" xfId="18325" xr:uid="{00000000-0005-0000-0000-000093470000}"/>
    <cellStyle name="Normal 28 4 4" xfId="18326" xr:uid="{00000000-0005-0000-0000-000094470000}"/>
    <cellStyle name="Normal 28 4 4 2" xfId="18327" xr:uid="{00000000-0005-0000-0000-000095470000}"/>
    <cellStyle name="Normal 28 4 4 2 2" xfId="18328" xr:uid="{00000000-0005-0000-0000-000096470000}"/>
    <cellStyle name="Normal 28 4 4 3" xfId="18329" xr:uid="{00000000-0005-0000-0000-000097470000}"/>
    <cellStyle name="Normal 28 4 5" xfId="18330" xr:uid="{00000000-0005-0000-0000-000098470000}"/>
    <cellStyle name="Normal 28 4 5 2" xfId="18331" xr:uid="{00000000-0005-0000-0000-000099470000}"/>
    <cellStyle name="Normal 28 4 6" xfId="18332" xr:uid="{00000000-0005-0000-0000-00009A470000}"/>
    <cellStyle name="Normal 28 4 6 2" xfId="18333" xr:uid="{00000000-0005-0000-0000-00009B470000}"/>
    <cellStyle name="Normal 28 4 7" xfId="18334" xr:uid="{00000000-0005-0000-0000-00009C470000}"/>
    <cellStyle name="Normal 28 4 7 2" xfId="18335" xr:uid="{00000000-0005-0000-0000-00009D470000}"/>
    <cellStyle name="Normal 28 4 8" xfId="18336" xr:uid="{00000000-0005-0000-0000-00009E470000}"/>
    <cellStyle name="Normal 28 5" xfId="18337" xr:uid="{00000000-0005-0000-0000-00009F470000}"/>
    <cellStyle name="Normal 28 5 2" xfId="18338" xr:uid="{00000000-0005-0000-0000-0000A0470000}"/>
    <cellStyle name="Normal 28 5 2 2" xfId="18339" xr:uid="{00000000-0005-0000-0000-0000A1470000}"/>
    <cellStyle name="Normal 28 5 2 2 2" xfId="18340" xr:uid="{00000000-0005-0000-0000-0000A2470000}"/>
    <cellStyle name="Normal 28 5 2 3" xfId="18341" xr:uid="{00000000-0005-0000-0000-0000A3470000}"/>
    <cellStyle name="Normal 28 5 2 3 2" xfId="18342" xr:uid="{00000000-0005-0000-0000-0000A4470000}"/>
    <cellStyle name="Normal 28 5 2 4" xfId="18343" xr:uid="{00000000-0005-0000-0000-0000A5470000}"/>
    <cellStyle name="Normal 28 5 3" xfId="18344" xr:uid="{00000000-0005-0000-0000-0000A6470000}"/>
    <cellStyle name="Normal 28 5 3 2" xfId="18345" xr:uid="{00000000-0005-0000-0000-0000A7470000}"/>
    <cellStyle name="Normal 28 5 4" xfId="18346" xr:uid="{00000000-0005-0000-0000-0000A8470000}"/>
    <cellStyle name="Normal 28 5 4 2" xfId="18347" xr:uid="{00000000-0005-0000-0000-0000A9470000}"/>
    <cellStyle name="Normal 28 5 5" xfId="18348" xr:uid="{00000000-0005-0000-0000-0000AA470000}"/>
    <cellStyle name="Normal 28 5 5 2" xfId="18349" xr:uid="{00000000-0005-0000-0000-0000AB470000}"/>
    <cellStyle name="Normal 28 5 6" xfId="18350" xr:uid="{00000000-0005-0000-0000-0000AC470000}"/>
    <cellStyle name="Normal 28 5 6 2" xfId="18351" xr:uid="{00000000-0005-0000-0000-0000AD470000}"/>
    <cellStyle name="Normal 28 5 7" xfId="18352" xr:uid="{00000000-0005-0000-0000-0000AE470000}"/>
    <cellStyle name="Normal 28 6" xfId="18353" xr:uid="{00000000-0005-0000-0000-0000AF470000}"/>
    <cellStyle name="Normal 28 6 2" xfId="18354" xr:uid="{00000000-0005-0000-0000-0000B0470000}"/>
    <cellStyle name="Normal 28 6 2 2" xfId="18355" xr:uid="{00000000-0005-0000-0000-0000B1470000}"/>
    <cellStyle name="Normal 28 6 3" xfId="18356" xr:uid="{00000000-0005-0000-0000-0000B2470000}"/>
    <cellStyle name="Normal 28 6 3 2" xfId="18357" xr:uid="{00000000-0005-0000-0000-0000B3470000}"/>
    <cellStyle name="Normal 28 6 4" xfId="18358" xr:uid="{00000000-0005-0000-0000-0000B4470000}"/>
    <cellStyle name="Normal 28 6 4 2" xfId="18359" xr:uid="{00000000-0005-0000-0000-0000B5470000}"/>
    <cellStyle name="Normal 28 6 5" xfId="18360" xr:uid="{00000000-0005-0000-0000-0000B6470000}"/>
    <cellStyle name="Normal 28 6 5 2" xfId="18361" xr:uid="{00000000-0005-0000-0000-0000B7470000}"/>
    <cellStyle name="Normal 28 6 6" xfId="18362" xr:uid="{00000000-0005-0000-0000-0000B8470000}"/>
    <cellStyle name="Normal 28 7" xfId="18363" xr:uid="{00000000-0005-0000-0000-0000B9470000}"/>
    <cellStyle name="Normal 28 7 2" xfId="18364" xr:uid="{00000000-0005-0000-0000-0000BA470000}"/>
    <cellStyle name="Normal 28 7 2 2" xfId="18365" xr:uid="{00000000-0005-0000-0000-0000BB470000}"/>
    <cellStyle name="Normal 28 7 3" xfId="18366" xr:uid="{00000000-0005-0000-0000-0000BC470000}"/>
    <cellStyle name="Normal 28 8" xfId="18367" xr:uid="{00000000-0005-0000-0000-0000BD470000}"/>
    <cellStyle name="Normal 28 8 2" xfId="18368" xr:uid="{00000000-0005-0000-0000-0000BE470000}"/>
    <cellStyle name="Normal 28 9" xfId="18369" xr:uid="{00000000-0005-0000-0000-0000BF470000}"/>
    <cellStyle name="Normal 28 9 2" xfId="18370" xr:uid="{00000000-0005-0000-0000-0000C0470000}"/>
    <cellStyle name="Normal 29" xfId="18371" xr:uid="{00000000-0005-0000-0000-0000C1470000}"/>
    <cellStyle name="Normal 3" xfId="18372" xr:uid="{00000000-0005-0000-0000-0000C2470000}"/>
    <cellStyle name="Normal 3 10" xfId="18373" xr:uid="{00000000-0005-0000-0000-0000C3470000}"/>
    <cellStyle name="Normal 3 11" xfId="18374" xr:uid="{00000000-0005-0000-0000-0000C4470000}"/>
    <cellStyle name="Normal 3 12" xfId="18375" xr:uid="{00000000-0005-0000-0000-0000C5470000}"/>
    <cellStyle name="Normal 3 12 2" xfId="18376" xr:uid="{00000000-0005-0000-0000-0000C6470000}"/>
    <cellStyle name="Normal 3 2" xfId="3" xr:uid="{00000000-0005-0000-0000-0000C7470000}"/>
    <cellStyle name="Normal 3 2 2" xfId="18377" xr:uid="{00000000-0005-0000-0000-0000C8470000}"/>
    <cellStyle name="Normal 3 2 2 2" xfId="18378" xr:uid="{00000000-0005-0000-0000-0000C9470000}"/>
    <cellStyle name="Normal 3 2 2 3" xfId="18379" xr:uid="{00000000-0005-0000-0000-0000CA470000}"/>
    <cellStyle name="Normal 3 2 3" xfId="18380" xr:uid="{00000000-0005-0000-0000-0000CB470000}"/>
    <cellStyle name="Normal 3 2 3 2" xfId="18381" xr:uid="{00000000-0005-0000-0000-0000CC470000}"/>
    <cellStyle name="Normal 3 2 4" xfId="18382" xr:uid="{00000000-0005-0000-0000-0000CD470000}"/>
    <cellStyle name="Normal 3 3" xfId="18383" xr:uid="{00000000-0005-0000-0000-0000CE470000}"/>
    <cellStyle name="Normal 3 3 2" xfId="18384" xr:uid="{00000000-0005-0000-0000-0000CF470000}"/>
    <cellStyle name="Normal 3 3 2 2" xfId="18385" xr:uid="{00000000-0005-0000-0000-0000D0470000}"/>
    <cellStyle name="Normal 3 3 3" xfId="18386" xr:uid="{00000000-0005-0000-0000-0000D1470000}"/>
    <cellStyle name="Normal 3 4" xfId="18387" xr:uid="{00000000-0005-0000-0000-0000D2470000}"/>
    <cellStyle name="Normal 3 4 2" xfId="18388" xr:uid="{00000000-0005-0000-0000-0000D3470000}"/>
    <cellStyle name="Normal 3 5" xfId="18389" xr:uid="{00000000-0005-0000-0000-0000D4470000}"/>
    <cellStyle name="Normal 3 5 2" xfId="18390" xr:uid="{00000000-0005-0000-0000-0000D5470000}"/>
    <cellStyle name="Normal 3 6" xfId="18391" xr:uid="{00000000-0005-0000-0000-0000D6470000}"/>
    <cellStyle name="Normal 3 7" xfId="18392" xr:uid="{00000000-0005-0000-0000-0000D7470000}"/>
    <cellStyle name="Normal 3 8" xfId="18393" xr:uid="{00000000-0005-0000-0000-0000D8470000}"/>
    <cellStyle name="Normal 3 9" xfId="18394" xr:uid="{00000000-0005-0000-0000-0000D9470000}"/>
    <cellStyle name="Normal 3_Book21" xfId="18395" xr:uid="{00000000-0005-0000-0000-0000DA470000}"/>
    <cellStyle name="Normal 30" xfId="18396" xr:uid="{00000000-0005-0000-0000-0000DB470000}"/>
    <cellStyle name="Normal 30 10" xfId="18397" xr:uid="{00000000-0005-0000-0000-0000DC470000}"/>
    <cellStyle name="Normal 30 2" xfId="18398" xr:uid="{00000000-0005-0000-0000-0000DD470000}"/>
    <cellStyle name="Normal 30 2 2" xfId="18399" xr:uid="{00000000-0005-0000-0000-0000DE470000}"/>
    <cellStyle name="Normal 30 2 2 2" xfId="18400" xr:uid="{00000000-0005-0000-0000-0000DF470000}"/>
    <cellStyle name="Normal 30 2 2 2 2" xfId="18401" xr:uid="{00000000-0005-0000-0000-0000E0470000}"/>
    <cellStyle name="Normal 30 2 2 2 2 2" xfId="18402" xr:uid="{00000000-0005-0000-0000-0000E1470000}"/>
    <cellStyle name="Normal 30 2 2 2 3" xfId="18403" xr:uid="{00000000-0005-0000-0000-0000E2470000}"/>
    <cellStyle name="Normal 30 2 2 2 3 2" xfId="18404" xr:uid="{00000000-0005-0000-0000-0000E3470000}"/>
    <cellStyle name="Normal 30 2 2 2 4" xfId="18405" xr:uid="{00000000-0005-0000-0000-0000E4470000}"/>
    <cellStyle name="Normal 30 2 2 3" xfId="18406" xr:uid="{00000000-0005-0000-0000-0000E5470000}"/>
    <cellStyle name="Normal 30 2 2 3 2" xfId="18407" xr:uid="{00000000-0005-0000-0000-0000E6470000}"/>
    <cellStyle name="Normal 30 2 2 4" xfId="18408" xr:uid="{00000000-0005-0000-0000-0000E7470000}"/>
    <cellStyle name="Normal 30 2 2 4 2" xfId="18409" xr:uid="{00000000-0005-0000-0000-0000E8470000}"/>
    <cellStyle name="Normal 30 2 2 5" xfId="18410" xr:uid="{00000000-0005-0000-0000-0000E9470000}"/>
    <cellStyle name="Normal 30 2 2 5 2" xfId="18411" xr:uid="{00000000-0005-0000-0000-0000EA470000}"/>
    <cellStyle name="Normal 30 2 2 6" xfId="18412" xr:uid="{00000000-0005-0000-0000-0000EB470000}"/>
    <cellStyle name="Normal 30 2 2 6 2" xfId="18413" xr:uid="{00000000-0005-0000-0000-0000EC470000}"/>
    <cellStyle name="Normal 30 2 2 7" xfId="18414" xr:uid="{00000000-0005-0000-0000-0000ED470000}"/>
    <cellStyle name="Normal 30 2 3" xfId="18415" xr:uid="{00000000-0005-0000-0000-0000EE470000}"/>
    <cellStyle name="Normal 30 2 3 2" xfId="18416" xr:uid="{00000000-0005-0000-0000-0000EF470000}"/>
    <cellStyle name="Normal 30 2 3 2 2" xfId="18417" xr:uid="{00000000-0005-0000-0000-0000F0470000}"/>
    <cellStyle name="Normal 30 2 3 3" xfId="18418" xr:uid="{00000000-0005-0000-0000-0000F1470000}"/>
    <cellStyle name="Normal 30 2 3 3 2" xfId="18419" xr:uid="{00000000-0005-0000-0000-0000F2470000}"/>
    <cellStyle name="Normal 30 2 3 4" xfId="18420" xr:uid="{00000000-0005-0000-0000-0000F3470000}"/>
    <cellStyle name="Normal 30 2 3 4 2" xfId="18421" xr:uid="{00000000-0005-0000-0000-0000F4470000}"/>
    <cellStyle name="Normal 30 2 3 5" xfId="18422" xr:uid="{00000000-0005-0000-0000-0000F5470000}"/>
    <cellStyle name="Normal 30 2 3 5 2" xfId="18423" xr:uid="{00000000-0005-0000-0000-0000F6470000}"/>
    <cellStyle name="Normal 30 2 3 6" xfId="18424" xr:uid="{00000000-0005-0000-0000-0000F7470000}"/>
    <cellStyle name="Normal 30 2 4" xfId="18425" xr:uid="{00000000-0005-0000-0000-0000F8470000}"/>
    <cellStyle name="Normal 30 2 4 2" xfId="18426" xr:uid="{00000000-0005-0000-0000-0000F9470000}"/>
    <cellStyle name="Normal 30 2 4 2 2" xfId="18427" xr:uid="{00000000-0005-0000-0000-0000FA470000}"/>
    <cellStyle name="Normal 30 2 4 3" xfId="18428" xr:uid="{00000000-0005-0000-0000-0000FB470000}"/>
    <cellStyle name="Normal 30 2 5" xfId="18429" xr:uid="{00000000-0005-0000-0000-0000FC470000}"/>
    <cellStyle name="Normal 30 2 5 2" xfId="18430" xr:uid="{00000000-0005-0000-0000-0000FD470000}"/>
    <cellStyle name="Normal 30 2 6" xfId="18431" xr:uid="{00000000-0005-0000-0000-0000FE470000}"/>
    <cellStyle name="Normal 30 2 6 2" xfId="18432" xr:uid="{00000000-0005-0000-0000-0000FF470000}"/>
    <cellStyle name="Normal 30 2 7" xfId="18433" xr:uid="{00000000-0005-0000-0000-000000480000}"/>
    <cellStyle name="Normal 30 2 7 2" xfId="18434" xr:uid="{00000000-0005-0000-0000-000001480000}"/>
    <cellStyle name="Normal 30 2 8" xfId="18435" xr:uid="{00000000-0005-0000-0000-000002480000}"/>
    <cellStyle name="Normal 30 3" xfId="18436" xr:uid="{00000000-0005-0000-0000-000003480000}"/>
    <cellStyle name="Normal 30 3 2" xfId="18437" xr:uid="{00000000-0005-0000-0000-000004480000}"/>
    <cellStyle name="Normal 30 3 2 2" xfId="18438" xr:uid="{00000000-0005-0000-0000-000005480000}"/>
    <cellStyle name="Normal 30 3 2 2 2" xfId="18439" xr:uid="{00000000-0005-0000-0000-000006480000}"/>
    <cellStyle name="Normal 30 3 2 2 2 2" xfId="18440" xr:uid="{00000000-0005-0000-0000-000007480000}"/>
    <cellStyle name="Normal 30 3 2 2 3" xfId="18441" xr:uid="{00000000-0005-0000-0000-000008480000}"/>
    <cellStyle name="Normal 30 3 2 2 3 2" xfId="18442" xr:uid="{00000000-0005-0000-0000-000009480000}"/>
    <cellStyle name="Normal 30 3 2 2 4" xfId="18443" xr:uid="{00000000-0005-0000-0000-00000A480000}"/>
    <cellStyle name="Normal 30 3 2 3" xfId="18444" xr:uid="{00000000-0005-0000-0000-00000B480000}"/>
    <cellStyle name="Normal 30 3 2 3 2" xfId="18445" xr:uid="{00000000-0005-0000-0000-00000C480000}"/>
    <cellStyle name="Normal 30 3 2 4" xfId="18446" xr:uid="{00000000-0005-0000-0000-00000D480000}"/>
    <cellStyle name="Normal 30 3 2 4 2" xfId="18447" xr:uid="{00000000-0005-0000-0000-00000E480000}"/>
    <cellStyle name="Normal 30 3 2 5" xfId="18448" xr:uid="{00000000-0005-0000-0000-00000F480000}"/>
    <cellStyle name="Normal 30 3 2 5 2" xfId="18449" xr:uid="{00000000-0005-0000-0000-000010480000}"/>
    <cellStyle name="Normal 30 3 2 6" xfId="18450" xr:uid="{00000000-0005-0000-0000-000011480000}"/>
    <cellStyle name="Normal 30 3 2 6 2" xfId="18451" xr:uid="{00000000-0005-0000-0000-000012480000}"/>
    <cellStyle name="Normal 30 3 2 7" xfId="18452" xr:uid="{00000000-0005-0000-0000-000013480000}"/>
    <cellStyle name="Normal 30 3 3" xfId="18453" xr:uid="{00000000-0005-0000-0000-000014480000}"/>
    <cellStyle name="Normal 30 3 3 2" xfId="18454" xr:uid="{00000000-0005-0000-0000-000015480000}"/>
    <cellStyle name="Normal 30 3 3 2 2" xfId="18455" xr:uid="{00000000-0005-0000-0000-000016480000}"/>
    <cellStyle name="Normal 30 3 3 3" xfId="18456" xr:uid="{00000000-0005-0000-0000-000017480000}"/>
    <cellStyle name="Normal 30 3 3 3 2" xfId="18457" xr:uid="{00000000-0005-0000-0000-000018480000}"/>
    <cellStyle name="Normal 30 3 3 4" xfId="18458" xr:uid="{00000000-0005-0000-0000-000019480000}"/>
    <cellStyle name="Normal 30 3 3 4 2" xfId="18459" xr:uid="{00000000-0005-0000-0000-00001A480000}"/>
    <cellStyle name="Normal 30 3 3 5" xfId="18460" xr:uid="{00000000-0005-0000-0000-00001B480000}"/>
    <cellStyle name="Normal 30 3 3 5 2" xfId="18461" xr:uid="{00000000-0005-0000-0000-00001C480000}"/>
    <cellStyle name="Normal 30 3 3 6" xfId="18462" xr:uid="{00000000-0005-0000-0000-00001D480000}"/>
    <cellStyle name="Normal 30 3 4" xfId="18463" xr:uid="{00000000-0005-0000-0000-00001E480000}"/>
    <cellStyle name="Normal 30 3 4 2" xfId="18464" xr:uid="{00000000-0005-0000-0000-00001F480000}"/>
    <cellStyle name="Normal 30 3 4 2 2" xfId="18465" xr:uid="{00000000-0005-0000-0000-000020480000}"/>
    <cellStyle name="Normal 30 3 4 3" xfId="18466" xr:uid="{00000000-0005-0000-0000-000021480000}"/>
    <cellStyle name="Normal 30 3 5" xfId="18467" xr:uid="{00000000-0005-0000-0000-000022480000}"/>
    <cellStyle name="Normal 30 3 5 2" xfId="18468" xr:uid="{00000000-0005-0000-0000-000023480000}"/>
    <cellStyle name="Normal 30 3 6" xfId="18469" xr:uid="{00000000-0005-0000-0000-000024480000}"/>
    <cellStyle name="Normal 30 3 6 2" xfId="18470" xr:uid="{00000000-0005-0000-0000-000025480000}"/>
    <cellStyle name="Normal 30 3 7" xfId="18471" xr:uid="{00000000-0005-0000-0000-000026480000}"/>
    <cellStyle name="Normal 30 3 7 2" xfId="18472" xr:uid="{00000000-0005-0000-0000-000027480000}"/>
    <cellStyle name="Normal 30 3 8" xfId="18473" xr:uid="{00000000-0005-0000-0000-000028480000}"/>
    <cellStyle name="Normal 30 4" xfId="18474" xr:uid="{00000000-0005-0000-0000-000029480000}"/>
    <cellStyle name="Normal 30 4 2" xfId="18475" xr:uid="{00000000-0005-0000-0000-00002A480000}"/>
    <cellStyle name="Normal 30 4 2 2" xfId="18476" xr:uid="{00000000-0005-0000-0000-00002B480000}"/>
    <cellStyle name="Normal 30 4 2 2 2" xfId="18477" xr:uid="{00000000-0005-0000-0000-00002C480000}"/>
    <cellStyle name="Normal 30 4 2 3" xfId="18478" xr:uid="{00000000-0005-0000-0000-00002D480000}"/>
    <cellStyle name="Normal 30 4 2 3 2" xfId="18479" xr:uid="{00000000-0005-0000-0000-00002E480000}"/>
    <cellStyle name="Normal 30 4 2 4" xfId="18480" xr:uid="{00000000-0005-0000-0000-00002F480000}"/>
    <cellStyle name="Normal 30 4 3" xfId="18481" xr:uid="{00000000-0005-0000-0000-000030480000}"/>
    <cellStyle name="Normal 30 4 3 2" xfId="18482" xr:uid="{00000000-0005-0000-0000-000031480000}"/>
    <cellStyle name="Normal 30 4 4" xfId="18483" xr:uid="{00000000-0005-0000-0000-000032480000}"/>
    <cellStyle name="Normal 30 4 4 2" xfId="18484" xr:uid="{00000000-0005-0000-0000-000033480000}"/>
    <cellStyle name="Normal 30 4 5" xfId="18485" xr:uid="{00000000-0005-0000-0000-000034480000}"/>
    <cellStyle name="Normal 30 4 5 2" xfId="18486" xr:uid="{00000000-0005-0000-0000-000035480000}"/>
    <cellStyle name="Normal 30 4 6" xfId="18487" xr:uid="{00000000-0005-0000-0000-000036480000}"/>
    <cellStyle name="Normal 30 4 6 2" xfId="18488" xr:uid="{00000000-0005-0000-0000-000037480000}"/>
    <cellStyle name="Normal 30 4 7" xfId="18489" xr:uid="{00000000-0005-0000-0000-000038480000}"/>
    <cellStyle name="Normal 30 5" xfId="18490" xr:uid="{00000000-0005-0000-0000-000039480000}"/>
    <cellStyle name="Normal 30 5 2" xfId="18491" xr:uid="{00000000-0005-0000-0000-00003A480000}"/>
    <cellStyle name="Normal 30 5 2 2" xfId="18492" xr:uid="{00000000-0005-0000-0000-00003B480000}"/>
    <cellStyle name="Normal 30 5 3" xfId="18493" xr:uid="{00000000-0005-0000-0000-00003C480000}"/>
    <cellStyle name="Normal 30 5 3 2" xfId="18494" xr:uid="{00000000-0005-0000-0000-00003D480000}"/>
    <cellStyle name="Normal 30 5 4" xfId="18495" xr:uid="{00000000-0005-0000-0000-00003E480000}"/>
    <cellStyle name="Normal 30 5 4 2" xfId="18496" xr:uid="{00000000-0005-0000-0000-00003F480000}"/>
    <cellStyle name="Normal 30 5 5" xfId="18497" xr:uid="{00000000-0005-0000-0000-000040480000}"/>
    <cellStyle name="Normal 30 5 5 2" xfId="18498" xr:uid="{00000000-0005-0000-0000-000041480000}"/>
    <cellStyle name="Normal 30 5 6" xfId="18499" xr:uid="{00000000-0005-0000-0000-000042480000}"/>
    <cellStyle name="Normal 30 6" xfId="18500" xr:uid="{00000000-0005-0000-0000-000043480000}"/>
    <cellStyle name="Normal 30 6 2" xfId="18501" xr:uid="{00000000-0005-0000-0000-000044480000}"/>
    <cellStyle name="Normal 30 6 2 2" xfId="18502" xr:uid="{00000000-0005-0000-0000-000045480000}"/>
    <cellStyle name="Normal 30 6 3" xfId="18503" xr:uid="{00000000-0005-0000-0000-000046480000}"/>
    <cellStyle name="Normal 30 7" xfId="18504" xr:uid="{00000000-0005-0000-0000-000047480000}"/>
    <cellStyle name="Normal 30 7 2" xfId="18505" xr:uid="{00000000-0005-0000-0000-000048480000}"/>
    <cellStyle name="Normal 30 8" xfId="18506" xr:uid="{00000000-0005-0000-0000-000049480000}"/>
    <cellStyle name="Normal 30 8 2" xfId="18507" xr:uid="{00000000-0005-0000-0000-00004A480000}"/>
    <cellStyle name="Normal 30 9" xfId="18508" xr:uid="{00000000-0005-0000-0000-00004B480000}"/>
    <cellStyle name="Normal 30 9 2" xfId="18509" xr:uid="{00000000-0005-0000-0000-00004C480000}"/>
    <cellStyle name="Normal 31" xfId="18510" xr:uid="{00000000-0005-0000-0000-00004D480000}"/>
    <cellStyle name="Normal 31 2" xfId="18511" xr:uid="{00000000-0005-0000-0000-00004E480000}"/>
    <cellStyle name="Normal 31 2 2" xfId="18512" xr:uid="{00000000-0005-0000-0000-00004F480000}"/>
    <cellStyle name="Normal 31 2 2 2" xfId="18513" xr:uid="{00000000-0005-0000-0000-000050480000}"/>
    <cellStyle name="Normal 31 2 2 2 2" xfId="18514" xr:uid="{00000000-0005-0000-0000-000051480000}"/>
    <cellStyle name="Normal 31 2 2 2 2 2" xfId="18515" xr:uid="{00000000-0005-0000-0000-000052480000}"/>
    <cellStyle name="Normal 31 2 2 2 3" xfId="18516" xr:uid="{00000000-0005-0000-0000-000053480000}"/>
    <cellStyle name="Normal 31 2 2 2 3 2" xfId="18517" xr:uid="{00000000-0005-0000-0000-000054480000}"/>
    <cellStyle name="Normal 31 2 2 2 4" xfId="18518" xr:uid="{00000000-0005-0000-0000-000055480000}"/>
    <cellStyle name="Normal 31 2 2 3" xfId="18519" xr:uid="{00000000-0005-0000-0000-000056480000}"/>
    <cellStyle name="Normal 31 2 2 3 2" xfId="18520" xr:uid="{00000000-0005-0000-0000-000057480000}"/>
    <cellStyle name="Normal 31 2 2 4" xfId="18521" xr:uid="{00000000-0005-0000-0000-000058480000}"/>
    <cellStyle name="Normal 31 2 2 4 2" xfId="18522" xr:uid="{00000000-0005-0000-0000-000059480000}"/>
    <cellStyle name="Normal 31 2 2 5" xfId="18523" xr:uid="{00000000-0005-0000-0000-00005A480000}"/>
    <cellStyle name="Normal 31 2 2 5 2" xfId="18524" xr:uid="{00000000-0005-0000-0000-00005B480000}"/>
    <cellStyle name="Normal 31 2 2 6" xfId="18525" xr:uid="{00000000-0005-0000-0000-00005C480000}"/>
    <cellStyle name="Normal 31 2 2 6 2" xfId="18526" xr:uid="{00000000-0005-0000-0000-00005D480000}"/>
    <cellStyle name="Normal 31 2 2 7" xfId="18527" xr:uid="{00000000-0005-0000-0000-00005E480000}"/>
    <cellStyle name="Normal 31 2 3" xfId="18528" xr:uid="{00000000-0005-0000-0000-00005F480000}"/>
    <cellStyle name="Normal 31 2 3 2" xfId="18529" xr:uid="{00000000-0005-0000-0000-000060480000}"/>
    <cellStyle name="Normal 31 2 3 2 2" xfId="18530" xr:uid="{00000000-0005-0000-0000-000061480000}"/>
    <cellStyle name="Normal 31 2 3 3" xfId="18531" xr:uid="{00000000-0005-0000-0000-000062480000}"/>
    <cellStyle name="Normal 31 2 3 3 2" xfId="18532" xr:uid="{00000000-0005-0000-0000-000063480000}"/>
    <cellStyle name="Normal 31 2 3 4" xfId="18533" xr:uid="{00000000-0005-0000-0000-000064480000}"/>
    <cellStyle name="Normal 31 2 3 4 2" xfId="18534" xr:uid="{00000000-0005-0000-0000-000065480000}"/>
    <cellStyle name="Normal 31 2 3 5" xfId="18535" xr:uid="{00000000-0005-0000-0000-000066480000}"/>
    <cellStyle name="Normal 31 2 3 5 2" xfId="18536" xr:uid="{00000000-0005-0000-0000-000067480000}"/>
    <cellStyle name="Normal 31 2 3 6" xfId="18537" xr:uid="{00000000-0005-0000-0000-000068480000}"/>
    <cellStyle name="Normal 31 2 4" xfId="18538" xr:uid="{00000000-0005-0000-0000-000069480000}"/>
    <cellStyle name="Normal 31 2 4 2" xfId="18539" xr:uid="{00000000-0005-0000-0000-00006A480000}"/>
    <cellStyle name="Normal 31 2 4 2 2" xfId="18540" xr:uid="{00000000-0005-0000-0000-00006B480000}"/>
    <cellStyle name="Normal 31 2 4 3" xfId="18541" xr:uid="{00000000-0005-0000-0000-00006C480000}"/>
    <cellStyle name="Normal 31 2 5" xfId="18542" xr:uid="{00000000-0005-0000-0000-00006D480000}"/>
    <cellStyle name="Normal 31 2 5 2" xfId="18543" xr:uid="{00000000-0005-0000-0000-00006E480000}"/>
    <cellStyle name="Normal 31 2 6" xfId="18544" xr:uid="{00000000-0005-0000-0000-00006F480000}"/>
    <cellStyle name="Normal 31 2 6 2" xfId="18545" xr:uid="{00000000-0005-0000-0000-000070480000}"/>
    <cellStyle name="Normal 31 2 7" xfId="18546" xr:uid="{00000000-0005-0000-0000-000071480000}"/>
    <cellStyle name="Normal 31 2 7 2" xfId="18547" xr:uid="{00000000-0005-0000-0000-000072480000}"/>
    <cellStyle name="Normal 31 2 8" xfId="18548" xr:uid="{00000000-0005-0000-0000-000073480000}"/>
    <cellStyle name="Normal 31 3" xfId="18549" xr:uid="{00000000-0005-0000-0000-000074480000}"/>
    <cellStyle name="Normal 31 3 2" xfId="18550" xr:uid="{00000000-0005-0000-0000-000075480000}"/>
    <cellStyle name="Normal 31 3 2 2" xfId="18551" xr:uid="{00000000-0005-0000-0000-000076480000}"/>
    <cellStyle name="Normal 31 3 2 2 2" xfId="18552" xr:uid="{00000000-0005-0000-0000-000077480000}"/>
    <cellStyle name="Normal 31 3 2 3" xfId="18553" xr:uid="{00000000-0005-0000-0000-000078480000}"/>
    <cellStyle name="Normal 31 3 2 3 2" xfId="18554" xr:uid="{00000000-0005-0000-0000-000079480000}"/>
    <cellStyle name="Normal 31 3 2 4" xfId="18555" xr:uid="{00000000-0005-0000-0000-00007A480000}"/>
    <cellStyle name="Normal 31 3 3" xfId="18556" xr:uid="{00000000-0005-0000-0000-00007B480000}"/>
    <cellStyle name="Normal 31 3 3 2" xfId="18557" xr:uid="{00000000-0005-0000-0000-00007C480000}"/>
    <cellStyle name="Normal 31 3 4" xfId="18558" xr:uid="{00000000-0005-0000-0000-00007D480000}"/>
    <cellStyle name="Normal 31 3 4 2" xfId="18559" xr:uid="{00000000-0005-0000-0000-00007E480000}"/>
    <cellStyle name="Normal 31 3 5" xfId="18560" xr:uid="{00000000-0005-0000-0000-00007F480000}"/>
    <cellStyle name="Normal 31 3 5 2" xfId="18561" xr:uid="{00000000-0005-0000-0000-000080480000}"/>
    <cellStyle name="Normal 31 3 6" xfId="18562" xr:uid="{00000000-0005-0000-0000-000081480000}"/>
    <cellStyle name="Normal 31 3 6 2" xfId="18563" xr:uid="{00000000-0005-0000-0000-000082480000}"/>
    <cellStyle name="Normal 31 3 7" xfId="18564" xr:uid="{00000000-0005-0000-0000-000083480000}"/>
    <cellStyle name="Normal 31 4" xfId="18565" xr:uid="{00000000-0005-0000-0000-000084480000}"/>
    <cellStyle name="Normal 31 4 2" xfId="18566" xr:uid="{00000000-0005-0000-0000-000085480000}"/>
    <cellStyle name="Normal 31 4 2 2" xfId="18567" xr:uid="{00000000-0005-0000-0000-000086480000}"/>
    <cellStyle name="Normal 31 4 3" xfId="18568" xr:uid="{00000000-0005-0000-0000-000087480000}"/>
    <cellStyle name="Normal 31 4 3 2" xfId="18569" xr:uid="{00000000-0005-0000-0000-000088480000}"/>
    <cellStyle name="Normal 31 4 4" xfId="18570" xr:uid="{00000000-0005-0000-0000-000089480000}"/>
    <cellStyle name="Normal 31 4 4 2" xfId="18571" xr:uid="{00000000-0005-0000-0000-00008A480000}"/>
    <cellStyle name="Normal 31 4 5" xfId="18572" xr:uid="{00000000-0005-0000-0000-00008B480000}"/>
    <cellStyle name="Normal 31 4 5 2" xfId="18573" xr:uid="{00000000-0005-0000-0000-00008C480000}"/>
    <cellStyle name="Normal 31 4 6" xfId="18574" xr:uid="{00000000-0005-0000-0000-00008D480000}"/>
    <cellStyle name="Normal 31 5" xfId="18575" xr:uid="{00000000-0005-0000-0000-00008E480000}"/>
    <cellStyle name="Normal 31 5 2" xfId="18576" xr:uid="{00000000-0005-0000-0000-00008F480000}"/>
    <cellStyle name="Normal 31 5 2 2" xfId="18577" xr:uid="{00000000-0005-0000-0000-000090480000}"/>
    <cellStyle name="Normal 31 5 3" xfId="18578" xr:uid="{00000000-0005-0000-0000-000091480000}"/>
    <cellStyle name="Normal 31 6" xfId="18579" xr:uid="{00000000-0005-0000-0000-000092480000}"/>
    <cellStyle name="Normal 31 6 2" xfId="18580" xr:uid="{00000000-0005-0000-0000-000093480000}"/>
    <cellStyle name="Normal 31 7" xfId="18581" xr:uid="{00000000-0005-0000-0000-000094480000}"/>
    <cellStyle name="Normal 31 7 2" xfId="18582" xr:uid="{00000000-0005-0000-0000-000095480000}"/>
    <cellStyle name="Normal 31 8" xfId="18583" xr:uid="{00000000-0005-0000-0000-000096480000}"/>
    <cellStyle name="Normal 31 8 2" xfId="18584" xr:uid="{00000000-0005-0000-0000-000097480000}"/>
    <cellStyle name="Normal 31 9" xfId="18585" xr:uid="{00000000-0005-0000-0000-000098480000}"/>
    <cellStyle name="Normal 32" xfId="18586" xr:uid="{00000000-0005-0000-0000-000099480000}"/>
    <cellStyle name="Normal 33" xfId="18587" xr:uid="{00000000-0005-0000-0000-00009A480000}"/>
    <cellStyle name="Normal 33 2" xfId="18588" xr:uid="{00000000-0005-0000-0000-00009B480000}"/>
    <cellStyle name="Normal 33 2 2" xfId="18589" xr:uid="{00000000-0005-0000-0000-00009C480000}"/>
    <cellStyle name="Normal 33 2 2 2" xfId="18590" xr:uid="{00000000-0005-0000-0000-00009D480000}"/>
    <cellStyle name="Normal 33 2 3" xfId="18591" xr:uid="{00000000-0005-0000-0000-00009E480000}"/>
    <cellStyle name="Normal 33 2 3 2" xfId="18592" xr:uid="{00000000-0005-0000-0000-00009F480000}"/>
    <cellStyle name="Normal 33 2 4" xfId="18593" xr:uid="{00000000-0005-0000-0000-0000A0480000}"/>
    <cellStyle name="Normal 33 2 5" xfId="18594" xr:uid="{00000000-0005-0000-0000-0000A1480000}"/>
    <cellStyle name="Normal 33 2 5 2" xfId="18595" xr:uid="{00000000-0005-0000-0000-0000A2480000}"/>
    <cellStyle name="Normal 33 2 6" xfId="18596" xr:uid="{00000000-0005-0000-0000-0000A3480000}"/>
    <cellStyle name="Normal 33 2 6 2" xfId="18597" xr:uid="{00000000-0005-0000-0000-0000A4480000}"/>
    <cellStyle name="Normal 33 2 7" xfId="18598" xr:uid="{00000000-0005-0000-0000-0000A5480000}"/>
    <cellStyle name="Normal 33 3" xfId="18599" xr:uid="{00000000-0005-0000-0000-0000A6480000}"/>
    <cellStyle name="Normal 33 3 2" xfId="18600" xr:uid="{00000000-0005-0000-0000-0000A7480000}"/>
    <cellStyle name="Normal 33 3 2 2" xfId="18601" xr:uid="{00000000-0005-0000-0000-0000A8480000}"/>
    <cellStyle name="Normal 33 3 3" xfId="18602" xr:uid="{00000000-0005-0000-0000-0000A9480000}"/>
    <cellStyle name="Normal 33 3 3 2" xfId="18603" xr:uid="{00000000-0005-0000-0000-0000AA480000}"/>
    <cellStyle name="Normal 33 3 4" xfId="18604" xr:uid="{00000000-0005-0000-0000-0000AB480000}"/>
    <cellStyle name="Normal 33 3 4 2" xfId="18605" xr:uid="{00000000-0005-0000-0000-0000AC480000}"/>
    <cellStyle name="Normal 33 3 5" xfId="18606" xr:uid="{00000000-0005-0000-0000-0000AD480000}"/>
    <cellStyle name="Normal 33 3 5 2" xfId="18607" xr:uid="{00000000-0005-0000-0000-0000AE480000}"/>
    <cellStyle name="Normal 33 3 6" xfId="18608" xr:uid="{00000000-0005-0000-0000-0000AF480000}"/>
    <cellStyle name="Normal 33 4" xfId="18609" xr:uid="{00000000-0005-0000-0000-0000B0480000}"/>
    <cellStyle name="Normal 33 4 2" xfId="18610" xr:uid="{00000000-0005-0000-0000-0000B1480000}"/>
    <cellStyle name="Normal 33 5" xfId="18611" xr:uid="{00000000-0005-0000-0000-0000B2480000}"/>
    <cellStyle name="Normal 33 6" xfId="18612" xr:uid="{00000000-0005-0000-0000-0000B3480000}"/>
    <cellStyle name="Normal 33 6 2" xfId="18613" xr:uid="{00000000-0005-0000-0000-0000B4480000}"/>
    <cellStyle name="Normal 33 7" xfId="18614" xr:uid="{00000000-0005-0000-0000-0000B5480000}"/>
    <cellStyle name="Normal 33 7 2" xfId="18615" xr:uid="{00000000-0005-0000-0000-0000B6480000}"/>
    <cellStyle name="Normal 33 8" xfId="18616" xr:uid="{00000000-0005-0000-0000-0000B7480000}"/>
    <cellStyle name="Normal 34" xfId="18617" xr:uid="{00000000-0005-0000-0000-0000B8480000}"/>
    <cellStyle name="Normal 34 2" xfId="18618" xr:uid="{00000000-0005-0000-0000-0000B9480000}"/>
    <cellStyle name="Normal 34 2 2" xfId="18619" xr:uid="{00000000-0005-0000-0000-0000BA480000}"/>
    <cellStyle name="Normal 34 2 2 2" xfId="18620" xr:uid="{00000000-0005-0000-0000-0000BB480000}"/>
    <cellStyle name="Normal 34 2 2 2 2" xfId="18621" xr:uid="{00000000-0005-0000-0000-0000BC480000}"/>
    <cellStyle name="Normal 34 2 2 3" xfId="18622" xr:uid="{00000000-0005-0000-0000-0000BD480000}"/>
    <cellStyle name="Normal 34 2 3" xfId="18623" xr:uid="{00000000-0005-0000-0000-0000BE480000}"/>
    <cellStyle name="Normal 34 2 3 2" xfId="18624" xr:uid="{00000000-0005-0000-0000-0000BF480000}"/>
    <cellStyle name="Normal 34 2 4" xfId="18625" xr:uid="{00000000-0005-0000-0000-0000C0480000}"/>
    <cellStyle name="Normal 34 3" xfId="18626" xr:uid="{00000000-0005-0000-0000-0000C1480000}"/>
    <cellStyle name="Normal 34 3 2" xfId="18627" xr:uid="{00000000-0005-0000-0000-0000C2480000}"/>
    <cellStyle name="Normal 34 3 2 2" xfId="18628" xr:uid="{00000000-0005-0000-0000-0000C3480000}"/>
    <cellStyle name="Normal 34 3 3" xfId="18629" xr:uid="{00000000-0005-0000-0000-0000C4480000}"/>
    <cellStyle name="Normal 34 4" xfId="18630" xr:uid="{00000000-0005-0000-0000-0000C5480000}"/>
    <cellStyle name="Normal 34 4 2" xfId="18631" xr:uid="{00000000-0005-0000-0000-0000C6480000}"/>
    <cellStyle name="Normal 34 5" xfId="18632" xr:uid="{00000000-0005-0000-0000-0000C7480000}"/>
    <cellStyle name="Normal 35" xfId="18633" xr:uid="{00000000-0005-0000-0000-0000C8480000}"/>
    <cellStyle name="Normal 35 2" xfId="18634" xr:uid="{00000000-0005-0000-0000-0000C9480000}"/>
    <cellStyle name="Normal 36" xfId="18635" xr:uid="{00000000-0005-0000-0000-0000CA480000}"/>
    <cellStyle name="Normal 37" xfId="18636" xr:uid="{00000000-0005-0000-0000-0000CB480000}"/>
    <cellStyle name="Normal 37 2" xfId="18637" xr:uid="{00000000-0005-0000-0000-0000CC480000}"/>
    <cellStyle name="Normal 37 2 2" xfId="18638" xr:uid="{00000000-0005-0000-0000-0000CD480000}"/>
    <cellStyle name="Normal 37 2 2 2" xfId="18639" xr:uid="{00000000-0005-0000-0000-0000CE480000}"/>
    <cellStyle name="Normal 37 2 2 2 2" xfId="18640" xr:uid="{00000000-0005-0000-0000-0000CF480000}"/>
    <cellStyle name="Normal 37 2 2 3" xfId="18641" xr:uid="{00000000-0005-0000-0000-0000D0480000}"/>
    <cellStyle name="Normal 37 2 3" xfId="18642" xr:uid="{00000000-0005-0000-0000-0000D1480000}"/>
    <cellStyle name="Normal 37 2 3 2" xfId="18643" xr:uid="{00000000-0005-0000-0000-0000D2480000}"/>
    <cellStyle name="Normal 37 2 4" xfId="18644" xr:uid="{00000000-0005-0000-0000-0000D3480000}"/>
    <cellStyle name="Normal 37 3" xfId="18645" xr:uid="{00000000-0005-0000-0000-0000D4480000}"/>
    <cellStyle name="Normal 37 3 2" xfId="18646" xr:uid="{00000000-0005-0000-0000-0000D5480000}"/>
    <cellStyle name="Normal 37 3 2 2" xfId="18647" xr:uid="{00000000-0005-0000-0000-0000D6480000}"/>
    <cellStyle name="Normal 37 3 2 2 2" xfId="18648" xr:uid="{00000000-0005-0000-0000-0000D7480000}"/>
    <cellStyle name="Normal 37 3 2 3" xfId="18649" xr:uid="{00000000-0005-0000-0000-0000D8480000}"/>
    <cellStyle name="Normal 37 3 3" xfId="18650" xr:uid="{00000000-0005-0000-0000-0000D9480000}"/>
    <cellStyle name="Normal 37 3 3 2" xfId="18651" xr:uid="{00000000-0005-0000-0000-0000DA480000}"/>
    <cellStyle name="Normal 37 3 4" xfId="18652" xr:uid="{00000000-0005-0000-0000-0000DB480000}"/>
    <cellStyle name="Normal 37 4" xfId="18653" xr:uid="{00000000-0005-0000-0000-0000DC480000}"/>
    <cellStyle name="Normal 37 4 2" xfId="18654" xr:uid="{00000000-0005-0000-0000-0000DD480000}"/>
    <cellStyle name="Normal 37 4 2 2" xfId="18655" xr:uid="{00000000-0005-0000-0000-0000DE480000}"/>
    <cellStyle name="Normal 37 4 3" xfId="18656" xr:uid="{00000000-0005-0000-0000-0000DF480000}"/>
    <cellStyle name="Normal 37 5" xfId="18657" xr:uid="{00000000-0005-0000-0000-0000E0480000}"/>
    <cellStyle name="Normal 37 5 2" xfId="18658" xr:uid="{00000000-0005-0000-0000-0000E1480000}"/>
    <cellStyle name="Normal 37 6" xfId="18659" xr:uid="{00000000-0005-0000-0000-0000E2480000}"/>
    <cellStyle name="Normal 38" xfId="18660" xr:uid="{00000000-0005-0000-0000-0000E3480000}"/>
    <cellStyle name="Normal 38 2" xfId="18661" xr:uid="{00000000-0005-0000-0000-0000E4480000}"/>
    <cellStyle name="Normal 38 2 2" xfId="18662" xr:uid="{00000000-0005-0000-0000-0000E5480000}"/>
    <cellStyle name="Normal 38 2 2 2" xfId="18663" xr:uid="{00000000-0005-0000-0000-0000E6480000}"/>
    <cellStyle name="Normal 38 2 2 2 2" xfId="18664" xr:uid="{00000000-0005-0000-0000-0000E7480000}"/>
    <cellStyle name="Normal 38 2 2 3" xfId="18665" xr:uid="{00000000-0005-0000-0000-0000E8480000}"/>
    <cellStyle name="Normal 38 2 3" xfId="18666" xr:uid="{00000000-0005-0000-0000-0000E9480000}"/>
    <cellStyle name="Normal 38 2 3 2" xfId="18667" xr:uid="{00000000-0005-0000-0000-0000EA480000}"/>
    <cellStyle name="Normal 38 2 4" xfId="18668" xr:uid="{00000000-0005-0000-0000-0000EB480000}"/>
    <cellStyle name="Normal 38 3" xfId="18669" xr:uid="{00000000-0005-0000-0000-0000EC480000}"/>
    <cellStyle name="Normal 38 3 2" xfId="18670" xr:uid="{00000000-0005-0000-0000-0000ED480000}"/>
    <cellStyle name="Normal 38 3 2 2" xfId="18671" xr:uid="{00000000-0005-0000-0000-0000EE480000}"/>
    <cellStyle name="Normal 38 3 3" xfId="18672" xr:uid="{00000000-0005-0000-0000-0000EF480000}"/>
    <cellStyle name="Normal 38 4" xfId="18673" xr:uid="{00000000-0005-0000-0000-0000F0480000}"/>
    <cellStyle name="Normal 38 4 2" xfId="18674" xr:uid="{00000000-0005-0000-0000-0000F1480000}"/>
    <cellStyle name="Normal 38 5" xfId="18675" xr:uid="{00000000-0005-0000-0000-0000F2480000}"/>
    <cellStyle name="Normal 39" xfId="18676" xr:uid="{00000000-0005-0000-0000-0000F3480000}"/>
    <cellStyle name="Normal 39 2" xfId="18677" xr:uid="{00000000-0005-0000-0000-0000F4480000}"/>
    <cellStyle name="Normal 39 2 2" xfId="18678" xr:uid="{00000000-0005-0000-0000-0000F5480000}"/>
    <cellStyle name="Normal 39 2 2 2" xfId="18679" xr:uid="{00000000-0005-0000-0000-0000F6480000}"/>
    <cellStyle name="Normal 39 2 2 2 2" xfId="18680" xr:uid="{00000000-0005-0000-0000-0000F7480000}"/>
    <cellStyle name="Normal 39 2 2 3" xfId="18681" xr:uid="{00000000-0005-0000-0000-0000F8480000}"/>
    <cellStyle name="Normal 39 2 3" xfId="18682" xr:uid="{00000000-0005-0000-0000-0000F9480000}"/>
    <cellStyle name="Normal 39 2 3 2" xfId="18683" xr:uid="{00000000-0005-0000-0000-0000FA480000}"/>
    <cellStyle name="Normal 39 2 4" xfId="18684" xr:uid="{00000000-0005-0000-0000-0000FB480000}"/>
    <cellStyle name="Normal 39 3" xfId="18685" xr:uid="{00000000-0005-0000-0000-0000FC480000}"/>
    <cellStyle name="Normal 39 3 2" xfId="18686" xr:uid="{00000000-0005-0000-0000-0000FD480000}"/>
    <cellStyle name="Normal 39 3 2 2" xfId="18687" xr:uid="{00000000-0005-0000-0000-0000FE480000}"/>
    <cellStyle name="Normal 39 3 3" xfId="18688" xr:uid="{00000000-0005-0000-0000-0000FF480000}"/>
    <cellStyle name="Normal 39 4" xfId="18689" xr:uid="{00000000-0005-0000-0000-000000490000}"/>
    <cellStyle name="Normal 39 4 2" xfId="18690" xr:uid="{00000000-0005-0000-0000-000001490000}"/>
    <cellStyle name="Normal 39 5" xfId="18691" xr:uid="{00000000-0005-0000-0000-000002490000}"/>
    <cellStyle name="Normal 4" xfId="18692" xr:uid="{00000000-0005-0000-0000-000003490000}"/>
    <cellStyle name="Normal 4 10" xfId="18693" xr:uid="{00000000-0005-0000-0000-000004490000}"/>
    <cellStyle name="Normal 4 10 2" xfId="18694" xr:uid="{00000000-0005-0000-0000-000005490000}"/>
    <cellStyle name="Normal 4 10 3" xfId="18695" xr:uid="{00000000-0005-0000-0000-000006490000}"/>
    <cellStyle name="Normal 4 11" xfId="18696" xr:uid="{00000000-0005-0000-0000-000007490000}"/>
    <cellStyle name="Normal 4 12" xfId="18697" xr:uid="{00000000-0005-0000-0000-000008490000}"/>
    <cellStyle name="Normal 4 12 2" xfId="18698" xr:uid="{00000000-0005-0000-0000-000009490000}"/>
    <cellStyle name="Normal 4 2" xfId="18699" xr:uid="{00000000-0005-0000-0000-00000A490000}"/>
    <cellStyle name="Normal 4 2 2" xfId="18700" xr:uid="{00000000-0005-0000-0000-00000B490000}"/>
    <cellStyle name="Normal 4 2 3" xfId="18701" xr:uid="{00000000-0005-0000-0000-00000C490000}"/>
    <cellStyle name="Normal 4 2 3 2" xfId="18702" xr:uid="{00000000-0005-0000-0000-00000D490000}"/>
    <cellStyle name="Normal 4 2 3 2 2" xfId="18703" xr:uid="{00000000-0005-0000-0000-00000E490000}"/>
    <cellStyle name="Normal 4 2 3 3" xfId="18704" xr:uid="{00000000-0005-0000-0000-00000F490000}"/>
    <cellStyle name="Normal 4 2 4" xfId="18705" xr:uid="{00000000-0005-0000-0000-000010490000}"/>
    <cellStyle name="Normal 4 2 4 2" xfId="18706" xr:uid="{00000000-0005-0000-0000-000011490000}"/>
    <cellStyle name="Normal 4 2 5" xfId="18707" xr:uid="{00000000-0005-0000-0000-000012490000}"/>
    <cellStyle name="Normal 4 2 5 2" xfId="18708" xr:uid="{00000000-0005-0000-0000-000013490000}"/>
    <cellStyle name="Normal 4 2 6" xfId="18709" xr:uid="{00000000-0005-0000-0000-000014490000}"/>
    <cellStyle name="Normal 4 2 6 2" xfId="18710" xr:uid="{00000000-0005-0000-0000-000015490000}"/>
    <cellStyle name="Normal 4 2 7" xfId="18711" xr:uid="{00000000-0005-0000-0000-000016490000}"/>
    <cellStyle name="Normal 4 2 7 2" xfId="18712" xr:uid="{00000000-0005-0000-0000-000017490000}"/>
    <cellStyle name="Normal 4 2 8" xfId="18713" xr:uid="{00000000-0005-0000-0000-000018490000}"/>
    <cellStyle name="Normal 4 3" xfId="18714" xr:uid="{00000000-0005-0000-0000-000019490000}"/>
    <cellStyle name="Normal 4 3 2" xfId="18715" xr:uid="{00000000-0005-0000-0000-00001A490000}"/>
    <cellStyle name="Normal 4 3 3" xfId="18716" xr:uid="{00000000-0005-0000-0000-00001B490000}"/>
    <cellStyle name="Normal 4 3 3 2" xfId="18717" xr:uid="{00000000-0005-0000-0000-00001C490000}"/>
    <cellStyle name="Normal 4 3 3 2 2" xfId="18718" xr:uid="{00000000-0005-0000-0000-00001D490000}"/>
    <cellStyle name="Normal 4 3 3 3" xfId="18719" xr:uid="{00000000-0005-0000-0000-00001E490000}"/>
    <cellStyle name="Normal 4 3 4" xfId="18720" xr:uid="{00000000-0005-0000-0000-00001F490000}"/>
    <cellStyle name="Normal 4 3 4 2" xfId="18721" xr:uid="{00000000-0005-0000-0000-000020490000}"/>
    <cellStyle name="Normal 4 3 5" xfId="18722" xr:uid="{00000000-0005-0000-0000-000021490000}"/>
    <cellStyle name="Normal 4 3 5 2" xfId="18723" xr:uid="{00000000-0005-0000-0000-000022490000}"/>
    <cellStyle name="Normal 4 3 6" xfId="18724" xr:uid="{00000000-0005-0000-0000-000023490000}"/>
    <cellStyle name="Normal 4 3 6 2" xfId="18725" xr:uid="{00000000-0005-0000-0000-000024490000}"/>
    <cellStyle name="Normal 4 3 7" xfId="18726" xr:uid="{00000000-0005-0000-0000-000025490000}"/>
    <cellStyle name="Normal 4 3 7 2" xfId="18727" xr:uid="{00000000-0005-0000-0000-000026490000}"/>
    <cellStyle name="Normal 4 3 8" xfId="18728" xr:uid="{00000000-0005-0000-0000-000027490000}"/>
    <cellStyle name="Normal 4 4" xfId="18729" xr:uid="{00000000-0005-0000-0000-000028490000}"/>
    <cellStyle name="Normal 4 4 2" xfId="18730" xr:uid="{00000000-0005-0000-0000-000029490000}"/>
    <cellStyle name="Normal 4 5" xfId="18731" xr:uid="{00000000-0005-0000-0000-00002A490000}"/>
    <cellStyle name="Normal 4 5 2" xfId="18732" xr:uid="{00000000-0005-0000-0000-00002B490000}"/>
    <cellStyle name="Normal 4 5 3" xfId="18733" xr:uid="{00000000-0005-0000-0000-00002C490000}"/>
    <cellStyle name="Normal 4 6" xfId="18734" xr:uid="{00000000-0005-0000-0000-00002D490000}"/>
    <cellStyle name="Normal 4 6 2" xfId="18735" xr:uid="{00000000-0005-0000-0000-00002E490000}"/>
    <cellStyle name="Normal 4 6 2 2" xfId="18736" xr:uid="{00000000-0005-0000-0000-00002F490000}"/>
    <cellStyle name="Normal 4 6 3" xfId="18737" xr:uid="{00000000-0005-0000-0000-000030490000}"/>
    <cellStyle name="Normal 4 6 3 2" xfId="18738" xr:uid="{00000000-0005-0000-0000-000031490000}"/>
    <cellStyle name="Normal 4 6 4" xfId="18739" xr:uid="{00000000-0005-0000-0000-000032490000}"/>
    <cellStyle name="Normal 4 6 4 2" xfId="18740" xr:uid="{00000000-0005-0000-0000-000033490000}"/>
    <cellStyle name="Normal 4 6 5" xfId="18741" xr:uid="{00000000-0005-0000-0000-000034490000}"/>
    <cellStyle name="Normal 4 6 6" xfId="18742" xr:uid="{00000000-0005-0000-0000-000035490000}"/>
    <cellStyle name="Normal 4 6 6 2" xfId="18743" xr:uid="{00000000-0005-0000-0000-000036490000}"/>
    <cellStyle name="Normal 4 6 7" xfId="18744" xr:uid="{00000000-0005-0000-0000-000037490000}"/>
    <cellStyle name="Normal 4 6 7 2" xfId="18745" xr:uid="{00000000-0005-0000-0000-000038490000}"/>
    <cellStyle name="Normal 4 6 8" xfId="18746" xr:uid="{00000000-0005-0000-0000-000039490000}"/>
    <cellStyle name="Normal 4 7" xfId="18747" xr:uid="{00000000-0005-0000-0000-00003A490000}"/>
    <cellStyle name="Normal 4 7 2" xfId="18748" xr:uid="{00000000-0005-0000-0000-00003B490000}"/>
    <cellStyle name="Normal 4 7 2 2" xfId="18749" xr:uid="{00000000-0005-0000-0000-00003C490000}"/>
    <cellStyle name="Normal 4 7 3" xfId="18750" xr:uid="{00000000-0005-0000-0000-00003D490000}"/>
    <cellStyle name="Normal 4 7 4" xfId="18751" xr:uid="{00000000-0005-0000-0000-00003E490000}"/>
    <cellStyle name="Normal 4 7 4 2" xfId="18752" xr:uid="{00000000-0005-0000-0000-00003F490000}"/>
    <cellStyle name="Normal 4 7 5" xfId="18753" xr:uid="{00000000-0005-0000-0000-000040490000}"/>
    <cellStyle name="Normal 4 7 5 2" xfId="18754" xr:uid="{00000000-0005-0000-0000-000041490000}"/>
    <cellStyle name="Normal 4 7 6" xfId="18755" xr:uid="{00000000-0005-0000-0000-000042490000}"/>
    <cellStyle name="Normal 4 8" xfId="18756" xr:uid="{00000000-0005-0000-0000-000043490000}"/>
    <cellStyle name="Normal 4 8 2" xfId="18757" xr:uid="{00000000-0005-0000-0000-000044490000}"/>
    <cellStyle name="Normal 4 8 2 2" xfId="18758" xr:uid="{00000000-0005-0000-0000-000045490000}"/>
    <cellStyle name="Normal 4 8 3" xfId="18759" xr:uid="{00000000-0005-0000-0000-000046490000}"/>
    <cellStyle name="Normal 4 8 3 2" xfId="18760" xr:uid="{00000000-0005-0000-0000-000047490000}"/>
    <cellStyle name="Normal 4 8 4" xfId="18761" xr:uid="{00000000-0005-0000-0000-000048490000}"/>
    <cellStyle name="Normal 4 8 5" xfId="18762" xr:uid="{00000000-0005-0000-0000-000049490000}"/>
    <cellStyle name="Normal 4 9" xfId="18763" xr:uid="{00000000-0005-0000-0000-00004A490000}"/>
    <cellStyle name="Normal 4 9 2" xfId="18764" xr:uid="{00000000-0005-0000-0000-00004B490000}"/>
    <cellStyle name="Normal 4 9 2 2" xfId="18765" xr:uid="{00000000-0005-0000-0000-00004C490000}"/>
    <cellStyle name="Normal 4 9 3" xfId="18766" xr:uid="{00000000-0005-0000-0000-00004D490000}"/>
    <cellStyle name="Normal 40" xfId="18767" xr:uid="{00000000-0005-0000-0000-00004E490000}"/>
    <cellStyle name="Normal 40 2" xfId="18768" xr:uid="{00000000-0005-0000-0000-00004F490000}"/>
    <cellStyle name="Normal 41" xfId="18769" xr:uid="{00000000-0005-0000-0000-000050490000}"/>
    <cellStyle name="Normal 41 2" xfId="18770" xr:uid="{00000000-0005-0000-0000-000051490000}"/>
    <cellStyle name="Normal 41 3" xfId="18771" xr:uid="{00000000-0005-0000-0000-000052490000}"/>
    <cellStyle name="Normal 41 4" xfId="18772" xr:uid="{00000000-0005-0000-0000-000053490000}"/>
    <cellStyle name="Normal 41 5" xfId="18773" xr:uid="{00000000-0005-0000-0000-000054490000}"/>
    <cellStyle name="Normal 41 6" xfId="18774" xr:uid="{00000000-0005-0000-0000-000055490000}"/>
    <cellStyle name="Normal 42" xfId="18775" xr:uid="{00000000-0005-0000-0000-000056490000}"/>
    <cellStyle name="Normal 42 2" xfId="18776" xr:uid="{00000000-0005-0000-0000-000057490000}"/>
    <cellStyle name="Normal 42 3" xfId="18777" xr:uid="{00000000-0005-0000-0000-000058490000}"/>
    <cellStyle name="Normal 42 4" xfId="18778" xr:uid="{00000000-0005-0000-0000-000059490000}"/>
    <cellStyle name="Normal 42 4 2" xfId="18779" xr:uid="{00000000-0005-0000-0000-00005A490000}"/>
    <cellStyle name="Normal 42 4 2 2" xfId="18780" xr:uid="{00000000-0005-0000-0000-00005B490000}"/>
    <cellStyle name="Normal 42 4 3" xfId="18781" xr:uid="{00000000-0005-0000-0000-00005C490000}"/>
    <cellStyle name="Normal 42 5" xfId="18782" xr:uid="{00000000-0005-0000-0000-00005D490000}"/>
    <cellStyle name="Normal 42 5 2" xfId="18783" xr:uid="{00000000-0005-0000-0000-00005E490000}"/>
    <cellStyle name="Normal 42 6" xfId="18784" xr:uid="{00000000-0005-0000-0000-00005F490000}"/>
    <cellStyle name="Normal 43" xfId="18785" xr:uid="{00000000-0005-0000-0000-000060490000}"/>
    <cellStyle name="Normal 43 2" xfId="18786" xr:uid="{00000000-0005-0000-0000-000061490000}"/>
    <cellStyle name="Normal 43 3" xfId="18787" xr:uid="{00000000-0005-0000-0000-000062490000}"/>
    <cellStyle name="Normal 43 4" xfId="18788" xr:uid="{00000000-0005-0000-0000-000063490000}"/>
    <cellStyle name="Normal 43 4 2" xfId="18789" xr:uid="{00000000-0005-0000-0000-000064490000}"/>
    <cellStyle name="Normal 43 4 2 2" xfId="18790" xr:uid="{00000000-0005-0000-0000-000065490000}"/>
    <cellStyle name="Normal 43 4 3" xfId="18791" xr:uid="{00000000-0005-0000-0000-000066490000}"/>
    <cellStyle name="Normal 43 5" xfId="18792" xr:uid="{00000000-0005-0000-0000-000067490000}"/>
    <cellStyle name="Normal 43 5 2" xfId="18793" xr:uid="{00000000-0005-0000-0000-000068490000}"/>
    <cellStyle name="Normal 43 6" xfId="18794" xr:uid="{00000000-0005-0000-0000-000069490000}"/>
    <cellStyle name="Normal 44" xfId="18795" xr:uid="{00000000-0005-0000-0000-00006A490000}"/>
    <cellStyle name="Normal 44 2" xfId="18796" xr:uid="{00000000-0005-0000-0000-00006B490000}"/>
    <cellStyle name="Normal 44 3" xfId="18797" xr:uid="{00000000-0005-0000-0000-00006C490000}"/>
    <cellStyle name="Normal 44 4" xfId="18798" xr:uid="{00000000-0005-0000-0000-00006D490000}"/>
    <cellStyle name="Normal 44 4 2" xfId="18799" xr:uid="{00000000-0005-0000-0000-00006E490000}"/>
    <cellStyle name="Normal 44 4 2 2" xfId="18800" xr:uid="{00000000-0005-0000-0000-00006F490000}"/>
    <cellStyle name="Normal 44 4 3" xfId="18801" xr:uid="{00000000-0005-0000-0000-000070490000}"/>
    <cellStyle name="Normal 44 5" xfId="18802" xr:uid="{00000000-0005-0000-0000-000071490000}"/>
    <cellStyle name="Normal 44 5 2" xfId="18803" xr:uid="{00000000-0005-0000-0000-000072490000}"/>
    <cellStyle name="Normal 44 6" xfId="18804" xr:uid="{00000000-0005-0000-0000-000073490000}"/>
    <cellStyle name="Normal 45" xfId="18805" xr:uid="{00000000-0005-0000-0000-000074490000}"/>
    <cellStyle name="Normal 45 2" xfId="18806" xr:uid="{00000000-0005-0000-0000-000075490000}"/>
    <cellStyle name="Normal 45 3" xfId="18807" xr:uid="{00000000-0005-0000-0000-000076490000}"/>
    <cellStyle name="Normal 45 4" xfId="18808" xr:uid="{00000000-0005-0000-0000-000077490000}"/>
    <cellStyle name="Normal 45 4 2" xfId="18809" xr:uid="{00000000-0005-0000-0000-000078490000}"/>
    <cellStyle name="Normal 45 4 2 2" xfId="18810" xr:uid="{00000000-0005-0000-0000-000079490000}"/>
    <cellStyle name="Normal 45 4 3" xfId="18811" xr:uid="{00000000-0005-0000-0000-00007A490000}"/>
    <cellStyle name="Normal 45 5" xfId="18812" xr:uid="{00000000-0005-0000-0000-00007B490000}"/>
    <cellStyle name="Normal 45 5 2" xfId="18813" xr:uid="{00000000-0005-0000-0000-00007C490000}"/>
    <cellStyle name="Normal 45 6" xfId="18814" xr:uid="{00000000-0005-0000-0000-00007D490000}"/>
    <cellStyle name="Normal 46" xfId="18815" xr:uid="{00000000-0005-0000-0000-00007E490000}"/>
    <cellStyle name="Normal 46 2" xfId="18816" xr:uid="{00000000-0005-0000-0000-00007F490000}"/>
    <cellStyle name="Normal 46 3" xfId="18817" xr:uid="{00000000-0005-0000-0000-000080490000}"/>
    <cellStyle name="Normal 46 4" xfId="18818" xr:uid="{00000000-0005-0000-0000-000081490000}"/>
    <cellStyle name="Normal 46 5" xfId="18819" xr:uid="{00000000-0005-0000-0000-000082490000}"/>
    <cellStyle name="Normal 47" xfId="18820" xr:uid="{00000000-0005-0000-0000-000083490000}"/>
    <cellStyle name="Normal 47 2" xfId="18821" xr:uid="{00000000-0005-0000-0000-000084490000}"/>
    <cellStyle name="Normal 47 3" xfId="18822" xr:uid="{00000000-0005-0000-0000-000085490000}"/>
    <cellStyle name="Normal 48" xfId="18823" xr:uid="{00000000-0005-0000-0000-000086490000}"/>
    <cellStyle name="Normal 48 2" xfId="18824" xr:uid="{00000000-0005-0000-0000-000087490000}"/>
    <cellStyle name="Normal 48 3" xfId="18825" xr:uid="{00000000-0005-0000-0000-000088490000}"/>
    <cellStyle name="Normal 49" xfId="18826" xr:uid="{00000000-0005-0000-0000-000089490000}"/>
    <cellStyle name="Normal 49 2" xfId="18827" xr:uid="{00000000-0005-0000-0000-00008A490000}"/>
    <cellStyle name="Normal 49 3" xfId="18828" xr:uid="{00000000-0005-0000-0000-00008B490000}"/>
    <cellStyle name="Normal 49 4" xfId="18829" xr:uid="{00000000-0005-0000-0000-00008C490000}"/>
    <cellStyle name="Normal 49 5" xfId="18830" xr:uid="{00000000-0005-0000-0000-00008D490000}"/>
    <cellStyle name="Normal 49 6" xfId="18831" xr:uid="{00000000-0005-0000-0000-00008E490000}"/>
    <cellStyle name="Normal 5" xfId="18832" xr:uid="{00000000-0005-0000-0000-00008F490000}"/>
    <cellStyle name="Normal 5 10" xfId="18833" xr:uid="{00000000-0005-0000-0000-000090490000}"/>
    <cellStyle name="Normal 5 11" xfId="18834" xr:uid="{00000000-0005-0000-0000-000091490000}"/>
    <cellStyle name="Normal 5 2" xfId="18835" xr:uid="{00000000-0005-0000-0000-000092490000}"/>
    <cellStyle name="Normal 5 2 2" xfId="18836" xr:uid="{00000000-0005-0000-0000-000093490000}"/>
    <cellStyle name="Normal 5 2 2 2" xfId="18837" xr:uid="{00000000-0005-0000-0000-000094490000}"/>
    <cellStyle name="Normal 5 2 3" xfId="18838" xr:uid="{00000000-0005-0000-0000-000095490000}"/>
    <cellStyle name="Normal 5 3" xfId="18839" xr:uid="{00000000-0005-0000-0000-000096490000}"/>
    <cellStyle name="Normal 5 3 2" xfId="18840" xr:uid="{00000000-0005-0000-0000-000097490000}"/>
    <cellStyle name="Normal 5 3 2 2" xfId="18841" xr:uid="{00000000-0005-0000-0000-000098490000}"/>
    <cellStyle name="Normal 5 3 3" xfId="18842" xr:uid="{00000000-0005-0000-0000-000099490000}"/>
    <cellStyle name="Normal 5 3 4" xfId="18843" xr:uid="{00000000-0005-0000-0000-00009A490000}"/>
    <cellStyle name="Normal 5 4" xfId="18844" xr:uid="{00000000-0005-0000-0000-00009B490000}"/>
    <cellStyle name="Normal 5 4 2" xfId="18845" xr:uid="{00000000-0005-0000-0000-00009C490000}"/>
    <cellStyle name="Normal 5 4 3" xfId="18846" xr:uid="{00000000-0005-0000-0000-00009D490000}"/>
    <cellStyle name="Normal 5 4 3 2" xfId="18847" xr:uid="{00000000-0005-0000-0000-00009E490000}"/>
    <cellStyle name="Normal 5 4 4" xfId="18848" xr:uid="{00000000-0005-0000-0000-00009F490000}"/>
    <cellStyle name="Normal 5 5" xfId="18849" xr:uid="{00000000-0005-0000-0000-0000A0490000}"/>
    <cellStyle name="Normal 5 5 2" xfId="18850" xr:uid="{00000000-0005-0000-0000-0000A1490000}"/>
    <cellStyle name="Normal 5 5 2 2" xfId="18851" xr:uid="{00000000-0005-0000-0000-0000A2490000}"/>
    <cellStyle name="Normal 5 5 3" xfId="18852" xr:uid="{00000000-0005-0000-0000-0000A3490000}"/>
    <cellStyle name="Normal 5 5 3 2" xfId="18853" xr:uid="{00000000-0005-0000-0000-0000A4490000}"/>
    <cellStyle name="Normal 5 5 4" xfId="18854" xr:uid="{00000000-0005-0000-0000-0000A5490000}"/>
    <cellStyle name="Normal 5 6" xfId="18855" xr:uid="{00000000-0005-0000-0000-0000A6490000}"/>
    <cellStyle name="Normal 5 6 2" xfId="18856" xr:uid="{00000000-0005-0000-0000-0000A7490000}"/>
    <cellStyle name="Normal 5 6 2 2" xfId="18857" xr:uid="{00000000-0005-0000-0000-0000A8490000}"/>
    <cellStyle name="Normal 5 6 3" xfId="18858" xr:uid="{00000000-0005-0000-0000-0000A9490000}"/>
    <cellStyle name="Normal 5 6 3 2" xfId="18859" xr:uid="{00000000-0005-0000-0000-0000AA490000}"/>
    <cellStyle name="Normal 5 6 4" xfId="18860" xr:uid="{00000000-0005-0000-0000-0000AB490000}"/>
    <cellStyle name="Normal 5 7" xfId="18861" xr:uid="{00000000-0005-0000-0000-0000AC490000}"/>
    <cellStyle name="Normal 5 7 2" xfId="18862" xr:uid="{00000000-0005-0000-0000-0000AD490000}"/>
    <cellStyle name="Normal 5 8" xfId="18863" xr:uid="{00000000-0005-0000-0000-0000AE490000}"/>
    <cellStyle name="Normal 5 8 2" xfId="18864" xr:uid="{00000000-0005-0000-0000-0000AF490000}"/>
    <cellStyle name="Normal 5 9" xfId="18865" xr:uid="{00000000-0005-0000-0000-0000B0490000}"/>
    <cellStyle name="Normal 5 9 2" xfId="18866" xr:uid="{00000000-0005-0000-0000-0000B1490000}"/>
    <cellStyle name="Normal 5 9 3" xfId="18867" xr:uid="{00000000-0005-0000-0000-0000B2490000}"/>
    <cellStyle name="Normal 50" xfId="18868" xr:uid="{00000000-0005-0000-0000-0000B3490000}"/>
    <cellStyle name="Normal 50 2" xfId="18869" xr:uid="{00000000-0005-0000-0000-0000B4490000}"/>
    <cellStyle name="Normal 51 2" xfId="18870" xr:uid="{00000000-0005-0000-0000-0000B5490000}"/>
    <cellStyle name="Normal 51 3" xfId="18871" xr:uid="{00000000-0005-0000-0000-0000B6490000}"/>
    <cellStyle name="Normal 51 4" xfId="18872" xr:uid="{00000000-0005-0000-0000-0000B7490000}"/>
    <cellStyle name="Normal 51 5" xfId="18873" xr:uid="{00000000-0005-0000-0000-0000B8490000}"/>
    <cellStyle name="Normal 51 6" xfId="18874" xr:uid="{00000000-0005-0000-0000-0000B9490000}"/>
    <cellStyle name="Normal 6" xfId="18875" xr:uid="{00000000-0005-0000-0000-0000BA490000}"/>
    <cellStyle name="Normal 6 2" xfId="18876" xr:uid="{00000000-0005-0000-0000-0000BB490000}"/>
    <cellStyle name="Normal 6 3" xfId="18877" xr:uid="{00000000-0005-0000-0000-0000BC490000}"/>
    <cellStyle name="Normal 6 4" xfId="18878" xr:uid="{00000000-0005-0000-0000-0000BD490000}"/>
    <cellStyle name="Normal 6 4 2" xfId="18879" xr:uid="{00000000-0005-0000-0000-0000BE490000}"/>
    <cellStyle name="Normal 7" xfId="18880" xr:uid="{00000000-0005-0000-0000-0000BF490000}"/>
    <cellStyle name="Normal 7 2" xfId="18881" xr:uid="{00000000-0005-0000-0000-0000C0490000}"/>
    <cellStyle name="Normal 7 3" xfId="18882" xr:uid="{00000000-0005-0000-0000-0000C1490000}"/>
    <cellStyle name="Normal 73" xfId="18883" xr:uid="{00000000-0005-0000-0000-0000C2490000}"/>
    <cellStyle name="Normal 8" xfId="18884" xr:uid="{00000000-0005-0000-0000-0000C3490000}"/>
    <cellStyle name="Normal 8 2" xfId="18885" xr:uid="{00000000-0005-0000-0000-0000C4490000}"/>
    <cellStyle name="Normal 8 3" xfId="18886" xr:uid="{00000000-0005-0000-0000-0000C5490000}"/>
    <cellStyle name="Normal 9" xfId="18887" xr:uid="{00000000-0005-0000-0000-0000C6490000}"/>
    <cellStyle name="Normal 9 2" xfId="18888" xr:uid="{00000000-0005-0000-0000-0000C7490000}"/>
    <cellStyle name="Normal 9 3" xfId="18889" xr:uid="{00000000-0005-0000-0000-0000C8490000}"/>
    <cellStyle name="Normal with brackets" xfId="18890" xr:uid="{00000000-0005-0000-0000-0000C9490000}"/>
    <cellStyle name="Normal with brackets 2" xfId="18891" xr:uid="{00000000-0005-0000-0000-0000CA490000}"/>
    <cellStyle name="Note 10" xfId="18892" xr:uid="{00000000-0005-0000-0000-0000CB490000}"/>
    <cellStyle name="Note 10 2" xfId="18893" xr:uid="{00000000-0005-0000-0000-0000CC490000}"/>
    <cellStyle name="Note 10 2 2" xfId="18894" xr:uid="{00000000-0005-0000-0000-0000CD490000}"/>
    <cellStyle name="Note 10 2 2 2" xfId="18895" xr:uid="{00000000-0005-0000-0000-0000CE490000}"/>
    <cellStyle name="Note 10 2 2 2 2" xfId="18896" xr:uid="{00000000-0005-0000-0000-0000CF490000}"/>
    <cellStyle name="Note 10 2 2 3" xfId="18897" xr:uid="{00000000-0005-0000-0000-0000D0490000}"/>
    <cellStyle name="Note 10 2 3" xfId="18898" xr:uid="{00000000-0005-0000-0000-0000D1490000}"/>
    <cellStyle name="Note 10 2 3 2" xfId="18899" xr:uid="{00000000-0005-0000-0000-0000D2490000}"/>
    <cellStyle name="Note 10 2 4" xfId="18900" xr:uid="{00000000-0005-0000-0000-0000D3490000}"/>
    <cellStyle name="Note 10 3" xfId="18901" xr:uid="{00000000-0005-0000-0000-0000D4490000}"/>
    <cellStyle name="Note 10 3 2" xfId="18902" xr:uid="{00000000-0005-0000-0000-0000D5490000}"/>
    <cellStyle name="Note 10 3 2 2" xfId="18903" xr:uid="{00000000-0005-0000-0000-0000D6490000}"/>
    <cellStyle name="Note 10 3 3" xfId="18904" xr:uid="{00000000-0005-0000-0000-0000D7490000}"/>
    <cellStyle name="Note 10 4" xfId="18905" xr:uid="{00000000-0005-0000-0000-0000D8490000}"/>
    <cellStyle name="Note 10 4 2" xfId="18906" xr:uid="{00000000-0005-0000-0000-0000D9490000}"/>
    <cellStyle name="Note 10 5" xfId="18907" xr:uid="{00000000-0005-0000-0000-0000DA490000}"/>
    <cellStyle name="Note 11" xfId="18908" xr:uid="{00000000-0005-0000-0000-0000DB490000}"/>
    <cellStyle name="Note 11 2" xfId="18909" xr:uid="{00000000-0005-0000-0000-0000DC490000}"/>
    <cellStyle name="Note 11 2 2" xfId="18910" xr:uid="{00000000-0005-0000-0000-0000DD490000}"/>
    <cellStyle name="Note 11 2 2 2" xfId="18911" xr:uid="{00000000-0005-0000-0000-0000DE490000}"/>
    <cellStyle name="Note 11 2 3" xfId="18912" xr:uid="{00000000-0005-0000-0000-0000DF490000}"/>
    <cellStyle name="Note 11 3" xfId="18913" xr:uid="{00000000-0005-0000-0000-0000E0490000}"/>
    <cellStyle name="Note 11 3 2" xfId="18914" xr:uid="{00000000-0005-0000-0000-0000E1490000}"/>
    <cellStyle name="Note 11 4" xfId="18915" xr:uid="{00000000-0005-0000-0000-0000E2490000}"/>
    <cellStyle name="Note 12" xfId="18916" xr:uid="{00000000-0005-0000-0000-0000E3490000}"/>
    <cellStyle name="Note 12 2" xfId="18917" xr:uid="{00000000-0005-0000-0000-0000E4490000}"/>
    <cellStyle name="Note 12 3" xfId="18918" xr:uid="{00000000-0005-0000-0000-0000E5490000}"/>
    <cellStyle name="Note 13" xfId="18919" xr:uid="{00000000-0005-0000-0000-0000E6490000}"/>
    <cellStyle name="Note 2" xfId="18920" xr:uid="{00000000-0005-0000-0000-0000E7490000}"/>
    <cellStyle name="Note 2 2" xfId="18921" xr:uid="{00000000-0005-0000-0000-0000E8490000}"/>
    <cellStyle name="Note 2 2 2" xfId="18922" xr:uid="{00000000-0005-0000-0000-0000E9490000}"/>
    <cellStyle name="Note 2 2 2 2" xfId="18923" xr:uid="{00000000-0005-0000-0000-0000EA490000}"/>
    <cellStyle name="Note 2 2 3" xfId="18924" xr:uid="{00000000-0005-0000-0000-0000EB490000}"/>
    <cellStyle name="Note 2 2 4" xfId="18925" xr:uid="{00000000-0005-0000-0000-0000EC490000}"/>
    <cellStyle name="Note 2 2 4 2" xfId="18926" xr:uid="{00000000-0005-0000-0000-0000ED490000}"/>
    <cellStyle name="Note 2 2 4 3" xfId="18927" xr:uid="{00000000-0005-0000-0000-0000EE490000}"/>
    <cellStyle name="Note 2 2 5" xfId="18928" xr:uid="{00000000-0005-0000-0000-0000EF490000}"/>
    <cellStyle name="Note 2 2 5 2" xfId="18929" xr:uid="{00000000-0005-0000-0000-0000F0490000}"/>
    <cellStyle name="Note 2 2 5 3" xfId="18930" xr:uid="{00000000-0005-0000-0000-0000F1490000}"/>
    <cellStyle name="Note 2 2 6" xfId="18931" xr:uid="{00000000-0005-0000-0000-0000F2490000}"/>
    <cellStyle name="Note 2 3" xfId="18932" xr:uid="{00000000-0005-0000-0000-0000F3490000}"/>
    <cellStyle name="Note 2 3 2" xfId="18933" xr:uid="{00000000-0005-0000-0000-0000F4490000}"/>
    <cellStyle name="Note 2 3 2 2" xfId="18934" xr:uid="{00000000-0005-0000-0000-0000F5490000}"/>
    <cellStyle name="Note 2 3 2 2 2" xfId="18935" xr:uid="{00000000-0005-0000-0000-0000F6490000}"/>
    <cellStyle name="Note 2 3 2 2 3" xfId="18936" xr:uid="{00000000-0005-0000-0000-0000F7490000}"/>
    <cellStyle name="Note 2 3 2 3" xfId="18937" xr:uid="{00000000-0005-0000-0000-0000F8490000}"/>
    <cellStyle name="Note 2 3 2 4" xfId="18938" xr:uid="{00000000-0005-0000-0000-0000F9490000}"/>
    <cellStyle name="Note 2 3 2 5" xfId="18939" xr:uid="{00000000-0005-0000-0000-0000FA490000}"/>
    <cellStyle name="Note 2 3 2 6" xfId="18940" xr:uid="{00000000-0005-0000-0000-0000FB490000}"/>
    <cellStyle name="Note 2 3 3" xfId="18941" xr:uid="{00000000-0005-0000-0000-0000FC490000}"/>
    <cellStyle name="Note 2 4" xfId="18942" xr:uid="{00000000-0005-0000-0000-0000FD490000}"/>
    <cellStyle name="Note 2 4 2" xfId="18943" xr:uid="{00000000-0005-0000-0000-0000FE490000}"/>
    <cellStyle name="Note 2 4 2 2" xfId="18944" xr:uid="{00000000-0005-0000-0000-0000FF490000}"/>
    <cellStyle name="Note 2 4 2 3" xfId="18945" xr:uid="{00000000-0005-0000-0000-0000004A0000}"/>
    <cellStyle name="Note 2 4 3" xfId="18946" xr:uid="{00000000-0005-0000-0000-0000014A0000}"/>
    <cellStyle name="Note 2 4 4" xfId="18947" xr:uid="{00000000-0005-0000-0000-0000024A0000}"/>
    <cellStyle name="Note 2 4 5" xfId="18948" xr:uid="{00000000-0005-0000-0000-0000034A0000}"/>
    <cellStyle name="Note 2 4 6" xfId="18949" xr:uid="{00000000-0005-0000-0000-0000044A0000}"/>
    <cellStyle name="Note 2 5" xfId="18950" xr:uid="{00000000-0005-0000-0000-0000054A0000}"/>
    <cellStyle name="Note 2 5 2" xfId="18951" xr:uid="{00000000-0005-0000-0000-0000064A0000}"/>
    <cellStyle name="Note 2 5 2 2" xfId="18952" xr:uid="{00000000-0005-0000-0000-0000074A0000}"/>
    <cellStyle name="Note 2 5 3" xfId="18953" xr:uid="{00000000-0005-0000-0000-0000084A0000}"/>
    <cellStyle name="Note 2 5 3 2" xfId="18954" xr:uid="{00000000-0005-0000-0000-0000094A0000}"/>
    <cellStyle name="Note 2 5 4" xfId="18955" xr:uid="{00000000-0005-0000-0000-00000A4A0000}"/>
    <cellStyle name="Note 2 5 5" xfId="18956" xr:uid="{00000000-0005-0000-0000-00000B4A0000}"/>
    <cellStyle name="Note 3" xfId="18957" xr:uid="{00000000-0005-0000-0000-00000C4A0000}"/>
    <cellStyle name="Note 3 10" xfId="18958" xr:uid="{00000000-0005-0000-0000-00000D4A0000}"/>
    <cellStyle name="Note 3 10 2" xfId="18959" xr:uid="{00000000-0005-0000-0000-00000E4A0000}"/>
    <cellStyle name="Note 3 2" xfId="18960" xr:uid="{00000000-0005-0000-0000-00000F4A0000}"/>
    <cellStyle name="Note 3 2 2" xfId="18961" xr:uid="{00000000-0005-0000-0000-0000104A0000}"/>
    <cellStyle name="Note 3 2 2 2" xfId="18962" xr:uid="{00000000-0005-0000-0000-0000114A0000}"/>
    <cellStyle name="Note 3 2 3" xfId="18963" xr:uid="{00000000-0005-0000-0000-0000124A0000}"/>
    <cellStyle name="Note 3 2 4" xfId="18964" xr:uid="{00000000-0005-0000-0000-0000134A0000}"/>
    <cellStyle name="Note 3 3" xfId="18965" xr:uid="{00000000-0005-0000-0000-0000144A0000}"/>
    <cellStyle name="Note 3 3 2" xfId="18966" xr:uid="{00000000-0005-0000-0000-0000154A0000}"/>
    <cellStyle name="Note 3 3 2 2" xfId="18967" xr:uid="{00000000-0005-0000-0000-0000164A0000}"/>
    <cellStyle name="Note 3 3 3" xfId="18968" xr:uid="{00000000-0005-0000-0000-0000174A0000}"/>
    <cellStyle name="Note 3 4" xfId="18969" xr:uid="{00000000-0005-0000-0000-0000184A0000}"/>
    <cellStyle name="Note 3 4 2" xfId="18970" xr:uid="{00000000-0005-0000-0000-0000194A0000}"/>
    <cellStyle name="Note 3 5" xfId="18971" xr:uid="{00000000-0005-0000-0000-00001A4A0000}"/>
    <cellStyle name="Note 3 5 2" xfId="18972" xr:uid="{00000000-0005-0000-0000-00001B4A0000}"/>
    <cellStyle name="Note 3 6" xfId="18973" xr:uid="{00000000-0005-0000-0000-00001C4A0000}"/>
    <cellStyle name="Note 3 6 2" xfId="18974" xr:uid="{00000000-0005-0000-0000-00001D4A0000}"/>
    <cellStyle name="Note 3 7" xfId="18975" xr:uid="{00000000-0005-0000-0000-00001E4A0000}"/>
    <cellStyle name="Note 3 7 2" xfId="18976" xr:uid="{00000000-0005-0000-0000-00001F4A0000}"/>
    <cellStyle name="Note 3 8" xfId="18977" xr:uid="{00000000-0005-0000-0000-0000204A0000}"/>
    <cellStyle name="Note 3 8 2" xfId="18978" xr:uid="{00000000-0005-0000-0000-0000214A0000}"/>
    <cellStyle name="Note 3 9" xfId="18979" xr:uid="{00000000-0005-0000-0000-0000224A0000}"/>
    <cellStyle name="Note 3 9 2" xfId="18980" xr:uid="{00000000-0005-0000-0000-0000234A0000}"/>
    <cellStyle name="Note 4" xfId="18981" xr:uid="{00000000-0005-0000-0000-0000244A0000}"/>
    <cellStyle name="Note 4 2" xfId="18982" xr:uid="{00000000-0005-0000-0000-0000254A0000}"/>
    <cellStyle name="Note 4 2 2" xfId="18983" xr:uid="{00000000-0005-0000-0000-0000264A0000}"/>
    <cellStyle name="Note 4 2 2 2" xfId="18984" xr:uid="{00000000-0005-0000-0000-0000274A0000}"/>
    <cellStyle name="Note 4 2 3" xfId="18985" xr:uid="{00000000-0005-0000-0000-0000284A0000}"/>
    <cellStyle name="Note 4 3" xfId="18986" xr:uid="{00000000-0005-0000-0000-0000294A0000}"/>
    <cellStyle name="Note 4 3 2" xfId="18987" xr:uid="{00000000-0005-0000-0000-00002A4A0000}"/>
    <cellStyle name="Note 4 3 2 2" xfId="18988" xr:uid="{00000000-0005-0000-0000-00002B4A0000}"/>
    <cellStyle name="Note 4 3 3" xfId="18989" xr:uid="{00000000-0005-0000-0000-00002C4A0000}"/>
    <cellStyle name="Note 4 4" xfId="18990" xr:uid="{00000000-0005-0000-0000-00002D4A0000}"/>
    <cellStyle name="Note 5" xfId="18991" xr:uid="{00000000-0005-0000-0000-00002E4A0000}"/>
    <cellStyle name="Note 5 10" xfId="18992" xr:uid="{00000000-0005-0000-0000-00002F4A0000}"/>
    <cellStyle name="Note 5 10 2" xfId="18993" xr:uid="{00000000-0005-0000-0000-0000304A0000}"/>
    <cellStyle name="Note 5 10 2 2" xfId="18994" xr:uid="{00000000-0005-0000-0000-0000314A0000}"/>
    <cellStyle name="Note 5 10 3" xfId="18995" xr:uid="{00000000-0005-0000-0000-0000324A0000}"/>
    <cellStyle name="Note 5 11" xfId="18996" xr:uid="{00000000-0005-0000-0000-0000334A0000}"/>
    <cellStyle name="Note 5 11 2" xfId="18997" xr:uid="{00000000-0005-0000-0000-0000344A0000}"/>
    <cellStyle name="Note 5 12" xfId="18998" xr:uid="{00000000-0005-0000-0000-0000354A0000}"/>
    <cellStyle name="Note 5 12 2" xfId="18999" xr:uid="{00000000-0005-0000-0000-0000364A0000}"/>
    <cellStyle name="Note 5 13" xfId="19000" xr:uid="{00000000-0005-0000-0000-0000374A0000}"/>
    <cellStyle name="Note 5 13 2" xfId="19001" xr:uid="{00000000-0005-0000-0000-0000384A0000}"/>
    <cellStyle name="Note 5 14" xfId="19002" xr:uid="{00000000-0005-0000-0000-0000394A0000}"/>
    <cellStyle name="Note 5 2" xfId="19003" xr:uid="{00000000-0005-0000-0000-00003A4A0000}"/>
    <cellStyle name="Note 5 2 10" xfId="19004" xr:uid="{00000000-0005-0000-0000-00003B4A0000}"/>
    <cellStyle name="Note 5 2 10 2" xfId="19005" xr:uid="{00000000-0005-0000-0000-00003C4A0000}"/>
    <cellStyle name="Note 5 2 11" xfId="19006" xr:uid="{00000000-0005-0000-0000-00003D4A0000}"/>
    <cellStyle name="Note 5 2 2" xfId="19007" xr:uid="{00000000-0005-0000-0000-00003E4A0000}"/>
    <cellStyle name="Note 5 2 2 10" xfId="19008" xr:uid="{00000000-0005-0000-0000-00003F4A0000}"/>
    <cellStyle name="Note 5 2 2 2" xfId="19009" xr:uid="{00000000-0005-0000-0000-0000404A0000}"/>
    <cellStyle name="Note 5 2 2 2 2" xfId="19010" xr:uid="{00000000-0005-0000-0000-0000414A0000}"/>
    <cellStyle name="Note 5 2 2 2 2 2" xfId="19011" xr:uid="{00000000-0005-0000-0000-0000424A0000}"/>
    <cellStyle name="Note 5 2 2 2 2 2 2" xfId="19012" xr:uid="{00000000-0005-0000-0000-0000434A0000}"/>
    <cellStyle name="Note 5 2 2 2 2 2 2 2" xfId="19013" xr:uid="{00000000-0005-0000-0000-0000444A0000}"/>
    <cellStyle name="Note 5 2 2 2 2 2 3" xfId="19014" xr:uid="{00000000-0005-0000-0000-0000454A0000}"/>
    <cellStyle name="Note 5 2 2 2 2 2 3 2" xfId="19015" xr:uid="{00000000-0005-0000-0000-0000464A0000}"/>
    <cellStyle name="Note 5 2 2 2 2 2 4" xfId="19016" xr:uid="{00000000-0005-0000-0000-0000474A0000}"/>
    <cellStyle name="Note 5 2 2 2 2 3" xfId="19017" xr:uid="{00000000-0005-0000-0000-0000484A0000}"/>
    <cellStyle name="Note 5 2 2 2 2 3 2" xfId="19018" xr:uid="{00000000-0005-0000-0000-0000494A0000}"/>
    <cellStyle name="Note 5 2 2 2 2 4" xfId="19019" xr:uid="{00000000-0005-0000-0000-00004A4A0000}"/>
    <cellStyle name="Note 5 2 2 2 2 4 2" xfId="19020" xr:uid="{00000000-0005-0000-0000-00004B4A0000}"/>
    <cellStyle name="Note 5 2 2 2 2 5" xfId="19021" xr:uid="{00000000-0005-0000-0000-00004C4A0000}"/>
    <cellStyle name="Note 5 2 2 2 2 5 2" xfId="19022" xr:uid="{00000000-0005-0000-0000-00004D4A0000}"/>
    <cellStyle name="Note 5 2 2 2 2 6" xfId="19023" xr:uid="{00000000-0005-0000-0000-00004E4A0000}"/>
    <cellStyle name="Note 5 2 2 2 2 6 2" xfId="19024" xr:uid="{00000000-0005-0000-0000-00004F4A0000}"/>
    <cellStyle name="Note 5 2 2 2 2 7" xfId="19025" xr:uid="{00000000-0005-0000-0000-0000504A0000}"/>
    <cellStyle name="Note 5 2 2 2 3" xfId="19026" xr:uid="{00000000-0005-0000-0000-0000514A0000}"/>
    <cellStyle name="Note 5 2 2 2 3 2" xfId="19027" xr:uid="{00000000-0005-0000-0000-0000524A0000}"/>
    <cellStyle name="Note 5 2 2 2 3 2 2" xfId="19028" xr:uid="{00000000-0005-0000-0000-0000534A0000}"/>
    <cellStyle name="Note 5 2 2 2 3 3" xfId="19029" xr:uid="{00000000-0005-0000-0000-0000544A0000}"/>
    <cellStyle name="Note 5 2 2 2 3 3 2" xfId="19030" xr:uid="{00000000-0005-0000-0000-0000554A0000}"/>
    <cellStyle name="Note 5 2 2 2 3 4" xfId="19031" xr:uid="{00000000-0005-0000-0000-0000564A0000}"/>
    <cellStyle name="Note 5 2 2 2 3 4 2" xfId="19032" xr:uid="{00000000-0005-0000-0000-0000574A0000}"/>
    <cellStyle name="Note 5 2 2 2 3 5" xfId="19033" xr:uid="{00000000-0005-0000-0000-0000584A0000}"/>
    <cellStyle name="Note 5 2 2 2 3 5 2" xfId="19034" xr:uid="{00000000-0005-0000-0000-0000594A0000}"/>
    <cellStyle name="Note 5 2 2 2 3 6" xfId="19035" xr:uid="{00000000-0005-0000-0000-00005A4A0000}"/>
    <cellStyle name="Note 5 2 2 2 4" xfId="19036" xr:uid="{00000000-0005-0000-0000-00005B4A0000}"/>
    <cellStyle name="Note 5 2 2 2 4 2" xfId="19037" xr:uid="{00000000-0005-0000-0000-00005C4A0000}"/>
    <cellStyle name="Note 5 2 2 2 4 2 2" xfId="19038" xr:uid="{00000000-0005-0000-0000-00005D4A0000}"/>
    <cellStyle name="Note 5 2 2 2 4 3" xfId="19039" xr:uid="{00000000-0005-0000-0000-00005E4A0000}"/>
    <cellStyle name="Note 5 2 2 2 5" xfId="19040" xr:uid="{00000000-0005-0000-0000-00005F4A0000}"/>
    <cellStyle name="Note 5 2 2 2 5 2" xfId="19041" xr:uid="{00000000-0005-0000-0000-0000604A0000}"/>
    <cellStyle name="Note 5 2 2 2 6" xfId="19042" xr:uid="{00000000-0005-0000-0000-0000614A0000}"/>
    <cellStyle name="Note 5 2 2 2 6 2" xfId="19043" xr:uid="{00000000-0005-0000-0000-0000624A0000}"/>
    <cellStyle name="Note 5 2 2 2 7" xfId="19044" xr:uid="{00000000-0005-0000-0000-0000634A0000}"/>
    <cellStyle name="Note 5 2 2 2 7 2" xfId="19045" xr:uid="{00000000-0005-0000-0000-0000644A0000}"/>
    <cellStyle name="Note 5 2 2 2 8" xfId="19046" xr:uid="{00000000-0005-0000-0000-0000654A0000}"/>
    <cellStyle name="Note 5 2 2 3" xfId="19047" xr:uid="{00000000-0005-0000-0000-0000664A0000}"/>
    <cellStyle name="Note 5 2 2 3 2" xfId="19048" xr:uid="{00000000-0005-0000-0000-0000674A0000}"/>
    <cellStyle name="Note 5 2 2 3 2 2" xfId="19049" xr:uid="{00000000-0005-0000-0000-0000684A0000}"/>
    <cellStyle name="Note 5 2 2 3 2 2 2" xfId="19050" xr:uid="{00000000-0005-0000-0000-0000694A0000}"/>
    <cellStyle name="Note 5 2 2 3 2 2 2 2" xfId="19051" xr:uid="{00000000-0005-0000-0000-00006A4A0000}"/>
    <cellStyle name="Note 5 2 2 3 2 2 3" xfId="19052" xr:uid="{00000000-0005-0000-0000-00006B4A0000}"/>
    <cellStyle name="Note 5 2 2 3 2 2 3 2" xfId="19053" xr:uid="{00000000-0005-0000-0000-00006C4A0000}"/>
    <cellStyle name="Note 5 2 2 3 2 2 4" xfId="19054" xr:uid="{00000000-0005-0000-0000-00006D4A0000}"/>
    <cellStyle name="Note 5 2 2 3 2 3" xfId="19055" xr:uid="{00000000-0005-0000-0000-00006E4A0000}"/>
    <cellStyle name="Note 5 2 2 3 2 3 2" xfId="19056" xr:uid="{00000000-0005-0000-0000-00006F4A0000}"/>
    <cellStyle name="Note 5 2 2 3 2 4" xfId="19057" xr:uid="{00000000-0005-0000-0000-0000704A0000}"/>
    <cellStyle name="Note 5 2 2 3 2 4 2" xfId="19058" xr:uid="{00000000-0005-0000-0000-0000714A0000}"/>
    <cellStyle name="Note 5 2 2 3 2 5" xfId="19059" xr:uid="{00000000-0005-0000-0000-0000724A0000}"/>
    <cellStyle name="Note 5 2 2 3 2 5 2" xfId="19060" xr:uid="{00000000-0005-0000-0000-0000734A0000}"/>
    <cellStyle name="Note 5 2 2 3 2 6" xfId="19061" xr:uid="{00000000-0005-0000-0000-0000744A0000}"/>
    <cellStyle name="Note 5 2 2 3 2 6 2" xfId="19062" xr:uid="{00000000-0005-0000-0000-0000754A0000}"/>
    <cellStyle name="Note 5 2 2 3 2 7" xfId="19063" xr:uid="{00000000-0005-0000-0000-0000764A0000}"/>
    <cellStyle name="Note 5 2 2 3 3" xfId="19064" xr:uid="{00000000-0005-0000-0000-0000774A0000}"/>
    <cellStyle name="Note 5 2 2 3 3 2" xfId="19065" xr:uid="{00000000-0005-0000-0000-0000784A0000}"/>
    <cellStyle name="Note 5 2 2 3 3 2 2" xfId="19066" xr:uid="{00000000-0005-0000-0000-0000794A0000}"/>
    <cellStyle name="Note 5 2 2 3 3 3" xfId="19067" xr:uid="{00000000-0005-0000-0000-00007A4A0000}"/>
    <cellStyle name="Note 5 2 2 3 3 3 2" xfId="19068" xr:uid="{00000000-0005-0000-0000-00007B4A0000}"/>
    <cellStyle name="Note 5 2 2 3 3 4" xfId="19069" xr:uid="{00000000-0005-0000-0000-00007C4A0000}"/>
    <cellStyle name="Note 5 2 2 3 3 4 2" xfId="19070" xr:uid="{00000000-0005-0000-0000-00007D4A0000}"/>
    <cellStyle name="Note 5 2 2 3 3 5" xfId="19071" xr:uid="{00000000-0005-0000-0000-00007E4A0000}"/>
    <cellStyle name="Note 5 2 2 3 3 5 2" xfId="19072" xr:uid="{00000000-0005-0000-0000-00007F4A0000}"/>
    <cellStyle name="Note 5 2 2 3 3 6" xfId="19073" xr:uid="{00000000-0005-0000-0000-0000804A0000}"/>
    <cellStyle name="Note 5 2 2 3 4" xfId="19074" xr:uid="{00000000-0005-0000-0000-0000814A0000}"/>
    <cellStyle name="Note 5 2 2 3 4 2" xfId="19075" xr:uid="{00000000-0005-0000-0000-0000824A0000}"/>
    <cellStyle name="Note 5 2 2 3 4 2 2" xfId="19076" xr:uid="{00000000-0005-0000-0000-0000834A0000}"/>
    <cellStyle name="Note 5 2 2 3 4 3" xfId="19077" xr:uid="{00000000-0005-0000-0000-0000844A0000}"/>
    <cellStyle name="Note 5 2 2 3 5" xfId="19078" xr:uid="{00000000-0005-0000-0000-0000854A0000}"/>
    <cellStyle name="Note 5 2 2 3 5 2" xfId="19079" xr:uid="{00000000-0005-0000-0000-0000864A0000}"/>
    <cellStyle name="Note 5 2 2 3 6" xfId="19080" xr:uid="{00000000-0005-0000-0000-0000874A0000}"/>
    <cellStyle name="Note 5 2 2 3 6 2" xfId="19081" xr:uid="{00000000-0005-0000-0000-0000884A0000}"/>
    <cellStyle name="Note 5 2 2 3 7" xfId="19082" xr:uid="{00000000-0005-0000-0000-0000894A0000}"/>
    <cellStyle name="Note 5 2 2 3 7 2" xfId="19083" xr:uid="{00000000-0005-0000-0000-00008A4A0000}"/>
    <cellStyle name="Note 5 2 2 3 8" xfId="19084" xr:uid="{00000000-0005-0000-0000-00008B4A0000}"/>
    <cellStyle name="Note 5 2 2 4" xfId="19085" xr:uid="{00000000-0005-0000-0000-00008C4A0000}"/>
    <cellStyle name="Note 5 2 2 4 2" xfId="19086" xr:uid="{00000000-0005-0000-0000-00008D4A0000}"/>
    <cellStyle name="Note 5 2 2 4 2 2" xfId="19087" xr:uid="{00000000-0005-0000-0000-00008E4A0000}"/>
    <cellStyle name="Note 5 2 2 4 2 2 2" xfId="19088" xr:uid="{00000000-0005-0000-0000-00008F4A0000}"/>
    <cellStyle name="Note 5 2 2 4 2 3" xfId="19089" xr:uid="{00000000-0005-0000-0000-0000904A0000}"/>
    <cellStyle name="Note 5 2 2 4 2 3 2" xfId="19090" xr:uid="{00000000-0005-0000-0000-0000914A0000}"/>
    <cellStyle name="Note 5 2 2 4 2 4" xfId="19091" xr:uid="{00000000-0005-0000-0000-0000924A0000}"/>
    <cellStyle name="Note 5 2 2 4 3" xfId="19092" xr:uid="{00000000-0005-0000-0000-0000934A0000}"/>
    <cellStyle name="Note 5 2 2 4 3 2" xfId="19093" xr:uid="{00000000-0005-0000-0000-0000944A0000}"/>
    <cellStyle name="Note 5 2 2 4 4" xfId="19094" xr:uid="{00000000-0005-0000-0000-0000954A0000}"/>
    <cellStyle name="Note 5 2 2 4 4 2" xfId="19095" xr:uid="{00000000-0005-0000-0000-0000964A0000}"/>
    <cellStyle name="Note 5 2 2 4 5" xfId="19096" xr:uid="{00000000-0005-0000-0000-0000974A0000}"/>
    <cellStyle name="Note 5 2 2 4 5 2" xfId="19097" xr:uid="{00000000-0005-0000-0000-0000984A0000}"/>
    <cellStyle name="Note 5 2 2 4 6" xfId="19098" xr:uid="{00000000-0005-0000-0000-0000994A0000}"/>
    <cellStyle name="Note 5 2 2 4 6 2" xfId="19099" xr:uid="{00000000-0005-0000-0000-00009A4A0000}"/>
    <cellStyle name="Note 5 2 2 4 7" xfId="19100" xr:uid="{00000000-0005-0000-0000-00009B4A0000}"/>
    <cellStyle name="Note 5 2 2 5" xfId="19101" xr:uid="{00000000-0005-0000-0000-00009C4A0000}"/>
    <cellStyle name="Note 5 2 2 5 2" xfId="19102" xr:uid="{00000000-0005-0000-0000-00009D4A0000}"/>
    <cellStyle name="Note 5 2 2 5 2 2" xfId="19103" xr:uid="{00000000-0005-0000-0000-00009E4A0000}"/>
    <cellStyle name="Note 5 2 2 5 3" xfId="19104" xr:uid="{00000000-0005-0000-0000-00009F4A0000}"/>
    <cellStyle name="Note 5 2 2 5 3 2" xfId="19105" xr:uid="{00000000-0005-0000-0000-0000A04A0000}"/>
    <cellStyle name="Note 5 2 2 5 4" xfId="19106" xr:uid="{00000000-0005-0000-0000-0000A14A0000}"/>
    <cellStyle name="Note 5 2 2 5 4 2" xfId="19107" xr:uid="{00000000-0005-0000-0000-0000A24A0000}"/>
    <cellStyle name="Note 5 2 2 5 5" xfId="19108" xr:uid="{00000000-0005-0000-0000-0000A34A0000}"/>
    <cellStyle name="Note 5 2 2 5 5 2" xfId="19109" xr:uid="{00000000-0005-0000-0000-0000A44A0000}"/>
    <cellStyle name="Note 5 2 2 5 6" xfId="19110" xr:uid="{00000000-0005-0000-0000-0000A54A0000}"/>
    <cellStyle name="Note 5 2 2 6" xfId="19111" xr:uid="{00000000-0005-0000-0000-0000A64A0000}"/>
    <cellStyle name="Note 5 2 2 6 2" xfId="19112" xr:uid="{00000000-0005-0000-0000-0000A74A0000}"/>
    <cellStyle name="Note 5 2 2 6 2 2" xfId="19113" xr:uid="{00000000-0005-0000-0000-0000A84A0000}"/>
    <cellStyle name="Note 5 2 2 6 3" xfId="19114" xr:uid="{00000000-0005-0000-0000-0000A94A0000}"/>
    <cellStyle name="Note 5 2 2 7" xfId="19115" xr:uid="{00000000-0005-0000-0000-0000AA4A0000}"/>
    <cellStyle name="Note 5 2 2 7 2" xfId="19116" xr:uid="{00000000-0005-0000-0000-0000AB4A0000}"/>
    <cellStyle name="Note 5 2 2 8" xfId="19117" xr:uid="{00000000-0005-0000-0000-0000AC4A0000}"/>
    <cellStyle name="Note 5 2 2 8 2" xfId="19118" xr:uid="{00000000-0005-0000-0000-0000AD4A0000}"/>
    <cellStyle name="Note 5 2 2 9" xfId="19119" xr:uid="{00000000-0005-0000-0000-0000AE4A0000}"/>
    <cellStyle name="Note 5 2 2 9 2" xfId="19120" xr:uid="{00000000-0005-0000-0000-0000AF4A0000}"/>
    <cellStyle name="Note 5 2 3" xfId="19121" xr:uid="{00000000-0005-0000-0000-0000B04A0000}"/>
    <cellStyle name="Note 5 2 3 2" xfId="19122" xr:uid="{00000000-0005-0000-0000-0000B14A0000}"/>
    <cellStyle name="Note 5 2 3 2 2" xfId="19123" xr:uid="{00000000-0005-0000-0000-0000B24A0000}"/>
    <cellStyle name="Note 5 2 3 2 2 2" xfId="19124" xr:uid="{00000000-0005-0000-0000-0000B34A0000}"/>
    <cellStyle name="Note 5 2 3 2 2 2 2" xfId="19125" xr:uid="{00000000-0005-0000-0000-0000B44A0000}"/>
    <cellStyle name="Note 5 2 3 2 2 3" xfId="19126" xr:uid="{00000000-0005-0000-0000-0000B54A0000}"/>
    <cellStyle name="Note 5 2 3 2 2 3 2" xfId="19127" xr:uid="{00000000-0005-0000-0000-0000B64A0000}"/>
    <cellStyle name="Note 5 2 3 2 2 4" xfId="19128" xr:uid="{00000000-0005-0000-0000-0000B74A0000}"/>
    <cellStyle name="Note 5 2 3 2 3" xfId="19129" xr:uid="{00000000-0005-0000-0000-0000B84A0000}"/>
    <cellStyle name="Note 5 2 3 2 3 2" xfId="19130" xr:uid="{00000000-0005-0000-0000-0000B94A0000}"/>
    <cellStyle name="Note 5 2 3 2 4" xfId="19131" xr:uid="{00000000-0005-0000-0000-0000BA4A0000}"/>
    <cellStyle name="Note 5 2 3 2 4 2" xfId="19132" xr:uid="{00000000-0005-0000-0000-0000BB4A0000}"/>
    <cellStyle name="Note 5 2 3 2 5" xfId="19133" xr:uid="{00000000-0005-0000-0000-0000BC4A0000}"/>
    <cellStyle name="Note 5 2 3 2 5 2" xfId="19134" xr:uid="{00000000-0005-0000-0000-0000BD4A0000}"/>
    <cellStyle name="Note 5 2 3 2 6" xfId="19135" xr:uid="{00000000-0005-0000-0000-0000BE4A0000}"/>
    <cellStyle name="Note 5 2 3 2 6 2" xfId="19136" xr:uid="{00000000-0005-0000-0000-0000BF4A0000}"/>
    <cellStyle name="Note 5 2 3 2 7" xfId="19137" xr:uid="{00000000-0005-0000-0000-0000C04A0000}"/>
    <cellStyle name="Note 5 2 3 3" xfId="19138" xr:uid="{00000000-0005-0000-0000-0000C14A0000}"/>
    <cellStyle name="Note 5 2 3 3 2" xfId="19139" xr:uid="{00000000-0005-0000-0000-0000C24A0000}"/>
    <cellStyle name="Note 5 2 3 3 2 2" xfId="19140" xr:uid="{00000000-0005-0000-0000-0000C34A0000}"/>
    <cellStyle name="Note 5 2 3 3 3" xfId="19141" xr:uid="{00000000-0005-0000-0000-0000C44A0000}"/>
    <cellStyle name="Note 5 2 3 3 3 2" xfId="19142" xr:uid="{00000000-0005-0000-0000-0000C54A0000}"/>
    <cellStyle name="Note 5 2 3 3 4" xfId="19143" xr:uid="{00000000-0005-0000-0000-0000C64A0000}"/>
    <cellStyle name="Note 5 2 3 3 4 2" xfId="19144" xr:uid="{00000000-0005-0000-0000-0000C74A0000}"/>
    <cellStyle name="Note 5 2 3 3 5" xfId="19145" xr:uid="{00000000-0005-0000-0000-0000C84A0000}"/>
    <cellStyle name="Note 5 2 3 3 5 2" xfId="19146" xr:uid="{00000000-0005-0000-0000-0000C94A0000}"/>
    <cellStyle name="Note 5 2 3 3 6" xfId="19147" xr:uid="{00000000-0005-0000-0000-0000CA4A0000}"/>
    <cellStyle name="Note 5 2 3 4" xfId="19148" xr:uid="{00000000-0005-0000-0000-0000CB4A0000}"/>
    <cellStyle name="Note 5 2 3 4 2" xfId="19149" xr:uid="{00000000-0005-0000-0000-0000CC4A0000}"/>
    <cellStyle name="Note 5 2 3 4 2 2" xfId="19150" xr:uid="{00000000-0005-0000-0000-0000CD4A0000}"/>
    <cellStyle name="Note 5 2 3 4 3" xfId="19151" xr:uid="{00000000-0005-0000-0000-0000CE4A0000}"/>
    <cellStyle name="Note 5 2 3 5" xfId="19152" xr:uid="{00000000-0005-0000-0000-0000CF4A0000}"/>
    <cellStyle name="Note 5 2 3 5 2" xfId="19153" xr:uid="{00000000-0005-0000-0000-0000D04A0000}"/>
    <cellStyle name="Note 5 2 3 6" xfId="19154" xr:uid="{00000000-0005-0000-0000-0000D14A0000}"/>
    <cellStyle name="Note 5 2 3 6 2" xfId="19155" xr:uid="{00000000-0005-0000-0000-0000D24A0000}"/>
    <cellStyle name="Note 5 2 3 7" xfId="19156" xr:uid="{00000000-0005-0000-0000-0000D34A0000}"/>
    <cellStyle name="Note 5 2 3 7 2" xfId="19157" xr:uid="{00000000-0005-0000-0000-0000D44A0000}"/>
    <cellStyle name="Note 5 2 3 8" xfId="19158" xr:uid="{00000000-0005-0000-0000-0000D54A0000}"/>
    <cellStyle name="Note 5 2 4" xfId="19159" xr:uid="{00000000-0005-0000-0000-0000D64A0000}"/>
    <cellStyle name="Note 5 2 4 2" xfId="19160" xr:uid="{00000000-0005-0000-0000-0000D74A0000}"/>
    <cellStyle name="Note 5 2 4 2 2" xfId="19161" xr:uid="{00000000-0005-0000-0000-0000D84A0000}"/>
    <cellStyle name="Note 5 2 4 2 2 2" xfId="19162" xr:uid="{00000000-0005-0000-0000-0000D94A0000}"/>
    <cellStyle name="Note 5 2 4 2 2 2 2" xfId="19163" xr:uid="{00000000-0005-0000-0000-0000DA4A0000}"/>
    <cellStyle name="Note 5 2 4 2 2 3" xfId="19164" xr:uid="{00000000-0005-0000-0000-0000DB4A0000}"/>
    <cellStyle name="Note 5 2 4 2 2 3 2" xfId="19165" xr:uid="{00000000-0005-0000-0000-0000DC4A0000}"/>
    <cellStyle name="Note 5 2 4 2 2 4" xfId="19166" xr:uid="{00000000-0005-0000-0000-0000DD4A0000}"/>
    <cellStyle name="Note 5 2 4 2 3" xfId="19167" xr:uid="{00000000-0005-0000-0000-0000DE4A0000}"/>
    <cellStyle name="Note 5 2 4 2 3 2" xfId="19168" xr:uid="{00000000-0005-0000-0000-0000DF4A0000}"/>
    <cellStyle name="Note 5 2 4 2 4" xfId="19169" xr:uid="{00000000-0005-0000-0000-0000E04A0000}"/>
    <cellStyle name="Note 5 2 4 2 4 2" xfId="19170" xr:uid="{00000000-0005-0000-0000-0000E14A0000}"/>
    <cellStyle name="Note 5 2 4 2 5" xfId="19171" xr:uid="{00000000-0005-0000-0000-0000E24A0000}"/>
    <cellStyle name="Note 5 2 4 2 5 2" xfId="19172" xr:uid="{00000000-0005-0000-0000-0000E34A0000}"/>
    <cellStyle name="Note 5 2 4 2 6" xfId="19173" xr:uid="{00000000-0005-0000-0000-0000E44A0000}"/>
    <cellStyle name="Note 5 2 4 2 6 2" xfId="19174" xr:uid="{00000000-0005-0000-0000-0000E54A0000}"/>
    <cellStyle name="Note 5 2 4 2 7" xfId="19175" xr:uid="{00000000-0005-0000-0000-0000E64A0000}"/>
    <cellStyle name="Note 5 2 4 3" xfId="19176" xr:uid="{00000000-0005-0000-0000-0000E74A0000}"/>
    <cellStyle name="Note 5 2 4 3 2" xfId="19177" xr:uid="{00000000-0005-0000-0000-0000E84A0000}"/>
    <cellStyle name="Note 5 2 4 3 2 2" xfId="19178" xr:uid="{00000000-0005-0000-0000-0000E94A0000}"/>
    <cellStyle name="Note 5 2 4 3 3" xfId="19179" xr:uid="{00000000-0005-0000-0000-0000EA4A0000}"/>
    <cellStyle name="Note 5 2 4 3 3 2" xfId="19180" xr:uid="{00000000-0005-0000-0000-0000EB4A0000}"/>
    <cellStyle name="Note 5 2 4 3 4" xfId="19181" xr:uid="{00000000-0005-0000-0000-0000EC4A0000}"/>
    <cellStyle name="Note 5 2 4 3 4 2" xfId="19182" xr:uid="{00000000-0005-0000-0000-0000ED4A0000}"/>
    <cellStyle name="Note 5 2 4 3 5" xfId="19183" xr:uid="{00000000-0005-0000-0000-0000EE4A0000}"/>
    <cellStyle name="Note 5 2 4 3 5 2" xfId="19184" xr:uid="{00000000-0005-0000-0000-0000EF4A0000}"/>
    <cellStyle name="Note 5 2 4 3 6" xfId="19185" xr:uid="{00000000-0005-0000-0000-0000F04A0000}"/>
    <cellStyle name="Note 5 2 4 4" xfId="19186" xr:uid="{00000000-0005-0000-0000-0000F14A0000}"/>
    <cellStyle name="Note 5 2 4 4 2" xfId="19187" xr:uid="{00000000-0005-0000-0000-0000F24A0000}"/>
    <cellStyle name="Note 5 2 4 4 2 2" xfId="19188" xr:uid="{00000000-0005-0000-0000-0000F34A0000}"/>
    <cellStyle name="Note 5 2 4 4 3" xfId="19189" xr:uid="{00000000-0005-0000-0000-0000F44A0000}"/>
    <cellStyle name="Note 5 2 4 5" xfId="19190" xr:uid="{00000000-0005-0000-0000-0000F54A0000}"/>
    <cellStyle name="Note 5 2 4 5 2" xfId="19191" xr:uid="{00000000-0005-0000-0000-0000F64A0000}"/>
    <cellStyle name="Note 5 2 4 6" xfId="19192" xr:uid="{00000000-0005-0000-0000-0000F74A0000}"/>
    <cellStyle name="Note 5 2 4 6 2" xfId="19193" xr:uid="{00000000-0005-0000-0000-0000F84A0000}"/>
    <cellStyle name="Note 5 2 4 7" xfId="19194" xr:uid="{00000000-0005-0000-0000-0000F94A0000}"/>
    <cellStyle name="Note 5 2 4 7 2" xfId="19195" xr:uid="{00000000-0005-0000-0000-0000FA4A0000}"/>
    <cellStyle name="Note 5 2 4 8" xfId="19196" xr:uid="{00000000-0005-0000-0000-0000FB4A0000}"/>
    <cellStyle name="Note 5 2 5" xfId="19197" xr:uid="{00000000-0005-0000-0000-0000FC4A0000}"/>
    <cellStyle name="Note 5 2 5 2" xfId="19198" xr:uid="{00000000-0005-0000-0000-0000FD4A0000}"/>
    <cellStyle name="Note 5 2 5 2 2" xfId="19199" xr:uid="{00000000-0005-0000-0000-0000FE4A0000}"/>
    <cellStyle name="Note 5 2 5 2 2 2" xfId="19200" xr:uid="{00000000-0005-0000-0000-0000FF4A0000}"/>
    <cellStyle name="Note 5 2 5 2 3" xfId="19201" xr:uid="{00000000-0005-0000-0000-0000004B0000}"/>
    <cellStyle name="Note 5 2 5 2 3 2" xfId="19202" xr:uid="{00000000-0005-0000-0000-0000014B0000}"/>
    <cellStyle name="Note 5 2 5 2 4" xfId="19203" xr:uid="{00000000-0005-0000-0000-0000024B0000}"/>
    <cellStyle name="Note 5 2 5 3" xfId="19204" xr:uid="{00000000-0005-0000-0000-0000034B0000}"/>
    <cellStyle name="Note 5 2 5 3 2" xfId="19205" xr:uid="{00000000-0005-0000-0000-0000044B0000}"/>
    <cellStyle name="Note 5 2 5 4" xfId="19206" xr:uid="{00000000-0005-0000-0000-0000054B0000}"/>
    <cellStyle name="Note 5 2 5 4 2" xfId="19207" xr:uid="{00000000-0005-0000-0000-0000064B0000}"/>
    <cellStyle name="Note 5 2 5 5" xfId="19208" xr:uid="{00000000-0005-0000-0000-0000074B0000}"/>
    <cellStyle name="Note 5 2 5 5 2" xfId="19209" xr:uid="{00000000-0005-0000-0000-0000084B0000}"/>
    <cellStyle name="Note 5 2 5 6" xfId="19210" xr:uid="{00000000-0005-0000-0000-0000094B0000}"/>
    <cellStyle name="Note 5 2 5 6 2" xfId="19211" xr:uid="{00000000-0005-0000-0000-00000A4B0000}"/>
    <cellStyle name="Note 5 2 5 7" xfId="19212" xr:uid="{00000000-0005-0000-0000-00000B4B0000}"/>
    <cellStyle name="Note 5 2 6" xfId="19213" xr:uid="{00000000-0005-0000-0000-00000C4B0000}"/>
    <cellStyle name="Note 5 2 6 2" xfId="19214" xr:uid="{00000000-0005-0000-0000-00000D4B0000}"/>
    <cellStyle name="Note 5 2 6 2 2" xfId="19215" xr:uid="{00000000-0005-0000-0000-00000E4B0000}"/>
    <cellStyle name="Note 5 2 6 3" xfId="19216" xr:uid="{00000000-0005-0000-0000-00000F4B0000}"/>
    <cellStyle name="Note 5 2 6 3 2" xfId="19217" xr:uid="{00000000-0005-0000-0000-0000104B0000}"/>
    <cellStyle name="Note 5 2 6 4" xfId="19218" xr:uid="{00000000-0005-0000-0000-0000114B0000}"/>
    <cellStyle name="Note 5 2 6 4 2" xfId="19219" xr:uid="{00000000-0005-0000-0000-0000124B0000}"/>
    <cellStyle name="Note 5 2 6 5" xfId="19220" xr:uid="{00000000-0005-0000-0000-0000134B0000}"/>
    <cellStyle name="Note 5 2 6 5 2" xfId="19221" xr:uid="{00000000-0005-0000-0000-0000144B0000}"/>
    <cellStyle name="Note 5 2 6 6" xfId="19222" xr:uid="{00000000-0005-0000-0000-0000154B0000}"/>
    <cellStyle name="Note 5 2 7" xfId="19223" xr:uid="{00000000-0005-0000-0000-0000164B0000}"/>
    <cellStyle name="Note 5 2 7 2" xfId="19224" xr:uid="{00000000-0005-0000-0000-0000174B0000}"/>
    <cellStyle name="Note 5 2 7 2 2" xfId="19225" xr:uid="{00000000-0005-0000-0000-0000184B0000}"/>
    <cellStyle name="Note 5 2 7 3" xfId="19226" xr:uid="{00000000-0005-0000-0000-0000194B0000}"/>
    <cellStyle name="Note 5 2 8" xfId="19227" xr:uid="{00000000-0005-0000-0000-00001A4B0000}"/>
    <cellStyle name="Note 5 2 8 2" xfId="19228" xr:uid="{00000000-0005-0000-0000-00001B4B0000}"/>
    <cellStyle name="Note 5 2 9" xfId="19229" xr:uid="{00000000-0005-0000-0000-00001C4B0000}"/>
    <cellStyle name="Note 5 2 9 2" xfId="19230" xr:uid="{00000000-0005-0000-0000-00001D4B0000}"/>
    <cellStyle name="Note 5 3" xfId="19231" xr:uid="{00000000-0005-0000-0000-00001E4B0000}"/>
    <cellStyle name="Note 5 3 10" xfId="19232" xr:uid="{00000000-0005-0000-0000-00001F4B0000}"/>
    <cellStyle name="Note 5 3 2" xfId="19233" xr:uid="{00000000-0005-0000-0000-0000204B0000}"/>
    <cellStyle name="Note 5 3 2 2" xfId="19234" xr:uid="{00000000-0005-0000-0000-0000214B0000}"/>
    <cellStyle name="Note 5 3 2 2 2" xfId="19235" xr:uid="{00000000-0005-0000-0000-0000224B0000}"/>
    <cellStyle name="Note 5 3 2 2 2 2" xfId="19236" xr:uid="{00000000-0005-0000-0000-0000234B0000}"/>
    <cellStyle name="Note 5 3 2 2 2 2 2" xfId="19237" xr:uid="{00000000-0005-0000-0000-0000244B0000}"/>
    <cellStyle name="Note 5 3 2 2 2 3" xfId="19238" xr:uid="{00000000-0005-0000-0000-0000254B0000}"/>
    <cellStyle name="Note 5 3 2 2 2 3 2" xfId="19239" xr:uid="{00000000-0005-0000-0000-0000264B0000}"/>
    <cellStyle name="Note 5 3 2 2 2 4" xfId="19240" xr:uid="{00000000-0005-0000-0000-0000274B0000}"/>
    <cellStyle name="Note 5 3 2 2 3" xfId="19241" xr:uid="{00000000-0005-0000-0000-0000284B0000}"/>
    <cellStyle name="Note 5 3 2 2 3 2" xfId="19242" xr:uid="{00000000-0005-0000-0000-0000294B0000}"/>
    <cellStyle name="Note 5 3 2 2 4" xfId="19243" xr:uid="{00000000-0005-0000-0000-00002A4B0000}"/>
    <cellStyle name="Note 5 3 2 2 4 2" xfId="19244" xr:uid="{00000000-0005-0000-0000-00002B4B0000}"/>
    <cellStyle name="Note 5 3 2 2 5" xfId="19245" xr:uid="{00000000-0005-0000-0000-00002C4B0000}"/>
    <cellStyle name="Note 5 3 2 2 5 2" xfId="19246" xr:uid="{00000000-0005-0000-0000-00002D4B0000}"/>
    <cellStyle name="Note 5 3 2 2 6" xfId="19247" xr:uid="{00000000-0005-0000-0000-00002E4B0000}"/>
    <cellStyle name="Note 5 3 2 2 6 2" xfId="19248" xr:uid="{00000000-0005-0000-0000-00002F4B0000}"/>
    <cellStyle name="Note 5 3 2 2 7" xfId="19249" xr:uid="{00000000-0005-0000-0000-0000304B0000}"/>
    <cellStyle name="Note 5 3 2 3" xfId="19250" xr:uid="{00000000-0005-0000-0000-0000314B0000}"/>
    <cellStyle name="Note 5 3 2 3 2" xfId="19251" xr:uid="{00000000-0005-0000-0000-0000324B0000}"/>
    <cellStyle name="Note 5 3 2 3 2 2" xfId="19252" xr:uid="{00000000-0005-0000-0000-0000334B0000}"/>
    <cellStyle name="Note 5 3 2 3 3" xfId="19253" xr:uid="{00000000-0005-0000-0000-0000344B0000}"/>
    <cellStyle name="Note 5 3 2 3 3 2" xfId="19254" xr:uid="{00000000-0005-0000-0000-0000354B0000}"/>
    <cellStyle name="Note 5 3 2 3 4" xfId="19255" xr:uid="{00000000-0005-0000-0000-0000364B0000}"/>
    <cellStyle name="Note 5 3 2 3 4 2" xfId="19256" xr:uid="{00000000-0005-0000-0000-0000374B0000}"/>
    <cellStyle name="Note 5 3 2 3 5" xfId="19257" xr:uid="{00000000-0005-0000-0000-0000384B0000}"/>
    <cellStyle name="Note 5 3 2 3 5 2" xfId="19258" xr:uid="{00000000-0005-0000-0000-0000394B0000}"/>
    <cellStyle name="Note 5 3 2 3 6" xfId="19259" xr:uid="{00000000-0005-0000-0000-00003A4B0000}"/>
    <cellStyle name="Note 5 3 2 4" xfId="19260" xr:uid="{00000000-0005-0000-0000-00003B4B0000}"/>
    <cellStyle name="Note 5 3 2 4 2" xfId="19261" xr:uid="{00000000-0005-0000-0000-00003C4B0000}"/>
    <cellStyle name="Note 5 3 2 4 2 2" xfId="19262" xr:uid="{00000000-0005-0000-0000-00003D4B0000}"/>
    <cellStyle name="Note 5 3 2 4 3" xfId="19263" xr:uid="{00000000-0005-0000-0000-00003E4B0000}"/>
    <cellStyle name="Note 5 3 2 5" xfId="19264" xr:uid="{00000000-0005-0000-0000-00003F4B0000}"/>
    <cellStyle name="Note 5 3 2 5 2" xfId="19265" xr:uid="{00000000-0005-0000-0000-0000404B0000}"/>
    <cellStyle name="Note 5 3 2 6" xfId="19266" xr:uid="{00000000-0005-0000-0000-0000414B0000}"/>
    <cellStyle name="Note 5 3 2 6 2" xfId="19267" xr:uid="{00000000-0005-0000-0000-0000424B0000}"/>
    <cellStyle name="Note 5 3 2 7" xfId="19268" xr:uid="{00000000-0005-0000-0000-0000434B0000}"/>
    <cellStyle name="Note 5 3 2 7 2" xfId="19269" xr:uid="{00000000-0005-0000-0000-0000444B0000}"/>
    <cellStyle name="Note 5 3 2 8" xfId="19270" xr:uid="{00000000-0005-0000-0000-0000454B0000}"/>
    <cellStyle name="Note 5 3 3" xfId="19271" xr:uid="{00000000-0005-0000-0000-0000464B0000}"/>
    <cellStyle name="Note 5 3 3 2" xfId="19272" xr:uid="{00000000-0005-0000-0000-0000474B0000}"/>
    <cellStyle name="Note 5 3 3 2 2" xfId="19273" xr:uid="{00000000-0005-0000-0000-0000484B0000}"/>
    <cellStyle name="Note 5 3 3 2 2 2" xfId="19274" xr:uid="{00000000-0005-0000-0000-0000494B0000}"/>
    <cellStyle name="Note 5 3 3 2 2 2 2" xfId="19275" xr:uid="{00000000-0005-0000-0000-00004A4B0000}"/>
    <cellStyle name="Note 5 3 3 2 2 3" xfId="19276" xr:uid="{00000000-0005-0000-0000-00004B4B0000}"/>
    <cellStyle name="Note 5 3 3 2 2 3 2" xfId="19277" xr:uid="{00000000-0005-0000-0000-00004C4B0000}"/>
    <cellStyle name="Note 5 3 3 2 2 4" xfId="19278" xr:uid="{00000000-0005-0000-0000-00004D4B0000}"/>
    <cellStyle name="Note 5 3 3 2 3" xfId="19279" xr:uid="{00000000-0005-0000-0000-00004E4B0000}"/>
    <cellStyle name="Note 5 3 3 2 3 2" xfId="19280" xr:uid="{00000000-0005-0000-0000-00004F4B0000}"/>
    <cellStyle name="Note 5 3 3 2 4" xfId="19281" xr:uid="{00000000-0005-0000-0000-0000504B0000}"/>
    <cellStyle name="Note 5 3 3 2 4 2" xfId="19282" xr:uid="{00000000-0005-0000-0000-0000514B0000}"/>
    <cellStyle name="Note 5 3 3 2 5" xfId="19283" xr:uid="{00000000-0005-0000-0000-0000524B0000}"/>
    <cellStyle name="Note 5 3 3 2 5 2" xfId="19284" xr:uid="{00000000-0005-0000-0000-0000534B0000}"/>
    <cellStyle name="Note 5 3 3 2 6" xfId="19285" xr:uid="{00000000-0005-0000-0000-0000544B0000}"/>
    <cellStyle name="Note 5 3 3 2 6 2" xfId="19286" xr:uid="{00000000-0005-0000-0000-0000554B0000}"/>
    <cellStyle name="Note 5 3 3 2 7" xfId="19287" xr:uid="{00000000-0005-0000-0000-0000564B0000}"/>
    <cellStyle name="Note 5 3 3 3" xfId="19288" xr:uid="{00000000-0005-0000-0000-0000574B0000}"/>
    <cellStyle name="Note 5 3 3 3 2" xfId="19289" xr:uid="{00000000-0005-0000-0000-0000584B0000}"/>
    <cellStyle name="Note 5 3 3 3 2 2" xfId="19290" xr:uid="{00000000-0005-0000-0000-0000594B0000}"/>
    <cellStyle name="Note 5 3 3 3 3" xfId="19291" xr:uid="{00000000-0005-0000-0000-00005A4B0000}"/>
    <cellStyle name="Note 5 3 3 3 3 2" xfId="19292" xr:uid="{00000000-0005-0000-0000-00005B4B0000}"/>
    <cellStyle name="Note 5 3 3 3 4" xfId="19293" xr:uid="{00000000-0005-0000-0000-00005C4B0000}"/>
    <cellStyle name="Note 5 3 3 3 4 2" xfId="19294" xr:uid="{00000000-0005-0000-0000-00005D4B0000}"/>
    <cellStyle name="Note 5 3 3 3 5" xfId="19295" xr:uid="{00000000-0005-0000-0000-00005E4B0000}"/>
    <cellStyle name="Note 5 3 3 3 5 2" xfId="19296" xr:uid="{00000000-0005-0000-0000-00005F4B0000}"/>
    <cellStyle name="Note 5 3 3 3 6" xfId="19297" xr:uid="{00000000-0005-0000-0000-0000604B0000}"/>
    <cellStyle name="Note 5 3 3 4" xfId="19298" xr:uid="{00000000-0005-0000-0000-0000614B0000}"/>
    <cellStyle name="Note 5 3 3 4 2" xfId="19299" xr:uid="{00000000-0005-0000-0000-0000624B0000}"/>
    <cellStyle name="Note 5 3 3 4 2 2" xfId="19300" xr:uid="{00000000-0005-0000-0000-0000634B0000}"/>
    <cellStyle name="Note 5 3 3 4 3" xfId="19301" xr:uid="{00000000-0005-0000-0000-0000644B0000}"/>
    <cellStyle name="Note 5 3 3 5" xfId="19302" xr:uid="{00000000-0005-0000-0000-0000654B0000}"/>
    <cellStyle name="Note 5 3 3 5 2" xfId="19303" xr:uid="{00000000-0005-0000-0000-0000664B0000}"/>
    <cellStyle name="Note 5 3 3 6" xfId="19304" xr:uid="{00000000-0005-0000-0000-0000674B0000}"/>
    <cellStyle name="Note 5 3 3 6 2" xfId="19305" xr:uid="{00000000-0005-0000-0000-0000684B0000}"/>
    <cellStyle name="Note 5 3 3 7" xfId="19306" xr:uid="{00000000-0005-0000-0000-0000694B0000}"/>
    <cellStyle name="Note 5 3 3 7 2" xfId="19307" xr:uid="{00000000-0005-0000-0000-00006A4B0000}"/>
    <cellStyle name="Note 5 3 3 8" xfId="19308" xr:uid="{00000000-0005-0000-0000-00006B4B0000}"/>
    <cellStyle name="Note 5 3 4" xfId="19309" xr:uid="{00000000-0005-0000-0000-00006C4B0000}"/>
    <cellStyle name="Note 5 3 4 2" xfId="19310" xr:uid="{00000000-0005-0000-0000-00006D4B0000}"/>
    <cellStyle name="Note 5 3 4 2 2" xfId="19311" xr:uid="{00000000-0005-0000-0000-00006E4B0000}"/>
    <cellStyle name="Note 5 3 4 2 2 2" xfId="19312" xr:uid="{00000000-0005-0000-0000-00006F4B0000}"/>
    <cellStyle name="Note 5 3 4 2 3" xfId="19313" xr:uid="{00000000-0005-0000-0000-0000704B0000}"/>
    <cellStyle name="Note 5 3 4 2 3 2" xfId="19314" xr:uid="{00000000-0005-0000-0000-0000714B0000}"/>
    <cellStyle name="Note 5 3 4 2 4" xfId="19315" xr:uid="{00000000-0005-0000-0000-0000724B0000}"/>
    <cellStyle name="Note 5 3 4 3" xfId="19316" xr:uid="{00000000-0005-0000-0000-0000734B0000}"/>
    <cellStyle name="Note 5 3 4 3 2" xfId="19317" xr:uid="{00000000-0005-0000-0000-0000744B0000}"/>
    <cellStyle name="Note 5 3 4 4" xfId="19318" xr:uid="{00000000-0005-0000-0000-0000754B0000}"/>
    <cellStyle name="Note 5 3 4 4 2" xfId="19319" xr:uid="{00000000-0005-0000-0000-0000764B0000}"/>
    <cellStyle name="Note 5 3 4 5" xfId="19320" xr:uid="{00000000-0005-0000-0000-0000774B0000}"/>
    <cellStyle name="Note 5 3 4 5 2" xfId="19321" xr:uid="{00000000-0005-0000-0000-0000784B0000}"/>
    <cellStyle name="Note 5 3 4 6" xfId="19322" xr:uid="{00000000-0005-0000-0000-0000794B0000}"/>
    <cellStyle name="Note 5 3 4 6 2" xfId="19323" xr:uid="{00000000-0005-0000-0000-00007A4B0000}"/>
    <cellStyle name="Note 5 3 4 7" xfId="19324" xr:uid="{00000000-0005-0000-0000-00007B4B0000}"/>
    <cellStyle name="Note 5 3 5" xfId="19325" xr:uid="{00000000-0005-0000-0000-00007C4B0000}"/>
    <cellStyle name="Note 5 3 5 2" xfId="19326" xr:uid="{00000000-0005-0000-0000-00007D4B0000}"/>
    <cellStyle name="Note 5 3 5 2 2" xfId="19327" xr:uid="{00000000-0005-0000-0000-00007E4B0000}"/>
    <cellStyle name="Note 5 3 5 3" xfId="19328" xr:uid="{00000000-0005-0000-0000-00007F4B0000}"/>
    <cellStyle name="Note 5 3 5 3 2" xfId="19329" xr:uid="{00000000-0005-0000-0000-0000804B0000}"/>
    <cellStyle name="Note 5 3 5 4" xfId="19330" xr:uid="{00000000-0005-0000-0000-0000814B0000}"/>
    <cellStyle name="Note 5 3 5 4 2" xfId="19331" xr:uid="{00000000-0005-0000-0000-0000824B0000}"/>
    <cellStyle name="Note 5 3 5 5" xfId="19332" xr:uid="{00000000-0005-0000-0000-0000834B0000}"/>
    <cellStyle name="Note 5 3 5 5 2" xfId="19333" xr:uid="{00000000-0005-0000-0000-0000844B0000}"/>
    <cellStyle name="Note 5 3 5 6" xfId="19334" xr:uid="{00000000-0005-0000-0000-0000854B0000}"/>
    <cellStyle name="Note 5 3 6" xfId="19335" xr:uid="{00000000-0005-0000-0000-0000864B0000}"/>
    <cellStyle name="Note 5 3 6 2" xfId="19336" xr:uid="{00000000-0005-0000-0000-0000874B0000}"/>
    <cellStyle name="Note 5 3 6 2 2" xfId="19337" xr:uid="{00000000-0005-0000-0000-0000884B0000}"/>
    <cellStyle name="Note 5 3 6 3" xfId="19338" xr:uid="{00000000-0005-0000-0000-0000894B0000}"/>
    <cellStyle name="Note 5 3 7" xfId="19339" xr:uid="{00000000-0005-0000-0000-00008A4B0000}"/>
    <cellStyle name="Note 5 3 7 2" xfId="19340" xr:uid="{00000000-0005-0000-0000-00008B4B0000}"/>
    <cellStyle name="Note 5 3 8" xfId="19341" xr:uid="{00000000-0005-0000-0000-00008C4B0000}"/>
    <cellStyle name="Note 5 3 8 2" xfId="19342" xr:uid="{00000000-0005-0000-0000-00008D4B0000}"/>
    <cellStyle name="Note 5 3 9" xfId="19343" xr:uid="{00000000-0005-0000-0000-00008E4B0000}"/>
    <cellStyle name="Note 5 3 9 2" xfId="19344" xr:uid="{00000000-0005-0000-0000-00008F4B0000}"/>
    <cellStyle name="Note 5 4" xfId="19345" xr:uid="{00000000-0005-0000-0000-0000904B0000}"/>
    <cellStyle name="Note 5 4 2" xfId="19346" xr:uid="{00000000-0005-0000-0000-0000914B0000}"/>
    <cellStyle name="Note 5 4 2 2" xfId="19347" xr:uid="{00000000-0005-0000-0000-0000924B0000}"/>
    <cellStyle name="Note 5 4 2 2 2" xfId="19348" xr:uid="{00000000-0005-0000-0000-0000934B0000}"/>
    <cellStyle name="Note 5 4 2 2 2 2" xfId="19349" xr:uid="{00000000-0005-0000-0000-0000944B0000}"/>
    <cellStyle name="Note 5 4 2 2 3" xfId="19350" xr:uid="{00000000-0005-0000-0000-0000954B0000}"/>
    <cellStyle name="Note 5 4 2 2 3 2" xfId="19351" xr:uid="{00000000-0005-0000-0000-0000964B0000}"/>
    <cellStyle name="Note 5 4 2 2 4" xfId="19352" xr:uid="{00000000-0005-0000-0000-0000974B0000}"/>
    <cellStyle name="Note 5 4 2 3" xfId="19353" xr:uid="{00000000-0005-0000-0000-0000984B0000}"/>
    <cellStyle name="Note 5 4 2 3 2" xfId="19354" xr:uid="{00000000-0005-0000-0000-0000994B0000}"/>
    <cellStyle name="Note 5 4 2 4" xfId="19355" xr:uid="{00000000-0005-0000-0000-00009A4B0000}"/>
    <cellStyle name="Note 5 4 2 4 2" xfId="19356" xr:uid="{00000000-0005-0000-0000-00009B4B0000}"/>
    <cellStyle name="Note 5 4 2 5" xfId="19357" xr:uid="{00000000-0005-0000-0000-00009C4B0000}"/>
    <cellStyle name="Note 5 4 2 5 2" xfId="19358" xr:uid="{00000000-0005-0000-0000-00009D4B0000}"/>
    <cellStyle name="Note 5 4 2 6" xfId="19359" xr:uid="{00000000-0005-0000-0000-00009E4B0000}"/>
    <cellStyle name="Note 5 4 2 6 2" xfId="19360" xr:uid="{00000000-0005-0000-0000-00009F4B0000}"/>
    <cellStyle name="Note 5 4 2 7" xfId="19361" xr:uid="{00000000-0005-0000-0000-0000A04B0000}"/>
    <cellStyle name="Note 5 4 3" xfId="19362" xr:uid="{00000000-0005-0000-0000-0000A14B0000}"/>
    <cellStyle name="Note 5 4 3 2" xfId="19363" xr:uid="{00000000-0005-0000-0000-0000A24B0000}"/>
    <cellStyle name="Note 5 4 3 2 2" xfId="19364" xr:uid="{00000000-0005-0000-0000-0000A34B0000}"/>
    <cellStyle name="Note 5 4 3 3" xfId="19365" xr:uid="{00000000-0005-0000-0000-0000A44B0000}"/>
    <cellStyle name="Note 5 4 3 3 2" xfId="19366" xr:uid="{00000000-0005-0000-0000-0000A54B0000}"/>
    <cellStyle name="Note 5 4 3 4" xfId="19367" xr:uid="{00000000-0005-0000-0000-0000A64B0000}"/>
    <cellStyle name="Note 5 4 3 4 2" xfId="19368" xr:uid="{00000000-0005-0000-0000-0000A74B0000}"/>
    <cellStyle name="Note 5 4 3 5" xfId="19369" xr:uid="{00000000-0005-0000-0000-0000A84B0000}"/>
    <cellStyle name="Note 5 4 3 5 2" xfId="19370" xr:uid="{00000000-0005-0000-0000-0000A94B0000}"/>
    <cellStyle name="Note 5 4 3 6" xfId="19371" xr:uid="{00000000-0005-0000-0000-0000AA4B0000}"/>
    <cellStyle name="Note 5 4 4" xfId="19372" xr:uid="{00000000-0005-0000-0000-0000AB4B0000}"/>
    <cellStyle name="Note 5 4 4 2" xfId="19373" xr:uid="{00000000-0005-0000-0000-0000AC4B0000}"/>
    <cellStyle name="Note 5 4 4 2 2" xfId="19374" xr:uid="{00000000-0005-0000-0000-0000AD4B0000}"/>
    <cellStyle name="Note 5 4 4 3" xfId="19375" xr:uid="{00000000-0005-0000-0000-0000AE4B0000}"/>
    <cellStyle name="Note 5 4 5" xfId="19376" xr:uid="{00000000-0005-0000-0000-0000AF4B0000}"/>
    <cellStyle name="Note 5 4 5 2" xfId="19377" xr:uid="{00000000-0005-0000-0000-0000B04B0000}"/>
    <cellStyle name="Note 5 4 6" xfId="19378" xr:uid="{00000000-0005-0000-0000-0000B14B0000}"/>
    <cellStyle name="Note 5 4 6 2" xfId="19379" xr:uid="{00000000-0005-0000-0000-0000B24B0000}"/>
    <cellStyle name="Note 5 4 7" xfId="19380" xr:uid="{00000000-0005-0000-0000-0000B34B0000}"/>
    <cellStyle name="Note 5 4 7 2" xfId="19381" xr:uid="{00000000-0005-0000-0000-0000B44B0000}"/>
    <cellStyle name="Note 5 4 8" xfId="19382" xr:uid="{00000000-0005-0000-0000-0000B54B0000}"/>
    <cellStyle name="Note 5 5" xfId="19383" xr:uid="{00000000-0005-0000-0000-0000B64B0000}"/>
    <cellStyle name="Note 5 5 2" xfId="19384" xr:uid="{00000000-0005-0000-0000-0000B74B0000}"/>
    <cellStyle name="Note 5 5 2 2" xfId="19385" xr:uid="{00000000-0005-0000-0000-0000B84B0000}"/>
    <cellStyle name="Note 5 5 2 2 2" xfId="19386" xr:uid="{00000000-0005-0000-0000-0000B94B0000}"/>
    <cellStyle name="Note 5 5 2 2 2 2" xfId="19387" xr:uid="{00000000-0005-0000-0000-0000BA4B0000}"/>
    <cellStyle name="Note 5 5 2 2 3" xfId="19388" xr:uid="{00000000-0005-0000-0000-0000BB4B0000}"/>
    <cellStyle name="Note 5 5 2 2 3 2" xfId="19389" xr:uid="{00000000-0005-0000-0000-0000BC4B0000}"/>
    <cellStyle name="Note 5 5 2 2 4" xfId="19390" xr:uid="{00000000-0005-0000-0000-0000BD4B0000}"/>
    <cellStyle name="Note 5 5 2 3" xfId="19391" xr:uid="{00000000-0005-0000-0000-0000BE4B0000}"/>
    <cellStyle name="Note 5 5 2 3 2" xfId="19392" xr:uid="{00000000-0005-0000-0000-0000BF4B0000}"/>
    <cellStyle name="Note 5 5 2 4" xfId="19393" xr:uid="{00000000-0005-0000-0000-0000C04B0000}"/>
    <cellStyle name="Note 5 5 2 4 2" xfId="19394" xr:uid="{00000000-0005-0000-0000-0000C14B0000}"/>
    <cellStyle name="Note 5 5 2 5" xfId="19395" xr:uid="{00000000-0005-0000-0000-0000C24B0000}"/>
    <cellStyle name="Note 5 5 2 5 2" xfId="19396" xr:uid="{00000000-0005-0000-0000-0000C34B0000}"/>
    <cellStyle name="Note 5 5 2 6" xfId="19397" xr:uid="{00000000-0005-0000-0000-0000C44B0000}"/>
    <cellStyle name="Note 5 5 2 6 2" xfId="19398" xr:uid="{00000000-0005-0000-0000-0000C54B0000}"/>
    <cellStyle name="Note 5 5 2 7" xfId="19399" xr:uid="{00000000-0005-0000-0000-0000C64B0000}"/>
    <cellStyle name="Note 5 5 3" xfId="19400" xr:uid="{00000000-0005-0000-0000-0000C74B0000}"/>
    <cellStyle name="Note 5 5 3 2" xfId="19401" xr:uid="{00000000-0005-0000-0000-0000C84B0000}"/>
    <cellStyle name="Note 5 5 3 2 2" xfId="19402" xr:uid="{00000000-0005-0000-0000-0000C94B0000}"/>
    <cellStyle name="Note 5 5 3 3" xfId="19403" xr:uid="{00000000-0005-0000-0000-0000CA4B0000}"/>
    <cellStyle name="Note 5 5 3 3 2" xfId="19404" xr:uid="{00000000-0005-0000-0000-0000CB4B0000}"/>
    <cellStyle name="Note 5 5 3 4" xfId="19405" xr:uid="{00000000-0005-0000-0000-0000CC4B0000}"/>
    <cellStyle name="Note 5 5 3 4 2" xfId="19406" xr:uid="{00000000-0005-0000-0000-0000CD4B0000}"/>
    <cellStyle name="Note 5 5 3 5" xfId="19407" xr:uid="{00000000-0005-0000-0000-0000CE4B0000}"/>
    <cellStyle name="Note 5 5 3 5 2" xfId="19408" xr:uid="{00000000-0005-0000-0000-0000CF4B0000}"/>
    <cellStyle name="Note 5 5 3 6" xfId="19409" xr:uid="{00000000-0005-0000-0000-0000D04B0000}"/>
    <cellStyle name="Note 5 5 4" xfId="19410" xr:uid="{00000000-0005-0000-0000-0000D14B0000}"/>
    <cellStyle name="Note 5 5 4 2" xfId="19411" xr:uid="{00000000-0005-0000-0000-0000D24B0000}"/>
    <cellStyle name="Note 5 5 4 2 2" xfId="19412" xr:uid="{00000000-0005-0000-0000-0000D34B0000}"/>
    <cellStyle name="Note 5 5 4 3" xfId="19413" xr:uid="{00000000-0005-0000-0000-0000D44B0000}"/>
    <cellStyle name="Note 5 5 5" xfId="19414" xr:uid="{00000000-0005-0000-0000-0000D54B0000}"/>
    <cellStyle name="Note 5 5 5 2" xfId="19415" xr:uid="{00000000-0005-0000-0000-0000D64B0000}"/>
    <cellStyle name="Note 5 5 6" xfId="19416" xr:uid="{00000000-0005-0000-0000-0000D74B0000}"/>
    <cellStyle name="Note 5 5 6 2" xfId="19417" xr:uid="{00000000-0005-0000-0000-0000D84B0000}"/>
    <cellStyle name="Note 5 5 7" xfId="19418" xr:uid="{00000000-0005-0000-0000-0000D94B0000}"/>
    <cellStyle name="Note 5 5 7 2" xfId="19419" xr:uid="{00000000-0005-0000-0000-0000DA4B0000}"/>
    <cellStyle name="Note 5 5 8" xfId="19420" xr:uid="{00000000-0005-0000-0000-0000DB4B0000}"/>
    <cellStyle name="Note 5 6" xfId="19421" xr:uid="{00000000-0005-0000-0000-0000DC4B0000}"/>
    <cellStyle name="Note 5 6 2" xfId="19422" xr:uid="{00000000-0005-0000-0000-0000DD4B0000}"/>
    <cellStyle name="Note 5 6 2 2" xfId="19423" xr:uid="{00000000-0005-0000-0000-0000DE4B0000}"/>
    <cellStyle name="Note 5 6 2 2 2" xfId="19424" xr:uid="{00000000-0005-0000-0000-0000DF4B0000}"/>
    <cellStyle name="Note 5 6 2 3" xfId="19425" xr:uid="{00000000-0005-0000-0000-0000E04B0000}"/>
    <cellStyle name="Note 5 6 2 3 2" xfId="19426" xr:uid="{00000000-0005-0000-0000-0000E14B0000}"/>
    <cellStyle name="Note 5 6 2 4" xfId="19427" xr:uid="{00000000-0005-0000-0000-0000E24B0000}"/>
    <cellStyle name="Note 5 6 3" xfId="19428" xr:uid="{00000000-0005-0000-0000-0000E34B0000}"/>
    <cellStyle name="Note 5 6 3 2" xfId="19429" xr:uid="{00000000-0005-0000-0000-0000E44B0000}"/>
    <cellStyle name="Note 5 6 4" xfId="19430" xr:uid="{00000000-0005-0000-0000-0000E54B0000}"/>
    <cellStyle name="Note 5 6 4 2" xfId="19431" xr:uid="{00000000-0005-0000-0000-0000E64B0000}"/>
    <cellStyle name="Note 5 6 5" xfId="19432" xr:uid="{00000000-0005-0000-0000-0000E74B0000}"/>
    <cellStyle name="Note 5 6 5 2" xfId="19433" xr:uid="{00000000-0005-0000-0000-0000E84B0000}"/>
    <cellStyle name="Note 5 6 6" xfId="19434" xr:uid="{00000000-0005-0000-0000-0000E94B0000}"/>
    <cellStyle name="Note 5 6 6 2" xfId="19435" xr:uid="{00000000-0005-0000-0000-0000EA4B0000}"/>
    <cellStyle name="Note 5 6 7" xfId="19436" xr:uid="{00000000-0005-0000-0000-0000EB4B0000}"/>
    <cellStyle name="Note 5 7" xfId="19437" xr:uid="{00000000-0005-0000-0000-0000EC4B0000}"/>
    <cellStyle name="Note 5 7 2" xfId="19438" xr:uid="{00000000-0005-0000-0000-0000ED4B0000}"/>
    <cellStyle name="Note 5 7 2 2" xfId="19439" xr:uid="{00000000-0005-0000-0000-0000EE4B0000}"/>
    <cellStyle name="Note 5 7 2 2 2" xfId="19440" xr:uid="{00000000-0005-0000-0000-0000EF4B0000}"/>
    <cellStyle name="Note 5 7 2 3" xfId="19441" xr:uid="{00000000-0005-0000-0000-0000F04B0000}"/>
    <cellStyle name="Note 5 7 3" xfId="19442" xr:uid="{00000000-0005-0000-0000-0000F14B0000}"/>
    <cellStyle name="Note 5 7 3 2" xfId="19443" xr:uid="{00000000-0005-0000-0000-0000F24B0000}"/>
    <cellStyle name="Note 5 7 4" xfId="19444" xr:uid="{00000000-0005-0000-0000-0000F34B0000}"/>
    <cellStyle name="Note 5 7 4 2" xfId="19445" xr:uid="{00000000-0005-0000-0000-0000F44B0000}"/>
    <cellStyle name="Note 5 7 5" xfId="19446" xr:uid="{00000000-0005-0000-0000-0000F54B0000}"/>
    <cellStyle name="Note 5 7 5 2" xfId="19447" xr:uid="{00000000-0005-0000-0000-0000F64B0000}"/>
    <cellStyle name="Note 5 7 6" xfId="19448" xr:uid="{00000000-0005-0000-0000-0000F74B0000}"/>
    <cellStyle name="Note 5 8" xfId="19449" xr:uid="{00000000-0005-0000-0000-0000F84B0000}"/>
    <cellStyle name="Note 5 8 2" xfId="19450" xr:uid="{00000000-0005-0000-0000-0000F94B0000}"/>
    <cellStyle name="Note 5 8 2 2" xfId="19451" xr:uid="{00000000-0005-0000-0000-0000FA4B0000}"/>
    <cellStyle name="Note 5 8 3" xfId="19452" xr:uid="{00000000-0005-0000-0000-0000FB4B0000}"/>
    <cellStyle name="Note 5 8 3 2" xfId="19453" xr:uid="{00000000-0005-0000-0000-0000FC4B0000}"/>
    <cellStyle name="Note 5 8 4" xfId="19454" xr:uid="{00000000-0005-0000-0000-0000FD4B0000}"/>
    <cellStyle name="Note 5 9" xfId="19455" xr:uid="{00000000-0005-0000-0000-0000FE4B0000}"/>
    <cellStyle name="Note 5 9 2" xfId="19456" xr:uid="{00000000-0005-0000-0000-0000FF4B0000}"/>
    <cellStyle name="Note 5 9 2 2" xfId="19457" xr:uid="{00000000-0005-0000-0000-0000004C0000}"/>
    <cellStyle name="Note 5 9 3" xfId="19458" xr:uid="{00000000-0005-0000-0000-0000014C0000}"/>
    <cellStyle name="Note 6" xfId="19459" xr:uid="{00000000-0005-0000-0000-0000024C0000}"/>
    <cellStyle name="Note 6 10" xfId="19460" xr:uid="{00000000-0005-0000-0000-0000034C0000}"/>
    <cellStyle name="Note 6 10 2" xfId="19461" xr:uid="{00000000-0005-0000-0000-0000044C0000}"/>
    <cellStyle name="Note 6 11" xfId="19462" xr:uid="{00000000-0005-0000-0000-0000054C0000}"/>
    <cellStyle name="Note 6 2" xfId="19463" xr:uid="{00000000-0005-0000-0000-0000064C0000}"/>
    <cellStyle name="Note 6 2 10" xfId="19464" xr:uid="{00000000-0005-0000-0000-0000074C0000}"/>
    <cellStyle name="Note 6 2 2" xfId="19465" xr:uid="{00000000-0005-0000-0000-0000084C0000}"/>
    <cellStyle name="Note 6 2 2 2" xfId="19466" xr:uid="{00000000-0005-0000-0000-0000094C0000}"/>
    <cellStyle name="Note 6 2 2 2 2" xfId="19467" xr:uid="{00000000-0005-0000-0000-00000A4C0000}"/>
    <cellStyle name="Note 6 2 2 2 2 2" xfId="19468" xr:uid="{00000000-0005-0000-0000-00000B4C0000}"/>
    <cellStyle name="Note 6 2 2 2 2 2 2" xfId="19469" xr:uid="{00000000-0005-0000-0000-00000C4C0000}"/>
    <cellStyle name="Note 6 2 2 2 2 3" xfId="19470" xr:uid="{00000000-0005-0000-0000-00000D4C0000}"/>
    <cellStyle name="Note 6 2 2 2 2 3 2" xfId="19471" xr:uid="{00000000-0005-0000-0000-00000E4C0000}"/>
    <cellStyle name="Note 6 2 2 2 2 4" xfId="19472" xr:uid="{00000000-0005-0000-0000-00000F4C0000}"/>
    <cellStyle name="Note 6 2 2 2 3" xfId="19473" xr:uid="{00000000-0005-0000-0000-0000104C0000}"/>
    <cellStyle name="Note 6 2 2 2 3 2" xfId="19474" xr:uid="{00000000-0005-0000-0000-0000114C0000}"/>
    <cellStyle name="Note 6 2 2 2 4" xfId="19475" xr:uid="{00000000-0005-0000-0000-0000124C0000}"/>
    <cellStyle name="Note 6 2 2 2 4 2" xfId="19476" xr:uid="{00000000-0005-0000-0000-0000134C0000}"/>
    <cellStyle name="Note 6 2 2 2 5" xfId="19477" xr:uid="{00000000-0005-0000-0000-0000144C0000}"/>
    <cellStyle name="Note 6 2 2 2 5 2" xfId="19478" xr:uid="{00000000-0005-0000-0000-0000154C0000}"/>
    <cellStyle name="Note 6 2 2 2 6" xfId="19479" xr:uid="{00000000-0005-0000-0000-0000164C0000}"/>
    <cellStyle name="Note 6 2 2 2 6 2" xfId="19480" xr:uid="{00000000-0005-0000-0000-0000174C0000}"/>
    <cellStyle name="Note 6 2 2 2 7" xfId="19481" xr:uid="{00000000-0005-0000-0000-0000184C0000}"/>
    <cellStyle name="Note 6 2 2 3" xfId="19482" xr:uid="{00000000-0005-0000-0000-0000194C0000}"/>
    <cellStyle name="Note 6 2 2 3 2" xfId="19483" xr:uid="{00000000-0005-0000-0000-00001A4C0000}"/>
    <cellStyle name="Note 6 2 2 3 2 2" xfId="19484" xr:uid="{00000000-0005-0000-0000-00001B4C0000}"/>
    <cellStyle name="Note 6 2 2 3 3" xfId="19485" xr:uid="{00000000-0005-0000-0000-00001C4C0000}"/>
    <cellStyle name="Note 6 2 2 3 3 2" xfId="19486" xr:uid="{00000000-0005-0000-0000-00001D4C0000}"/>
    <cellStyle name="Note 6 2 2 3 4" xfId="19487" xr:uid="{00000000-0005-0000-0000-00001E4C0000}"/>
    <cellStyle name="Note 6 2 2 3 4 2" xfId="19488" xr:uid="{00000000-0005-0000-0000-00001F4C0000}"/>
    <cellStyle name="Note 6 2 2 3 5" xfId="19489" xr:uid="{00000000-0005-0000-0000-0000204C0000}"/>
    <cellStyle name="Note 6 2 2 3 5 2" xfId="19490" xr:uid="{00000000-0005-0000-0000-0000214C0000}"/>
    <cellStyle name="Note 6 2 2 3 6" xfId="19491" xr:uid="{00000000-0005-0000-0000-0000224C0000}"/>
    <cellStyle name="Note 6 2 2 4" xfId="19492" xr:uid="{00000000-0005-0000-0000-0000234C0000}"/>
    <cellStyle name="Note 6 2 2 4 2" xfId="19493" xr:uid="{00000000-0005-0000-0000-0000244C0000}"/>
    <cellStyle name="Note 6 2 2 4 2 2" xfId="19494" xr:uid="{00000000-0005-0000-0000-0000254C0000}"/>
    <cellStyle name="Note 6 2 2 4 3" xfId="19495" xr:uid="{00000000-0005-0000-0000-0000264C0000}"/>
    <cellStyle name="Note 6 2 2 5" xfId="19496" xr:uid="{00000000-0005-0000-0000-0000274C0000}"/>
    <cellStyle name="Note 6 2 2 5 2" xfId="19497" xr:uid="{00000000-0005-0000-0000-0000284C0000}"/>
    <cellStyle name="Note 6 2 2 6" xfId="19498" xr:uid="{00000000-0005-0000-0000-0000294C0000}"/>
    <cellStyle name="Note 6 2 2 6 2" xfId="19499" xr:uid="{00000000-0005-0000-0000-00002A4C0000}"/>
    <cellStyle name="Note 6 2 2 7" xfId="19500" xr:uid="{00000000-0005-0000-0000-00002B4C0000}"/>
    <cellStyle name="Note 6 2 2 7 2" xfId="19501" xr:uid="{00000000-0005-0000-0000-00002C4C0000}"/>
    <cellStyle name="Note 6 2 2 8" xfId="19502" xr:uid="{00000000-0005-0000-0000-00002D4C0000}"/>
    <cellStyle name="Note 6 2 3" xfId="19503" xr:uid="{00000000-0005-0000-0000-00002E4C0000}"/>
    <cellStyle name="Note 6 2 3 2" xfId="19504" xr:uid="{00000000-0005-0000-0000-00002F4C0000}"/>
    <cellStyle name="Note 6 2 3 2 2" xfId="19505" xr:uid="{00000000-0005-0000-0000-0000304C0000}"/>
    <cellStyle name="Note 6 2 3 2 2 2" xfId="19506" xr:uid="{00000000-0005-0000-0000-0000314C0000}"/>
    <cellStyle name="Note 6 2 3 2 2 2 2" xfId="19507" xr:uid="{00000000-0005-0000-0000-0000324C0000}"/>
    <cellStyle name="Note 6 2 3 2 2 3" xfId="19508" xr:uid="{00000000-0005-0000-0000-0000334C0000}"/>
    <cellStyle name="Note 6 2 3 2 2 3 2" xfId="19509" xr:uid="{00000000-0005-0000-0000-0000344C0000}"/>
    <cellStyle name="Note 6 2 3 2 2 4" xfId="19510" xr:uid="{00000000-0005-0000-0000-0000354C0000}"/>
    <cellStyle name="Note 6 2 3 2 3" xfId="19511" xr:uid="{00000000-0005-0000-0000-0000364C0000}"/>
    <cellStyle name="Note 6 2 3 2 3 2" xfId="19512" xr:uid="{00000000-0005-0000-0000-0000374C0000}"/>
    <cellStyle name="Note 6 2 3 2 4" xfId="19513" xr:uid="{00000000-0005-0000-0000-0000384C0000}"/>
    <cellStyle name="Note 6 2 3 2 4 2" xfId="19514" xr:uid="{00000000-0005-0000-0000-0000394C0000}"/>
    <cellStyle name="Note 6 2 3 2 5" xfId="19515" xr:uid="{00000000-0005-0000-0000-00003A4C0000}"/>
    <cellStyle name="Note 6 2 3 2 5 2" xfId="19516" xr:uid="{00000000-0005-0000-0000-00003B4C0000}"/>
    <cellStyle name="Note 6 2 3 2 6" xfId="19517" xr:uid="{00000000-0005-0000-0000-00003C4C0000}"/>
    <cellStyle name="Note 6 2 3 2 6 2" xfId="19518" xr:uid="{00000000-0005-0000-0000-00003D4C0000}"/>
    <cellStyle name="Note 6 2 3 2 7" xfId="19519" xr:uid="{00000000-0005-0000-0000-00003E4C0000}"/>
    <cellStyle name="Note 6 2 3 3" xfId="19520" xr:uid="{00000000-0005-0000-0000-00003F4C0000}"/>
    <cellStyle name="Note 6 2 3 3 2" xfId="19521" xr:uid="{00000000-0005-0000-0000-0000404C0000}"/>
    <cellStyle name="Note 6 2 3 3 2 2" xfId="19522" xr:uid="{00000000-0005-0000-0000-0000414C0000}"/>
    <cellStyle name="Note 6 2 3 3 3" xfId="19523" xr:uid="{00000000-0005-0000-0000-0000424C0000}"/>
    <cellStyle name="Note 6 2 3 3 3 2" xfId="19524" xr:uid="{00000000-0005-0000-0000-0000434C0000}"/>
    <cellStyle name="Note 6 2 3 3 4" xfId="19525" xr:uid="{00000000-0005-0000-0000-0000444C0000}"/>
    <cellStyle name="Note 6 2 3 3 4 2" xfId="19526" xr:uid="{00000000-0005-0000-0000-0000454C0000}"/>
    <cellStyle name="Note 6 2 3 3 5" xfId="19527" xr:uid="{00000000-0005-0000-0000-0000464C0000}"/>
    <cellStyle name="Note 6 2 3 3 5 2" xfId="19528" xr:uid="{00000000-0005-0000-0000-0000474C0000}"/>
    <cellStyle name="Note 6 2 3 3 6" xfId="19529" xr:uid="{00000000-0005-0000-0000-0000484C0000}"/>
    <cellStyle name="Note 6 2 3 4" xfId="19530" xr:uid="{00000000-0005-0000-0000-0000494C0000}"/>
    <cellStyle name="Note 6 2 3 4 2" xfId="19531" xr:uid="{00000000-0005-0000-0000-00004A4C0000}"/>
    <cellStyle name="Note 6 2 3 4 2 2" xfId="19532" xr:uid="{00000000-0005-0000-0000-00004B4C0000}"/>
    <cellStyle name="Note 6 2 3 4 3" xfId="19533" xr:uid="{00000000-0005-0000-0000-00004C4C0000}"/>
    <cellStyle name="Note 6 2 3 5" xfId="19534" xr:uid="{00000000-0005-0000-0000-00004D4C0000}"/>
    <cellStyle name="Note 6 2 3 5 2" xfId="19535" xr:uid="{00000000-0005-0000-0000-00004E4C0000}"/>
    <cellStyle name="Note 6 2 3 6" xfId="19536" xr:uid="{00000000-0005-0000-0000-00004F4C0000}"/>
    <cellStyle name="Note 6 2 3 6 2" xfId="19537" xr:uid="{00000000-0005-0000-0000-0000504C0000}"/>
    <cellStyle name="Note 6 2 3 7" xfId="19538" xr:uid="{00000000-0005-0000-0000-0000514C0000}"/>
    <cellStyle name="Note 6 2 3 7 2" xfId="19539" xr:uid="{00000000-0005-0000-0000-0000524C0000}"/>
    <cellStyle name="Note 6 2 3 8" xfId="19540" xr:uid="{00000000-0005-0000-0000-0000534C0000}"/>
    <cellStyle name="Note 6 2 4" xfId="19541" xr:uid="{00000000-0005-0000-0000-0000544C0000}"/>
    <cellStyle name="Note 6 2 4 2" xfId="19542" xr:uid="{00000000-0005-0000-0000-0000554C0000}"/>
    <cellStyle name="Note 6 2 4 2 2" xfId="19543" xr:uid="{00000000-0005-0000-0000-0000564C0000}"/>
    <cellStyle name="Note 6 2 4 2 2 2" xfId="19544" xr:uid="{00000000-0005-0000-0000-0000574C0000}"/>
    <cellStyle name="Note 6 2 4 2 3" xfId="19545" xr:uid="{00000000-0005-0000-0000-0000584C0000}"/>
    <cellStyle name="Note 6 2 4 2 3 2" xfId="19546" xr:uid="{00000000-0005-0000-0000-0000594C0000}"/>
    <cellStyle name="Note 6 2 4 2 4" xfId="19547" xr:uid="{00000000-0005-0000-0000-00005A4C0000}"/>
    <cellStyle name="Note 6 2 4 3" xfId="19548" xr:uid="{00000000-0005-0000-0000-00005B4C0000}"/>
    <cellStyle name="Note 6 2 4 3 2" xfId="19549" xr:uid="{00000000-0005-0000-0000-00005C4C0000}"/>
    <cellStyle name="Note 6 2 4 4" xfId="19550" xr:uid="{00000000-0005-0000-0000-00005D4C0000}"/>
    <cellStyle name="Note 6 2 4 4 2" xfId="19551" xr:uid="{00000000-0005-0000-0000-00005E4C0000}"/>
    <cellStyle name="Note 6 2 4 5" xfId="19552" xr:uid="{00000000-0005-0000-0000-00005F4C0000}"/>
    <cellStyle name="Note 6 2 4 5 2" xfId="19553" xr:uid="{00000000-0005-0000-0000-0000604C0000}"/>
    <cellStyle name="Note 6 2 4 6" xfId="19554" xr:uid="{00000000-0005-0000-0000-0000614C0000}"/>
    <cellStyle name="Note 6 2 4 6 2" xfId="19555" xr:uid="{00000000-0005-0000-0000-0000624C0000}"/>
    <cellStyle name="Note 6 2 4 7" xfId="19556" xr:uid="{00000000-0005-0000-0000-0000634C0000}"/>
    <cellStyle name="Note 6 2 5" xfId="19557" xr:uid="{00000000-0005-0000-0000-0000644C0000}"/>
    <cellStyle name="Note 6 2 5 2" xfId="19558" xr:uid="{00000000-0005-0000-0000-0000654C0000}"/>
    <cellStyle name="Note 6 2 5 2 2" xfId="19559" xr:uid="{00000000-0005-0000-0000-0000664C0000}"/>
    <cellStyle name="Note 6 2 5 3" xfId="19560" xr:uid="{00000000-0005-0000-0000-0000674C0000}"/>
    <cellStyle name="Note 6 2 5 3 2" xfId="19561" xr:uid="{00000000-0005-0000-0000-0000684C0000}"/>
    <cellStyle name="Note 6 2 5 4" xfId="19562" xr:uid="{00000000-0005-0000-0000-0000694C0000}"/>
    <cellStyle name="Note 6 2 5 4 2" xfId="19563" xr:uid="{00000000-0005-0000-0000-00006A4C0000}"/>
    <cellStyle name="Note 6 2 5 5" xfId="19564" xr:uid="{00000000-0005-0000-0000-00006B4C0000}"/>
    <cellStyle name="Note 6 2 5 5 2" xfId="19565" xr:uid="{00000000-0005-0000-0000-00006C4C0000}"/>
    <cellStyle name="Note 6 2 5 6" xfId="19566" xr:uid="{00000000-0005-0000-0000-00006D4C0000}"/>
    <cellStyle name="Note 6 2 6" xfId="19567" xr:uid="{00000000-0005-0000-0000-00006E4C0000}"/>
    <cellStyle name="Note 6 2 6 2" xfId="19568" xr:uid="{00000000-0005-0000-0000-00006F4C0000}"/>
    <cellStyle name="Note 6 2 6 2 2" xfId="19569" xr:uid="{00000000-0005-0000-0000-0000704C0000}"/>
    <cellStyle name="Note 6 2 6 3" xfId="19570" xr:uid="{00000000-0005-0000-0000-0000714C0000}"/>
    <cellStyle name="Note 6 2 7" xfId="19571" xr:uid="{00000000-0005-0000-0000-0000724C0000}"/>
    <cellStyle name="Note 6 2 7 2" xfId="19572" xr:uid="{00000000-0005-0000-0000-0000734C0000}"/>
    <cellStyle name="Note 6 2 8" xfId="19573" xr:uid="{00000000-0005-0000-0000-0000744C0000}"/>
    <cellStyle name="Note 6 2 8 2" xfId="19574" xr:uid="{00000000-0005-0000-0000-0000754C0000}"/>
    <cellStyle name="Note 6 2 9" xfId="19575" xr:uid="{00000000-0005-0000-0000-0000764C0000}"/>
    <cellStyle name="Note 6 2 9 2" xfId="19576" xr:uid="{00000000-0005-0000-0000-0000774C0000}"/>
    <cellStyle name="Note 6 3" xfId="19577" xr:uid="{00000000-0005-0000-0000-0000784C0000}"/>
    <cellStyle name="Note 6 3 2" xfId="19578" xr:uid="{00000000-0005-0000-0000-0000794C0000}"/>
    <cellStyle name="Note 6 3 2 2" xfId="19579" xr:uid="{00000000-0005-0000-0000-00007A4C0000}"/>
    <cellStyle name="Note 6 3 2 2 2" xfId="19580" xr:uid="{00000000-0005-0000-0000-00007B4C0000}"/>
    <cellStyle name="Note 6 3 2 2 2 2" xfId="19581" xr:uid="{00000000-0005-0000-0000-00007C4C0000}"/>
    <cellStyle name="Note 6 3 2 2 3" xfId="19582" xr:uid="{00000000-0005-0000-0000-00007D4C0000}"/>
    <cellStyle name="Note 6 3 2 2 3 2" xfId="19583" xr:uid="{00000000-0005-0000-0000-00007E4C0000}"/>
    <cellStyle name="Note 6 3 2 2 4" xfId="19584" xr:uid="{00000000-0005-0000-0000-00007F4C0000}"/>
    <cellStyle name="Note 6 3 2 3" xfId="19585" xr:uid="{00000000-0005-0000-0000-0000804C0000}"/>
    <cellStyle name="Note 6 3 2 3 2" xfId="19586" xr:uid="{00000000-0005-0000-0000-0000814C0000}"/>
    <cellStyle name="Note 6 3 2 4" xfId="19587" xr:uid="{00000000-0005-0000-0000-0000824C0000}"/>
    <cellStyle name="Note 6 3 2 4 2" xfId="19588" xr:uid="{00000000-0005-0000-0000-0000834C0000}"/>
    <cellStyle name="Note 6 3 2 5" xfId="19589" xr:uid="{00000000-0005-0000-0000-0000844C0000}"/>
    <cellStyle name="Note 6 3 2 5 2" xfId="19590" xr:uid="{00000000-0005-0000-0000-0000854C0000}"/>
    <cellStyle name="Note 6 3 2 6" xfId="19591" xr:uid="{00000000-0005-0000-0000-0000864C0000}"/>
    <cellStyle name="Note 6 3 2 6 2" xfId="19592" xr:uid="{00000000-0005-0000-0000-0000874C0000}"/>
    <cellStyle name="Note 6 3 2 7" xfId="19593" xr:uid="{00000000-0005-0000-0000-0000884C0000}"/>
    <cellStyle name="Note 6 3 3" xfId="19594" xr:uid="{00000000-0005-0000-0000-0000894C0000}"/>
    <cellStyle name="Note 6 3 3 2" xfId="19595" xr:uid="{00000000-0005-0000-0000-00008A4C0000}"/>
    <cellStyle name="Note 6 3 3 2 2" xfId="19596" xr:uid="{00000000-0005-0000-0000-00008B4C0000}"/>
    <cellStyle name="Note 6 3 3 3" xfId="19597" xr:uid="{00000000-0005-0000-0000-00008C4C0000}"/>
    <cellStyle name="Note 6 3 3 3 2" xfId="19598" xr:uid="{00000000-0005-0000-0000-00008D4C0000}"/>
    <cellStyle name="Note 6 3 3 4" xfId="19599" xr:uid="{00000000-0005-0000-0000-00008E4C0000}"/>
    <cellStyle name="Note 6 3 3 4 2" xfId="19600" xr:uid="{00000000-0005-0000-0000-00008F4C0000}"/>
    <cellStyle name="Note 6 3 3 5" xfId="19601" xr:uid="{00000000-0005-0000-0000-0000904C0000}"/>
    <cellStyle name="Note 6 3 3 5 2" xfId="19602" xr:uid="{00000000-0005-0000-0000-0000914C0000}"/>
    <cellStyle name="Note 6 3 3 6" xfId="19603" xr:uid="{00000000-0005-0000-0000-0000924C0000}"/>
    <cellStyle name="Note 6 3 4" xfId="19604" xr:uid="{00000000-0005-0000-0000-0000934C0000}"/>
    <cellStyle name="Note 6 3 4 2" xfId="19605" xr:uid="{00000000-0005-0000-0000-0000944C0000}"/>
    <cellStyle name="Note 6 3 4 2 2" xfId="19606" xr:uid="{00000000-0005-0000-0000-0000954C0000}"/>
    <cellStyle name="Note 6 3 4 3" xfId="19607" xr:uid="{00000000-0005-0000-0000-0000964C0000}"/>
    <cellStyle name="Note 6 3 5" xfId="19608" xr:uid="{00000000-0005-0000-0000-0000974C0000}"/>
    <cellStyle name="Note 6 3 5 2" xfId="19609" xr:uid="{00000000-0005-0000-0000-0000984C0000}"/>
    <cellStyle name="Note 6 3 6" xfId="19610" xr:uid="{00000000-0005-0000-0000-0000994C0000}"/>
    <cellStyle name="Note 6 3 6 2" xfId="19611" xr:uid="{00000000-0005-0000-0000-00009A4C0000}"/>
    <cellStyle name="Note 6 3 7" xfId="19612" xr:uid="{00000000-0005-0000-0000-00009B4C0000}"/>
    <cellStyle name="Note 6 3 7 2" xfId="19613" xr:uid="{00000000-0005-0000-0000-00009C4C0000}"/>
    <cellStyle name="Note 6 3 8" xfId="19614" xr:uid="{00000000-0005-0000-0000-00009D4C0000}"/>
    <cellStyle name="Note 6 4" xfId="19615" xr:uid="{00000000-0005-0000-0000-00009E4C0000}"/>
    <cellStyle name="Note 6 4 2" xfId="19616" xr:uid="{00000000-0005-0000-0000-00009F4C0000}"/>
    <cellStyle name="Note 6 4 2 2" xfId="19617" xr:uid="{00000000-0005-0000-0000-0000A04C0000}"/>
    <cellStyle name="Note 6 4 2 2 2" xfId="19618" xr:uid="{00000000-0005-0000-0000-0000A14C0000}"/>
    <cellStyle name="Note 6 4 2 2 2 2" xfId="19619" xr:uid="{00000000-0005-0000-0000-0000A24C0000}"/>
    <cellStyle name="Note 6 4 2 2 3" xfId="19620" xr:uid="{00000000-0005-0000-0000-0000A34C0000}"/>
    <cellStyle name="Note 6 4 2 2 3 2" xfId="19621" xr:uid="{00000000-0005-0000-0000-0000A44C0000}"/>
    <cellStyle name="Note 6 4 2 2 4" xfId="19622" xr:uid="{00000000-0005-0000-0000-0000A54C0000}"/>
    <cellStyle name="Note 6 4 2 3" xfId="19623" xr:uid="{00000000-0005-0000-0000-0000A64C0000}"/>
    <cellStyle name="Note 6 4 2 3 2" xfId="19624" xr:uid="{00000000-0005-0000-0000-0000A74C0000}"/>
    <cellStyle name="Note 6 4 2 4" xfId="19625" xr:uid="{00000000-0005-0000-0000-0000A84C0000}"/>
    <cellStyle name="Note 6 4 2 4 2" xfId="19626" xr:uid="{00000000-0005-0000-0000-0000A94C0000}"/>
    <cellStyle name="Note 6 4 2 5" xfId="19627" xr:uid="{00000000-0005-0000-0000-0000AA4C0000}"/>
    <cellStyle name="Note 6 4 2 5 2" xfId="19628" xr:uid="{00000000-0005-0000-0000-0000AB4C0000}"/>
    <cellStyle name="Note 6 4 2 6" xfId="19629" xr:uid="{00000000-0005-0000-0000-0000AC4C0000}"/>
    <cellStyle name="Note 6 4 2 6 2" xfId="19630" xr:uid="{00000000-0005-0000-0000-0000AD4C0000}"/>
    <cellStyle name="Note 6 4 2 7" xfId="19631" xr:uid="{00000000-0005-0000-0000-0000AE4C0000}"/>
    <cellStyle name="Note 6 4 3" xfId="19632" xr:uid="{00000000-0005-0000-0000-0000AF4C0000}"/>
    <cellStyle name="Note 6 4 3 2" xfId="19633" xr:uid="{00000000-0005-0000-0000-0000B04C0000}"/>
    <cellStyle name="Note 6 4 3 2 2" xfId="19634" xr:uid="{00000000-0005-0000-0000-0000B14C0000}"/>
    <cellStyle name="Note 6 4 3 3" xfId="19635" xr:uid="{00000000-0005-0000-0000-0000B24C0000}"/>
    <cellStyle name="Note 6 4 3 3 2" xfId="19636" xr:uid="{00000000-0005-0000-0000-0000B34C0000}"/>
    <cellStyle name="Note 6 4 3 4" xfId="19637" xr:uid="{00000000-0005-0000-0000-0000B44C0000}"/>
    <cellStyle name="Note 6 4 3 4 2" xfId="19638" xr:uid="{00000000-0005-0000-0000-0000B54C0000}"/>
    <cellStyle name="Note 6 4 3 5" xfId="19639" xr:uid="{00000000-0005-0000-0000-0000B64C0000}"/>
    <cellStyle name="Note 6 4 3 5 2" xfId="19640" xr:uid="{00000000-0005-0000-0000-0000B74C0000}"/>
    <cellStyle name="Note 6 4 3 6" xfId="19641" xr:uid="{00000000-0005-0000-0000-0000B84C0000}"/>
    <cellStyle name="Note 6 4 4" xfId="19642" xr:uid="{00000000-0005-0000-0000-0000B94C0000}"/>
    <cellStyle name="Note 6 4 4 2" xfId="19643" xr:uid="{00000000-0005-0000-0000-0000BA4C0000}"/>
    <cellStyle name="Note 6 4 4 2 2" xfId="19644" xr:uid="{00000000-0005-0000-0000-0000BB4C0000}"/>
    <cellStyle name="Note 6 4 4 3" xfId="19645" xr:uid="{00000000-0005-0000-0000-0000BC4C0000}"/>
    <cellStyle name="Note 6 4 5" xfId="19646" xr:uid="{00000000-0005-0000-0000-0000BD4C0000}"/>
    <cellStyle name="Note 6 4 5 2" xfId="19647" xr:uid="{00000000-0005-0000-0000-0000BE4C0000}"/>
    <cellStyle name="Note 6 4 6" xfId="19648" xr:uid="{00000000-0005-0000-0000-0000BF4C0000}"/>
    <cellStyle name="Note 6 4 6 2" xfId="19649" xr:uid="{00000000-0005-0000-0000-0000C04C0000}"/>
    <cellStyle name="Note 6 4 7" xfId="19650" xr:uid="{00000000-0005-0000-0000-0000C14C0000}"/>
    <cellStyle name="Note 6 4 7 2" xfId="19651" xr:uid="{00000000-0005-0000-0000-0000C24C0000}"/>
    <cellStyle name="Note 6 4 8" xfId="19652" xr:uid="{00000000-0005-0000-0000-0000C34C0000}"/>
    <cellStyle name="Note 6 5" xfId="19653" xr:uid="{00000000-0005-0000-0000-0000C44C0000}"/>
    <cellStyle name="Note 6 5 2" xfId="19654" xr:uid="{00000000-0005-0000-0000-0000C54C0000}"/>
    <cellStyle name="Note 6 5 2 2" xfId="19655" xr:uid="{00000000-0005-0000-0000-0000C64C0000}"/>
    <cellStyle name="Note 6 5 2 2 2" xfId="19656" xr:uid="{00000000-0005-0000-0000-0000C74C0000}"/>
    <cellStyle name="Note 6 5 2 3" xfId="19657" xr:uid="{00000000-0005-0000-0000-0000C84C0000}"/>
    <cellStyle name="Note 6 5 2 3 2" xfId="19658" xr:uid="{00000000-0005-0000-0000-0000C94C0000}"/>
    <cellStyle name="Note 6 5 2 4" xfId="19659" xr:uid="{00000000-0005-0000-0000-0000CA4C0000}"/>
    <cellStyle name="Note 6 5 3" xfId="19660" xr:uid="{00000000-0005-0000-0000-0000CB4C0000}"/>
    <cellStyle name="Note 6 5 3 2" xfId="19661" xr:uid="{00000000-0005-0000-0000-0000CC4C0000}"/>
    <cellStyle name="Note 6 5 4" xfId="19662" xr:uid="{00000000-0005-0000-0000-0000CD4C0000}"/>
    <cellStyle name="Note 6 5 4 2" xfId="19663" xr:uid="{00000000-0005-0000-0000-0000CE4C0000}"/>
    <cellStyle name="Note 6 5 5" xfId="19664" xr:uid="{00000000-0005-0000-0000-0000CF4C0000}"/>
    <cellStyle name="Note 6 5 5 2" xfId="19665" xr:uid="{00000000-0005-0000-0000-0000D04C0000}"/>
    <cellStyle name="Note 6 5 6" xfId="19666" xr:uid="{00000000-0005-0000-0000-0000D14C0000}"/>
    <cellStyle name="Note 6 5 6 2" xfId="19667" xr:uid="{00000000-0005-0000-0000-0000D24C0000}"/>
    <cellStyle name="Note 6 5 7" xfId="19668" xr:uid="{00000000-0005-0000-0000-0000D34C0000}"/>
    <cellStyle name="Note 6 6" xfId="19669" xr:uid="{00000000-0005-0000-0000-0000D44C0000}"/>
    <cellStyle name="Note 6 6 2" xfId="19670" xr:uid="{00000000-0005-0000-0000-0000D54C0000}"/>
    <cellStyle name="Note 6 6 2 2" xfId="19671" xr:uid="{00000000-0005-0000-0000-0000D64C0000}"/>
    <cellStyle name="Note 6 6 3" xfId="19672" xr:uid="{00000000-0005-0000-0000-0000D74C0000}"/>
    <cellStyle name="Note 6 6 3 2" xfId="19673" xr:uid="{00000000-0005-0000-0000-0000D84C0000}"/>
    <cellStyle name="Note 6 6 4" xfId="19674" xr:uid="{00000000-0005-0000-0000-0000D94C0000}"/>
    <cellStyle name="Note 6 6 4 2" xfId="19675" xr:uid="{00000000-0005-0000-0000-0000DA4C0000}"/>
    <cellStyle name="Note 6 6 5" xfId="19676" xr:uid="{00000000-0005-0000-0000-0000DB4C0000}"/>
    <cellStyle name="Note 6 6 5 2" xfId="19677" xr:uid="{00000000-0005-0000-0000-0000DC4C0000}"/>
    <cellStyle name="Note 6 6 6" xfId="19678" xr:uid="{00000000-0005-0000-0000-0000DD4C0000}"/>
    <cellStyle name="Note 6 7" xfId="19679" xr:uid="{00000000-0005-0000-0000-0000DE4C0000}"/>
    <cellStyle name="Note 6 7 2" xfId="19680" xr:uid="{00000000-0005-0000-0000-0000DF4C0000}"/>
    <cellStyle name="Note 6 7 2 2" xfId="19681" xr:uid="{00000000-0005-0000-0000-0000E04C0000}"/>
    <cellStyle name="Note 6 7 3" xfId="19682" xr:uid="{00000000-0005-0000-0000-0000E14C0000}"/>
    <cellStyle name="Note 6 8" xfId="19683" xr:uid="{00000000-0005-0000-0000-0000E24C0000}"/>
    <cellStyle name="Note 6 8 2" xfId="19684" xr:uid="{00000000-0005-0000-0000-0000E34C0000}"/>
    <cellStyle name="Note 6 9" xfId="19685" xr:uid="{00000000-0005-0000-0000-0000E44C0000}"/>
    <cellStyle name="Note 6 9 2" xfId="19686" xr:uid="{00000000-0005-0000-0000-0000E54C0000}"/>
    <cellStyle name="Note 7" xfId="19687" xr:uid="{00000000-0005-0000-0000-0000E64C0000}"/>
    <cellStyle name="Note 7 2" xfId="19688" xr:uid="{00000000-0005-0000-0000-0000E74C0000}"/>
    <cellStyle name="Note 7 2 2" xfId="19689" xr:uid="{00000000-0005-0000-0000-0000E84C0000}"/>
    <cellStyle name="Note 7 2 2 2" xfId="19690" xr:uid="{00000000-0005-0000-0000-0000E94C0000}"/>
    <cellStyle name="Note 7 2 2 2 2" xfId="19691" xr:uid="{00000000-0005-0000-0000-0000EA4C0000}"/>
    <cellStyle name="Note 7 2 2 2 2 2" xfId="19692" xr:uid="{00000000-0005-0000-0000-0000EB4C0000}"/>
    <cellStyle name="Note 7 2 2 2 3" xfId="19693" xr:uid="{00000000-0005-0000-0000-0000EC4C0000}"/>
    <cellStyle name="Note 7 2 2 2 3 2" xfId="19694" xr:uid="{00000000-0005-0000-0000-0000ED4C0000}"/>
    <cellStyle name="Note 7 2 2 2 4" xfId="19695" xr:uid="{00000000-0005-0000-0000-0000EE4C0000}"/>
    <cellStyle name="Note 7 2 2 3" xfId="19696" xr:uid="{00000000-0005-0000-0000-0000EF4C0000}"/>
    <cellStyle name="Note 7 2 2 3 2" xfId="19697" xr:uid="{00000000-0005-0000-0000-0000F04C0000}"/>
    <cellStyle name="Note 7 2 2 4" xfId="19698" xr:uid="{00000000-0005-0000-0000-0000F14C0000}"/>
    <cellStyle name="Note 7 2 2 4 2" xfId="19699" xr:uid="{00000000-0005-0000-0000-0000F24C0000}"/>
    <cellStyle name="Note 7 2 2 5" xfId="19700" xr:uid="{00000000-0005-0000-0000-0000F34C0000}"/>
    <cellStyle name="Note 7 2 2 5 2" xfId="19701" xr:uid="{00000000-0005-0000-0000-0000F44C0000}"/>
    <cellStyle name="Note 7 2 2 6" xfId="19702" xr:uid="{00000000-0005-0000-0000-0000F54C0000}"/>
    <cellStyle name="Note 7 2 2 6 2" xfId="19703" xr:uid="{00000000-0005-0000-0000-0000F64C0000}"/>
    <cellStyle name="Note 7 2 2 7" xfId="19704" xr:uid="{00000000-0005-0000-0000-0000F74C0000}"/>
    <cellStyle name="Note 7 2 3" xfId="19705" xr:uid="{00000000-0005-0000-0000-0000F84C0000}"/>
    <cellStyle name="Note 7 2 3 2" xfId="19706" xr:uid="{00000000-0005-0000-0000-0000F94C0000}"/>
    <cellStyle name="Note 7 2 3 2 2" xfId="19707" xr:uid="{00000000-0005-0000-0000-0000FA4C0000}"/>
    <cellStyle name="Note 7 2 3 3" xfId="19708" xr:uid="{00000000-0005-0000-0000-0000FB4C0000}"/>
    <cellStyle name="Note 7 2 3 3 2" xfId="19709" xr:uid="{00000000-0005-0000-0000-0000FC4C0000}"/>
    <cellStyle name="Note 7 2 3 4" xfId="19710" xr:uid="{00000000-0005-0000-0000-0000FD4C0000}"/>
    <cellStyle name="Note 7 2 3 4 2" xfId="19711" xr:uid="{00000000-0005-0000-0000-0000FE4C0000}"/>
    <cellStyle name="Note 7 2 3 5" xfId="19712" xr:uid="{00000000-0005-0000-0000-0000FF4C0000}"/>
    <cellStyle name="Note 7 2 3 5 2" xfId="19713" xr:uid="{00000000-0005-0000-0000-0000004D0000}"/>
    <cellStyle name="Note 7 2 3 6" xfId="19714" xr:uid="{00000000-0005-0000-0000-0000014D0000}"/>
    <cellStyle name="Note 7 2 4" xfId="19715" xr:uid="{00000000-0005-0000-0000-0000024D0000}"/>
    <cellStyle name="Note 7 2 4 2" xfId="19716" xr:uid="{00000000-0005-0000-0000-0000034D0000}"/>
    <cellStyle name="Note 7 2 4 2 2" xfId="19717" xr:uid="{00000000-0005-0000-0000-0000044D0000}"/>
    <cellStyle name="Note 7 2 4 3" xfId="19718" xr:uid="{00000000-0005-0000-0000-0000054D0000}"/>
    <cellStyle name="Note 7 2 5" xfId="19719" xr:uid="{00000000-0005-0000-0000-0000064D0000}"/>
    <cellStyle name="Note 7 2 5 2" xfId="19720" xr:uid="{00000000-0005-0000-0000-0000074D0000}"/>
    <cellStyle name="Note 7 2 6" xfId="19721" xr:uid="{00000000-0005-0000-0000-0000084D0000}"/>
    <cellStyle name="Note 7 2 6 2" xfId="19722" xr:uid="{00000000-0005-0000-0000-0000094D0000}"/>
    <cellStyle name="Note 7 2 7" xfId="19723" xr:uid="{00000000-0005-0000-0000-00000A4D0000}"/>
    <cellStyle name="Note 7 2 7 2" xfId="19724" xr:uid="{00000000-0005-0000-0000-00000B4D0000}"/>
    <cellStyle name="Note 7 2 8" xfId="19725" xr:uid="{00000000-0005-0000-0000-00000C4D0000}"/>
    <cellStyle name="Note 7 3" xfId="19726" xr:uid="{00000000-0005-0000-0000-00000D4D0000}"/>
    <cellStyle name="Note 7 3 2" xfId="19727" xr:uid="{00000000-0005-0000-0000-00000E4D0000}"/>
    <cellStyle name="Note 7 3 2 2" xfId="19728" xr:uid="{00000000-0005-0000-0000-00000F4D0000}"/>
    <cellStyle name="Note 7 3 2 2 2" xfId="19729" xr:uid="{00000000-0005-0000-0000-0000104D0000}"/>
    <cellStyle name="Note 7 3 2 3" xfId="19730" xr:uid="{00000000-0005-0000-0000-0000114D0000}"/>
    <cellStyle name="Note 7 3 2 3 2" xfId="19731" xr:uid="{00000000-0005-0000-0000-0000124D0000}"/>
    <cellStyle name="Note 7 3 2 4" xfId="19732" xr:uid="{00000000-0005-0000-0000-0000134D0000}"/>
    <cellStyle name="Note 7 3 3" xfId="19733" xr:uid="{00000000-0005-0000-0000-0000144D0000}"/>
    <cellStyle name="Note 7 3 3 2" xfId="19734" xr:uid="{00000000-0005-0000-0000-0000154D0000}"/>
    <cellStyle name="Note 7 3 4" xfId="19735" xr:uid="{00000000-0005-0000-0000-0000164D0000}"/>
    <cellStyle name="Note 7 3 4 2" xfId="19736" xr:uid="{00000000-0005-0000-0000-0000174D0000}"/>
    <cellStyle name="Note 7 3 5" xfId="19737" xr:uid="{00000000-0005-0000-0000-0000184D0000}"/>
    <cellStyle name="Note 7 3 5 2" xfId="19738" xr:uid="{00000000-0005-0000-0000-0000194D0000}"/>
    <cellStyle name="Note 7 3 6" xfId="19739" xr:uid="{00000000-0005-0000-0000-00001A4D0000}"/>
    <cellStyle name="Note 7 3 6 2" xfId="19740" xr:uid="{00000000-0005-0000-0000-00001B4D0000}"/>
    <cellStyle name="Note 7 3 7" xfId="19741" xr:uid="{00000000-0005-0000-0000-00001C4D0000}"/>
    <cellStyle name="Note 7 4" xfId="19742" xr:uid="{00000000-0005-0000-0000-00001D4D0000}"/>
    <cellStyle name="Note 7 4 2" xfId="19743" xr:uid="{00000000-0005-0000-0000-00001E4D0000}"/>
    <cellStyle name="Note 7 4 2 2" xfId="19744" xr:uid="{00000000-0005-0000-0000-00001F4D0000}"/>
    <cellStyle name="Note 7 4 3" xfId="19745" xr:uid="{00000000-0005-0000-0000-0000204D0000}"/>
    <cellStyle name="Note 7 4 3 2" xfId="19746" xr:uid="{00000000-0005-0000-0000-0000214D0000}"/>
    <cellStyle name="Note 7 4 4" xfId="19747" xr:uid="{00000000-0005-0000-0000-0000224D0000}"/>
    <cellStyle name="Note 7 4 4 2" xfId="19748" xr:uid="{00000000-0005-0000-0000-0000234D0000}"/>
    <cellStyle name="Note 7 4 5" xfId="19749" xr:uid="{00000000-0005-0000-0000-0000244D0000}"/>
    <cellStyle name="Note 7 4 5 2" xfId="19750" xr:uid="{00000000-0005-0000-0000-0000254D0000}"/>
    <cellStyle name="Note 7 4 6" xfId="19751" xr:uid="{00000000-0005-0000-0000-0000264D0000}"/>
    <cellStyle name="Note 7 5" xfId="19752" xr:uid="{00000000-0005-0000-0000-0000274D0000}"/>
    <cellStyle name="Note 7 5 2" xfId="19753" xr:uid="{00000000-0005-0000-0000-0000284D0000}"/>
    <cellStyle name="Note 7 5 2 2" xfId="19754" xr:uid="{00000000-0005-0000-0000-0000294D0000}"/>
    <cellStyle name="Note 7 5 3" xfId="19755" xr:uid="{00000000-0005-0000-0000-00002A4D0000}"/>
    <cellStyle name="Note 7 6" xfId="19756" xr:uid="{00000000-0005-0000-0000-00002B4D0000}"/>
    <cellStyle name="Note 7 6 2" xfId="19757" xr:uid="{00000000-0005-0000-0000-00002C4D0000}"/>
    <cellStyle name="Note 7 7" xfId="19758" xr:uid="{00000000-0005-0000-0000-00002D4D0000}"/>
    <cellStyle name="Note 7 7 2" xfId="19759" xr:uid="{00000000-0005-0000-0000-00002E4D0000}"/>
    <cellStyle name="Note 7 8" xfId="19760" xr:uid="{00000000-0005-0000-0000-00002F4D0000}"/>
    <cellStyle name="Note 7 8 2" xfId="19761" xr:uid="{00000000-0005-0000-0000-0000304D0000}"/>
    <cellStyle name="Note 7 9" xfId="19762" xr:uid="{00000000-0005-0000-0000-0000314D0000}"/>
    <cellStyle name="Note 8" xfId="19763" xr:uid="{00000000-0005-0000-0000-0000324D0000}"/>
    <cellStyle name="Note 8 2" xfId="19764" xr:uid="{00000000-0005-0000-0000-0000334D0000}"/>
    <cellStyle name="Note 8 2 2" xfId="19765" xr:uid="{00000000-0005-0000-0000-0000344D0000}"/>
    <cellStyle name="Note 8 2 2 2" xfId="19766" xr:uid="{00000000-0005-0000-0000-0000354D0000}"/>
    <cellStyle name="Note 8 2 2 2 2" xfId="19767" xr:uid="{00000000-0005-0000-0000-0000364D0000}"/>
    <cellStyle name="Note 8 2 2 3" xfId="19768" xr:uid="{00000000-0005-0000-0000-0000374D0000}"/>
    <cellStyle name="Note 8 2 3" xfId="19769" xr:uid="{00000000-0005-0000-0000-0000384D0000}"/>
    <cellStyle name="Note 8 2 3 2" xfId="19770" xr:uid="{00000000-0005-0000-0000-0000394D0000}"/>
    <cellStyle name="Note 8 2 4" xfId="19771" xr:uid="{00000000-0005-0000-0000-00003A4D0000}"/>
    <cellStyle name="Note 8 3" xfId="19772" xr:uid="{00000000-0005-0000-0000-00003B4D0000}"/>
    <cellStyle name="Note 8 3 2" xfId="19773" xr:uid="{00000000-0005-0000-0000-00003C4D0000}"/>
    <cellStyle name="Note 8 3 2 2" xfId="19774" xr:uid="{00000000-0005-0000-0000-00003D4D0000}"/>
    <cellStyle name="Note 8 3 3" xfId="19775" xr:uid="{00000000-0005-0000-0000-00003E4D0000}"/>
    <cellStyle name="Note 8 4" xfId="19776" xr:uid="{00000000-0005-0000-0000-00003F4D0000}"/>
    <cellStyle name="Note 8 4 2" xfId="19777" xr:uid="{00000000-0005-0000-0000-0000404D0000}"/>
    <cellStyle name="Note 8 5" xfId="19778" xr:uid="{00000000-0005-0000-0000-0000414D0000}"/>
    <cellStyle name="Note 9" xfId="19779" xr:uid="{00000000-0005-0000-0000-0000424D0000}"/>
    <cellStyle name="Note 9 2" xfId="19780" xr:uid="{00000000-0005-0000-0000-0000434D0000}"/>
    <cellStyle name="Note 9 2 2" xfId="19781" xr:uid="{00000000-0005-0000-0000-0000444D0000}"/>
    <cellStyle name="Note 9 2 2 2" xfId="19782" xr:uid="{00000000-0005-0000-0000-0000454D0000}"/>
    <cellStyle name="Note 9 2 2 2 2" xfId="19783" xr:uid="{00000000-0005-0000-0000-0000464D0000}"/>
    <cellStyle name="Note 9 2 2 3" xfId="19784" xr:uid="{00000000-0005-0000-0000-0000474D0000}"/>
    <cellStyle name="Note 9 2 3" xfId="19785" xr:uid="{00000000-0005-0000-0000-0000484D0000}"/>
    <cellStyle name="Note 9 2 3 2" xfId="19786" xr:uid="{00000000-0005-0000-0000-0000494D0000}"/>
    <cellStyle name="Note 9 2 4" xfId="19787" xr:uid="{00000000-0005-0000-0000-00004A4D0000}"/>
    <cellStyle name="Note 9 3" xfId="19788" xr:uid="{00000000-0005-0000-0000-00004B4D0000}"/>
    <cellStyle name="Note 9 3 2" xfId="19789" xr:uid="{00000000-0005-0000-0000-00004C4D0000}"/>
    <cellStyle name="Note 9 3 2 2" xfId="19790" xr:uid="{00000000-0005-0000-0000-00004D4D0000}"/>
    <cellStyle name="Note 9 3 3" xfId="19791" xr:uid="{00000000-0005-0000-0000-00004E4D0000}"/>
    <cellStyle name="Note 9 4" xfId="19792" xr:uid="{00000000-0005-0000-0000-00004F4D0000}"/>
    <cellStyle name="Note 9 4 2" xfId="19793" xr:uid="{00000000-0005-0000-0000-0000504D0000}"/>
    <cellStyle name="Note 9 5" xfId="19794" xr:uid="{00000000-0005-0000-0000-0000514D0000}"/>
    <cellStyle name="OnOff" xfId="19795" xr:uid="{00000000-0005-0000-0000-0000524D0000}"/>
    <cellStyle name="Output 2" xfId="19796" xr:uid="{00000000-0005-0000-0000-0000534D0000}"/>
    <cellStyle name="Output 2 2" xfId="19797" xr:uid="{00000000-0005-0000-0000-0000544D0000}"/>
    <cellStyle name="Output 2 2 2" xfId="19798" xr:uid="{00000000-0005-0000-0000-0000554D0000}"/>
    <cellStyle name="Output 2 2 3" xfId="19799" xr:uid="{00000000-0005-0000-0000-0000564D0000}"/>
    <cellStyle name="Output 2 2 4" xfId="19800" xr:uid="{00000000-0005-0000-0000-0000574D0000}"/>
    <cellStyle name="Output 2 2 4 2" xfId="19801" xr:uid="{00000000-0005-0000-0000-0000584D0000}"/>
    <cellStyle name="Output 2 2 5" xfId="19802" xr:uid="{00000000-0005-0000-0000-0000594D0000}"/>
    <cellStyle name="Output 2 3" xfId="19803" xr:uid="{00000000-0005-0000-0000-00005A4D0000}"/>
    <cellStyle name="Output 2 3 2" xfId="19804" xr:uid="{00000000-0005-0000-0000-00005B4D0000}"/>
    <cellStyle name="Output 2 3 2 2" xfId="19805" xr:uid="{00000000-0005-0000-0000-00005C4D0000}"/>
    <cellStyle name="Output 2 3 2 2 2" xfId="19806" xr:uid="{00000000-0005-0000-0000-00005D4D0000}"/>
    <cellStyle name="Output 2 3 2 3" xfId="19807" xr:uid="{00000000-0005-0000-0000-00005E4D0000}"/>
    <cellStyle name="Output 2 3 2 4" xfId="19808" xr:uid="{00000000-0005-0000-0000-00005F4D0000}"/>
    <cellStyle name="Output 2 3 2 5" xfId="19809" xr:uid="{00000000-0005-0000-0000-0000604D0000}"/>
    <cellStyle name="Output 2 3 2 6" xfId="19810" xr:uid="{00000000-0005-0000-0000-0000614D0000}"/>
    <cellStyle name="Output 2 4" xfId="19811" xr:uid="{00000000-0005-0000-0000-0000624D0000}"/>
    <cellStyle name="Output 2 4 2" xfId="19812" xr:uid="{00000000-0005-0000-0000-0000634D0000}"/>
    <cellStyle name="Output 2 4 2 2" xfId="19813" xr:uid="{00000000-0005-0000-0000-0000644D0000}"/>
    <cellStyle name="Output 2 4 3" xfId="19814" xr:uid="{00000000-0005-0000-0000-0000654D0000}"/>
    <cellStyle name="Output 2 4 4" xfId="19815" xr:uid="{00000000-0005-0000-0000-0000664D0000}"/>
    <cellStyle name="Output 2 4 5" xfId="19816" xr:uid="{00000000-0005-0000-0000-0000674D0000}"/>
    <cellStyle name="Output 2 4 6" xfId="19817" xr:uid="{00000000-0005-0000-0000-0000684D0000}"/>
    <cellStyle name="Output 2 5" xfId="19818" xr:uid="{00000000-0005-0000-0000-0000694D0000}"/>
    <cellStyle name="Output 2 5 2" xfId="19819" xr:uid="{00000000-0005-0000-0000-00006A4D0000}"/>
    <cellStyle name="Output 2 6" xfId="19820" xr:uid="{00000000-0005-0000-0000-00006B4D0000}"/>
    <cellStyle name="Output 2 6 2" xfId="19821" xr:uid="{00000000-0005-0000-0000-00006C4D0000}"/>
    <cellStyle name="Output 2 6 3" xfId="19822" xr:uid="{00000000-0005-0000-0000-00006D4D0000}"/>
    <cellStyle name="Output 3" xfId="19823" xr:uid="{00000000-0005-0000-0000-00006E4D0000}"/>
    <cellStyle name="Output 3 2" xfId="19824" xr:uid="{00000000-0005-0000-0000-00006F4D0000}"/>
    <cellStyle name="Output 3 2 2" xfId="19825" xr:uid="{00000000-0005-0000-0000-0000704D0000}"/>
    <cellStyle name="Output 3 3" xfId="19826" xr:uid="{00000000-0005-0000-0000-0000714D0000}"/>
    <cellStyle name="Output 3 3 2" xfId="19827" xr:uid="{00000000-0005-0000-0000-0000724D0000}"/>
    <cellStyle name="Output 4" xfId="19828" xr:uid="{00000000-0005-0000-0000-0000734D0000}"/>
    <cellStyle name="Output 4 2" xfId="19829" xr:uid="{00000000-0005-0000-0000-0000744D0000}"/>
    <cellStyle name="Output 5" xfId="19830" xr:uid="{00000000-0005-0000-0000-0000754D0000}"/>
    <cellStyle name="Output 6" xfId="19831" xr:uid="{00000000-0005-0000-0000-0000764D0000}"/>
    <cellStyle name="Output 7" xfId="19832" xr:uid="{00000000-0005-0000-0000-0000774D0000}"/>
    <cellStyle name="Percent" xfId="1" builtinId="5"/>
    <cellStyle name="Percent 10" xfId="19833" xr:uid="{00000000-0005-0000-0000-0000794D0000}"/>
    <cellStyle name="Percent 2" xfId="19834" xr:uid="{00000000-0005-0000-0000-00007A4D0000}"/>
    <cellStyle name="Percent 2 10" xfId="19835" xr:uid="{00000000-0005-0000-0000-00007B4D0000}"/>
    <cellStyle name="Percent 2 11" xfId="19836" xr:uid="{00000000-0005-0000-0000-00007C4D0000}"/>
    <cellStyle name="Percent 2 2" xfId="19837" xr:uid="{00000000-0005-0000-0000-00007D4D0000}"/>
    <cellStyle name="Percent 2 2 2" xfId="19838" xr:uid="{00000000-0005-0000-0000-00007E4D0000}"/>
    <cellStyle name="Percent 2 3" xfId="19839" xr:uid="{00000000-0005-0000-0000-00007F4D0000}"/>
    <cellStyle name="Percent 2 4" xfId="19840" xr:uid="{00000000-0005-0000-0000-0000804D0000}"/>
    <cellStyle name="Percent 2 5" xfId="19841" xr:uid="{00000000-0005-0000-0000-0000814D0000}"/>
    <cellStyle name="Percent 2 6" xfId="19842" xr:uid="{00000000-0005-0000-0000-0000824D0000}"/>
    <cellStyle name="Percent 2 7" xfId="19843" xr:uid="{00000000-0005-0000-0000-0000834D0000}"/>
    <cellStyle name="Percent 2 8" xfId="19844" xr:uid="{00000000-0005-0000-0000-0000844D0000}"/>
    <cellStyle name="Percent 2 9" xfId="19845" xr:uid="{00000000-0005-0000-0000-0000854D0000}"/>
    <cellStyle name="Percent 3" xfId="19846" xr:uid="{00000000-0005-0000-0000-0000864D0000}"/>
    <cellStyle name="Percent 3 2" xfId="19847" xr:uid="{00000000-0005-0000-0000-0000874D0000}"/>
    <cellStyle name="Percent 3 3" xfId="19848" xr:uid="{00000000-0005-0000-0000-0000884D0000}"/>
    <cellStyle name="Percent 3 3 2" xfId="19849" xr:uid="{00000000-0005-0000-0000-0000894D0000}"/>
    <cellStyle name="Percent 3 4" xfId="19850" xr:uid="{00000000-0005-0000-0000-00008A4D0000}"/>
    <cellStyle name="Percent 4" xfId="19851" xr:uid="{00000000-0005-0000-0000-00008B4D0000}"/>
    <cellStyle name="Percent 4 2" xfId="19852" xr:uid="{00000000-0005-0000-0000-00008C4D0000}"/>
    <cellStyle name="Percent 5" xfId="19853" xr:uid="{00000000-0005-0000-0000-00008D4D0000}"/>
    <cellStyle name="Percent 6" xfId="19854" xr:uid="{00000000-0005-0000-0000-00008E4D0000}"/>
    <cellStyle name="Percent 7" xfId="19855" xr:uid="{00000000-0005-0000-0000-00008F4D0000}"/>
    <cellStyle name="Percent 7 2" xfId="19856" xr:uid="{00000000-0005-0000-0000-0000904D0000}"/>
    <cellStyle name="Percent 8" xfId="19857" xr:uid="{00000000-0005-0000-0000-0000914D0000}"/>
    <cellStyle name="Percent 8 2" xfId="19858" xr:uid="{00000000-0005-0000-0000-0000924D0000}"/>
    <cellStyle name="Percent 9" xfId="19859" xr:uid="{00000000-0005-0000-0000-0000934D0000}"/>
    <cellStyle name="Posted" xfId="19860" xr:uid="{00000000-0005-0000-0000-0000944D0000}"/>
    <cellStyle name="PSChar" xfId="19861" xr:uid="{00000000-0005-0000-0000-0000954D0000}"/>
    <cellStyle name="PSDate" xfId="19862" xr:uid="{00000000-0005-0000-0000-0000964D0000}"/>
    <cellStyle name="PSDec" xfId="19863" xr:uid="{00000000-0005-0000-0000-0000974D0000}"/>
    <cellStyle name="PSHeading" xfId="19864" xr:uid="{00000000-0005-0000-0000-0000984D0000}"/>
    <cellStyle name="PSInt" xfId="19865" xr:uid="{00000000-0005-0000-0000-0000994D0000}"/>
    <cellStyle name="PSSpacer" xfId="19866" xr:uid="{00000000-0005-0000-0000-00009A4D0000}"/>
    <cellStyle name="R00A" xfId="19867" xr:uid="{00000000-0005-0000-0000-00009B4D0000}"/>
    <cellStyle name="R00B" xfId="19868" xr:uid="{00000000-0005-0000-0000-00009C4D0000}"/>
    <cellStyle name="R00B 2" xfId="19869" xr:uid="{00000000-0005-0000-0000-00009D4D0000}"/>
    <cellStyle name="R00L" xfId="19870" xr:uid="{00000000-0005-0000-0000-00009E4D0000}"/>
    <cellStyle name="R00L 2" xfId="19871" xr:uid="{00000000-0005-0000-0000-00009F4D0000}"/>
    <cellStyle name="R00L 2 2" xfId="19872" xr:uid="{00000000-0005-0000-0000-0000A04D0000}"/>
    <cellStyle name="R01A" xfId="19873" xr:uid="{00000000-0005-0000-0000-0000A14D0000}"/>
    <cellStyle name="R01A 2" xfId="19874" xr:uid="{00000000-0005-0000-0000-0000A24D0000}"/>
    <cellStyle name="R01B" xfId="19875" xr:uid="{00000000-0005-0000-0000-0000A34D0000}"/>
    <cellStyle name="R01H" xfId="19876" xr:uid="{00000000-0005-0000-0000-0000A44D0000}"/>
    <cellStyle name="R01L" xfId="19877" xr:uid="{00000000-0005-0000-0000-0000A54D0000}"/>
    <cellStyle name="R02A" xfId="19878" xr:uid="{00000000-0005-0000-0000-0000A64D0000}"/>
    <cellStyle name="R02B" xfId="19879" xr:uid="{00000000-0005-0000-0000-0000A74D0000}"/>
    <cellStyle name="R02H" xfId="19880" xr:uid="{00000000-0005-0000-0000-0000A84D0000}"/>
    <cellStyle name="R02L" xfId="19881" xr:uid="{00000000-0005-0000-0000-0000A94D0000}"/>
    <cellStyle name="R03A" xfId="19882" xr:uid="{00000000-0005-0000-0000-0000AA4D0000}"/>
    <cellStyle name="R03A 2" xfId="19883" xr:uid="{00000000-0005-0000-0000-0000AB4D0000}"/>
    <cellStyle name="R03B" xfId="19884" xr:uid="{00000000-0005-0000-0000-0000AC4D0000}"/>
    <cellStyle name="R03B 2" xfId="19885" xr:uid="{00000000-0005-0000-0000-0000AD4D0000}"/>
    <cellStyle name="R03H" xfId="19886" xr:uid="{00000000-0005-0000-0000-0000AE4D0000}"/>
    <cellStyle name="R03L" xfId="19887" xr:uid="{00000000-0005-0000-0000-0000AF4D0000}"/>
    <cellStyle name="R04A" xfId="19888" xr:uid="{00000000-0005-0000-0000-0000B04D0000}"/>
    <cellStyle name="R04A 2" xfId="19889" xr:uid="{00000000-0005-0000-0000-0000B14D0000}"/>
    <cellStyle name="R04B" xfId="19890" xr:uid="{00000000-0005-0000-0000-0000B24D0000}"/>
    <cellStyle name="R04B 2" xfId="19891" xr:uid="{00000000-0005-0000-0000-0000B34D0000}"/>
    <cellStyle name="R04H" xfId="19892" xr:uid="{00000000-0005-0000-0000-0000B44D0000}"/>
    <cellStyle name="R04L" xfId="19893" xr:uid="{00000000-0005-0000-0000-0000B54D0000}"/>
    <cellStyle name="R05A" xfId="19894" xr:uid="{00000000-0005-0000-0000-0000B64D0000}"/>
    <cellStyle name="R05B" xfId="19895" xr:uid="{00000000-0005-0000-0000-0000B74D0000}"/>
    <cellStyle name="R05B 2" xfId="19896" xr:uid="{00000000-0005-0000-0000-0000B84D0000}"/>
    <cellStyle name="R05H" xfId="19897" xr:uid="{00000000-0005-0000-0000-0000B94D0000}"/>
    <cellStyle name="R05L" xfId="19898" xr:uid="{00000000-0005-0000-0000-0000BA4D0000}"/>
    <cellStyle name="R06A" xfId="19899" xr:uid="{00000000-0005-0000-0000-0000BB4D0000}"/>
    <cellStyle name="R06B" xfId="19900" xr:uid="{00000000-0005-0000-0000-0000BC4D0000}"/>
    <cellStyle name="R06B 2" xfId="19901" xr:uid="{00000000-0005-0000-0000-0000BD4D0000}"/>
    <cellStyle name="R06H" xfId="19902" xr:uid="{00000000-0005-0000-0000-0000BE4D0000}"/>
    <cellStyle name="R06L" xfId="19903" xr:uid="{00000000-0005-0000-0000-0000BF4D0000}"/>
    <cellStyle name="R07A" xfId="19904" xr:uid="{00000000-0005-0000-0000-0000C04D0000}"/>
    <cellStyle name="R07B" xfId="19905" xr:uid="{00000000-0005-0000-0000-0000C14D0000}"/>
    <cellStyle name="R07B 2" xfId="19906" xr:uid="{00000000-0005-0000-0000-0000C24D0000}"/>
    <cellStyle name="R07H" xfId="19907" xr:uid="{00000000-0005-0000-0000-0000C34D0000}"/>
    <cellStyle name="R07H 2" xfId="19908" xr:uid="{00000000-0005-0000-0000-0000C44D0000}"/>
    <cellStyle name="R07L" xfId="19909" xr:uid="{00000000-0005-0000-0000-0000C54D0000}"/>
    <cellStyle name="SAPBEXstdItem" xfId="19910" xr:uid="{00000000-0005-0000-0000-0000C64D0000}"/>
    <cellStyle name="Style 1" xfId="19911" xr:uid="{00000000-0005-0000-0000-0000C74D0000}"/>
    <cellStyle name="Style 1 10" xfId="19912" xr:uid="{00000000-0005-0000-0000-0000C84D0000}"/>
    <cellStyle name="Style 1 11" xfId="19913" xr:uid="{00000000-0005-0000-0000-0000C94D0000}"/>
    <cellStyle name="Style 1 11 2" xfId="19914" xr:uid="{00000000-0005-0000-0000-0000CA4D0000}"/>
    <cellStyle name="Style 1 12" xfId="19915" xr:uid="{00000000-0005-0000-0000-0000CB4D0000}"/>
    <cellStyle name="Style 1 2" xfId="19916" xr:uid="{00000000-0005-0000-0000-0000CC4D0000}"/>
    <cellStyle name="Style 1 2 2" xfId="19917" xr:uid="{00000000-0005-0000-0000-0000CD4D0000}"/>
    <cellStyle name="Style 1 3" xfId="19918" xr:uid="{00000000-0005-0000-0000-0000CE4D0000}"/>
    <cellStyle name="Style 1 3 2" xfId="19919" xr:uid="{00000000-0005-0000-0000-0000CF4D0000}"/>
    <cellStyle name="Style 1 4" xfId="19920" xr:uid="{00000000-0005-0000-0000-0000D04D0000}"/>
    <cellStyle name="Style 1 5" xfId="19921" xr:uid="{00000000-0005-0000-0000-0000D14D0000}"/>
    <cellStyle name="Style 1 6" xfId="19922" xr:uid="{00000000-0005-0000-0000-0000D24D0000}"/>
    <cellStyle name="Style 1 7" xfId="19923" xr:uid="{00000000-0005-0000-0000-0000D34D0000}"/>
    <cellStyle name="Style 1 8" xfId="19924" xr:uid="{00000000-0005-0000-0000-0000D44D0000}"/>
    <cellStyle name="Style 1 9" xfId="19925" xr:uid="{00000000-0005-0000-0000-0000D54D0000}"/>
    <cellStyle name="Title 2" xfId="19926" xr:uid="{00000000-0005-0000-0000-0000D64D0000}"/>
    <cellStyle name="Title 2 2" xfId="19927" xr:uid="{00000000-0005-0000-0000-0000D74D0000}"/>
    <cellStyle name="Title 2 3" xfId="19928" xr:uid="{00000000-0005-0000-0000-0000D84D0000}"/>
    <cellStyle name="Title 2 3 2" xfId="19929" xr:uid="{00000000-0005-0000-0000-0000D94D0000}"/>
    <cellStyle name="Total 2" xfId="19930" xr:uid="{00000000-0005-0000-0000-0000DA4D0000}"/>
    <cellStyle name="Total 2 2" xfId="19931" xr:uid="{00000000-0005-0000-0000-0000DB4D0000}"/>
    <cellStyle name="Total 2 2 2" xfId="19932" xr:uid="{00000000-0005-0000-0000-0000DC4D0000}"/>
    <cellStyle name="Total 2 2 3" xfId="19933" xr:uid="{00000000-0005-0000-0000-0000DD4D0000}"/>
    <cellStyle name="Total 2 2 3 2" xfId="19934" xr:uid="{00000000-0005-0000-0000-0000DE4D0000}"/>
    <cellStyle name="Total 2 2 3 2 2" xfId="19935" xr:uid="{00000000-0005-0000-0000-0000DF4D0000}"/>
    <cellStyle name="Total 2 2 3 3" xfId="19936" xr:uid="{00000000-0005-0000-0000-0000E04D0000}"/>
    <cellStyle name="Total 2 2 3 4" xfId="19937" xr:uid="{00000000-0005-0000-0000-0000E14D0000}"/>
    <cellStyle name="Total 2 2 3 5" xfId="19938" xr:uid="{00000000-0005-0000-0000-0000E24D0000}"/>
    <cellStyle name="Total 2 2 3 6" xfId="19939" xr:uid="{00000000-0005-0000-0000-0000E34D0000}"/>
    <cellStyle name="Total 2 2 4" xfId="19940" xr:uid="{00000000-0005-0000-0000-0000E44D0000}"/>
    <cellStyle name="Total 2 2 4 2" xfId="19941" xr:uid="{00000000-0005-0000-0000-0000E54D0000}"/>
    <cellStyle name="Total 2 2 5" xfId="19942" xr:uid="{00000000-0005-0000-0000-0000E64D0000}"/>
    <cellStyle name="Total 2 2 5 2" xfId="19943" xr:uid="{00000000-0005-0000-0000-0000E74D0000}"/>
    <cellStyle name="Total 2 2 6" xfId="19944" xr:uid="{00000000-0005-0000-0000-0000E84D0000}"/>
    <cellStyle name="Total 2 3" xfId="19945" xr:uid="{00000000-0005-0000-0000-0000E94D0000}"/>
    <cellStyle name="Total 2 3 2" xfId="19946" xr:uid="{00000000-0005-0000-0000-0000EA4D0000}"/>
    <cellStyle name="Total 2 3 2 2" xfId="19947" xr:uid="{00000000-0005-0000-0000-0000EB4D0000}"/>
    <cellStyle name="Total 2 3 2 2 2" xfId="19948" xr:uid="{00000000-0005-0000-0000-0000EC4D0000}"/>
    <cellStyle name="Total 2 3 2 3" xfId="19949" xr:uid="{00000000-0005-0000-0000-0000ED4D0000}"/>
    <cellStyle name="Total 2 3 2 4" xfId="19950" xr:uid="{00000000-0005-0000-0000-0000EE4D0000}"/>
    <cellStyle name="Total 2 3 2 5" xfId="19951" xr:uid="{00000000-0005-0000-0000-0000EF4D0000}"/>
    <cellStyle name="Total 2 3 2 6" xfId="19952" xr:uid="{00000000-0005-0000-0000-0000F04D0000}"/>
    <cellStyle name="Total 2 4" xfId="19953" xr:uid="{00000000-0005-0000-0000-0000F14D0000}"/>
    <cellStyle name="Total 2 4 2" xfId="19954" xr:uid="{00000000-0005-0000-0000-0000F24D0000}"/>
    <cellStyle name="Total 2 4 2 2" xfId="19955" xr:uid="{00000000-0005-0000-0000-0000F34D0000}"/>
    <cellStyle name="Total 2 4 3" xfId="19956" xr:uid="{00000000-0005-0000-0000-0000F44D0000}"/>
    <cellStyle name="Total 2 4 4" xfId="19957" xr:uid="{00000000-0005-0000-0000-0000F54D0000}"/>
    <cellStyle name="Total 2 4 5" xfId="19958" xr:uid="{00000000-0005-0000-0000-0000F64D0000}"/>
    <cellStyle name="Total 2 4 6" xfId="19959" xr:uid="{00000000-0005-0000-0000-0000F74D0000}"/>
    <cellStyle name="Total 2 5" xfId="19960" xr:uid="{00000000-0005-0000-0000-0000F84D0000}"/>
    <cellStyle name="Total 2 5 2" xfId="19961" xr:uid="{00000000-0005-0000-0000-0000F94D0000}"/>
    <cellStyle name="Total 2 6" xfId="19962" xr:uid="{00000000-0005-0000-0000-0000FA4D0000}"/>
    <cellStyle name="Total 2 6 2" xfId="19963" xr:uid="{00000000-0005-0000-0000-0000FB4D0000}"/>
    <cellStyle name="Total 2 6 3" xfId="19964" xr:uid="{00000000-0005-0000-0000-0000FC4D0000}"/>
    <cellStyle name="Total 2 7" xfId="19965" xr:uid="{00000000-0005-0000-0000-0000FD4D0000}"/>
    <cellStyle name="Total 2 8" xfId="19966" xr:uid="{00000000-0005-0000-0000-0000FE4D0000}"/>
    <cellStyle name="Total 3" xfId="19967" xr:uid="{00000000-0005-0000-0000-0000FF4D0000}"/>
    <cellStyle name="Total 3 2" xfId="19968" xr:uid="{00000000-0005-0000-0000-0000004E0000}"/>
    <cellStyle name="Total 3 2 2" xfId="19969" xr:uid="{00000000-0005-0000-0000-0000014E0000}"/>
    <cellStyle name="Total 3 3" xfId="19970" xr:uid="{00000000-0005-0000-0000-0000024E0000}"/>
    <cellStyle name="Total 3 3 2" xfId="19971" xr:uid="{00000000-0005-0000-0000-0000034E0000}"/>
    <cellStyle name="Total 4" xfId="19972" xr:uid="{00000000-0005-0000-0000-0000044E0000}"/>
    <cellStyle name="Total 4 2" xfId="19973" xr:uid="{00000000-0005-0000-0000-0000054E0000}"/>
    <cellStyle name="Total 5" xfId="19974" xr:uid="{00000000-0005-0000-0000-0000064E0000}"/>
    <cellStyle name="Total 6" xfId="19975" xr:uid="{00000000-0005-0000-0000-0000074E0000}"/>
    <cellStyle name="Total 7" xfId="19976" xr:uid="{00000000-0005-0000-0000-0000084E0000}"/>
    <cellStyle name="Warning Text 2" xfId="19977" xr:uid="{00000000-0005-0000-0000-0000094E0000}"/>
    <cellStyle name="Warning Text 2 2" xfId="19978" xr:uid="{00000000-0005-0000-0000-00000A4E0000}"/>
    <cellStyle name="Warning Text 2 2 2" xfId="19979" xr:uid="{00000000-0005-0000-0000-00000B4E0000}"/>
    <cellStyle name="Warning Text 2 2 3" xfId="19980" xr:uid="{00000000-0005-0000-0000-00000C4E0000}"/>
    <cellStyle name="Warning Text 2 3" xfId="19981" xr:uid="{00000000-0005-0000-0000-00000D4E0000}"/>
    <cellStyle name="Warning Text 2 3 2" xfId="19982" xr:uid="{00000000-0005-0000-0000-00000E4E0000}"/>
    <cellStyle name="Warning Text 2 4" xfId="19983" xr:uid="{00000000-0005-0000-0000-00000F4E0000}"/>
    <cellStyle name="Warning Text 2 4 2" xfId="19984" xr:uid="{00000000-0005-0000-0000-0000104E0000}"/>
    <cellStyle name="Warning Text 3" xfId="19985" xr:uid="{00000000-0005-0000-0000-0000114E0000}"/>
    <cellStyle name="Warning Text 3 2" xfId="19986" xr:uid="{00000000-0005-0000-0000-0000124E0000}"/>
    <cellStyle name="Warning Text 3 2 2" xfId="19987" xr:uid="{00000000-0005-0000-0000-0000134E0000}"/>
    <cellStyle name="Warning Text 3 3" xfId="19988" xr:uid="{00000000-0005-0000-0000-0000144E0000}"/>
    <cellStyle name="Warning Text 4" xfId="19989" xr:uid="{00000000-0005-0000-0000-0000154E0000}"/>
    <cellStyle name="Warning Text 4 2" xfId="19990" xr:uid="{00000000-0005-0000-0000-0000164E0000}"/>
    <cellStyle name="Warning Text 5" xfId="19991" xr:uid="{00000000-0005-0000-0000-0000174E0000}"/>
    <cellStyle name="Warning Text 6" xfId="19992" xr:uid="{00000000-0005-0000-0000-0000184E0000}"/>
    <cellStyle name="Warning Text 7" xfId="19993" xr:uid="{00000000-0005-0000-0000-0000194E0000}"/>
  </cellStyles>
  <dxfs count="0"/>
  <tableStyles count="0" defaultTableStyle="TableStyleMedium2" defaultPivotStyle="PivotStyleLight16"/>
  <colors>
    <mruColors>
      <color rgb="FFFF99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16</xdr:col>
      <xdr:colOff>163286</xdr:colOff>
      <xdr:row>0</xdr:row>
      <xdr:rowOff>136071</xdr:rowOff>
    </xdr:from>
    <xdr:ext cx="2037080" cy="579120"/>
    <xdr:pic>
      <xdr:nvPicPr>
        <xdr:cNvPr id="4" name="Picture 3" descr="A picture containing text, light&#10;&#10;Description automatically generated">
          <a:extLst>
            <a:ext uri="{FF2B5EF4-FFF2-40B4-BE49-F238E27FC236}">
              <a16:creationId xmlns:a16="http://schemas.microsoft.com/office/drawing/2014/main" id="{A551A831-068A-45F5-8F4B-57A44758CEAC}"/>
            </a:ext>
          </a:extLst>
        </xdr:cNvPr>
        <xdr:cNvPicPr/>
      </xdr:nvPicPr>
      <xdr:blipFill>
        <a:blip xmlns:r="http://schemas.openxmlformats.org/officeDocument/2006/relationships" r:embed="rId1"/>
        <a:stretch>
          <a:fillRect/>
        </a:stretch>
      </xdr:blipFill>
      <xdr:spPr>
        <a:xfrm>
          <a:off x="22660429" y="136071"/>
          <a:ext cx="2037080" cy="579120"/>
        </a:xfrm>
        <a:prstGeom prst="rect">
          <a:avLst/>
        </a:prstGeom>
      </xdr:spPr>
    </xdr:pic>
    <xdr:clientData/>
  </xdr:oneCellAnchor>
  <xdr:oneCellAnchor>
    <xdr:from>
      <xdr:col>1</xdr:col>
      <xdr:colOff>5732236</xdr:colOff>
      <xdr:row>0</xdr:row>
      <xdr:rowOff>136071</xdr:rowOff>
    </xdr:from>
    <xdr:ext cx="2037080" cy="579120"/>
    <xdr:pic>
      <xdr:nvPicPr>
        <xdr:cNvPr id="3" name="Picture 4" descr="A picture containing text, light&#10;&#10;Description automatically generated">
          <a:extLst>
            <a:ext uri="{FF2B5EF4-FFF2-40B4-BE49-F238E27FC236}">
              <a16:creationId xmlns:a16="http://schemas.microsoft.com/office/drawing/2014/main" id="{CC81D7E0-A1A4-4629-AC50-AE2420C43FB8}"/>
            </a:ext>
          </a:extLst>
        </xdr:cNvPr>
        <xdr:cNvPicPr/>
      </xdr:nvPicPr>
      <xdr:blipFill>
        <a:blip xmlns:r="http://schemas.openxmlformats.org/officeDocument/2006/relationships" r:embed="rId1"/>
        <a:stretch>
          <a:fillRect/>
        </a:stretch>
      </xdr:blipFill>
      <xdr:spPr>
        <a:xfrm>
          <a:off x="6430736" y="136071"/>
          <a:ext cx="2037080" cy="57912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5030353</xdr:colOff>
      <xdr:row>0</xdr:row>
      <xdr:rowOff>117187</xdr:rowOff>
    </xdr:from>
    <xdr:to>
      <xdr:col>2</xdr:col>
      <xdr:colOff>1326</xdr:colOff>
      <xdr:row>2</xdr:row>
      <xdr:rowOff>169257</xdr:rowOff>
    </xdr:to>
    <xdr:pic>
      <xdr:nvPicPr>
        <xdr:cNvPr id="5" name="Picture 1" descr="A picture containing text, light&#10;&#10;Description automatically generated">
          <a:extLst>
            <a:ext uri="{FF2B5EF4-FFF2-40B4-BE49-F238E27FC236}">
              <a16:creationId xmlns:a16="http://schemas.microsoft.com/office/drawing/2014/main" id="{C03E7E88-30BA-4D8E-B0E0-E2EFA1D2EBC1}"/>
            </a:ext>
          </a:extLst>
        </xdr:cNvPr>
        <xdr:cNvPicPr/>
      </xdr:nvPicPr>
      <xdr:blipFill>
        <a:blip xmlns:r="http://schemas.openxmlformats.org/officeDocument/2006/relationships" r:embed="rId1"/>
        <a:stretch>
          <a:fillRect/>
        </a:stretch>
      </xdr:blipFill>
      <xdr:spPr>
        <a:xfrm>
          <a:off x="5697103" y="117187"/>
          <a:ext cx="2048048" cy="5791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4431988</xdr:colOff>
      <xdr:row>0</xdr:row>
      <xdr:rowOff>152290</xdr:rowOff>
    </xdr:from>
    <xdr:ext cx="2038089" cy="579120"/>
    <xdr:pic>
      <xdr:nvPicPr>
        <xdr:cNvPr id="2" name="Picture 2" descr="A picture containing text, light&#10;&#10;Description automatically generated">
          <a:extLst>
            <a:ext uri="{FF2B5EF4-FFF2-40B4-BE49-F238E27FC236}">
              <a16:creationId xmlns:a16="http://schemas.microsoft.com/office/drawing/2014/main" id="{32FD2B93-8D85-447A-ADB2-A121A5DD4849}"/>
            </a:ext>
          </a:extLst>
        </xdr:cNvPr>
        <xdr:cNvPicPr/>
      </xdr:nvPicPr>
      <xdr:blipFill>
        <a:blip xmlns:r="http://schemas.openxmlformats.org/officeDocument/2006/relationships" r:embed="rId1"/>
        <a:stretch>
          <a:fillRect/>
        </a:stretch>
      </xdr:blipFill>
      <xdr:spPr>
        <a:xfrm>
          <a:off x="5655806" y="152290"/>
          <a:ext cx="2038089" cy="57912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4189269</xdr:colOff>
      <xdr:row>0</xdr:row>
      <xdr:rowOff>124691</xdr:rowOff>
    </xdr:from>
    <xdr:to>
      <xdr:col>4</xdr:col>
      <xdr:colOff>379154</xdr:colOff>
      <xdr:row>2</xdr:row>
      <xdr:rowOff>209146</xdr:rowOff>
    </xdr:to>
    <xdr:pic>
      <xdr:nvPicPr>
        <xdr:cNvPr id="4" name="Picture 1" descr="A picture containing text, light&#10;&#10;Description automatically generated">
          <a:extLst>
            <a:ext uri="{FF2B5EF4-FFF2-40B4-BE49-F238E27FC236}">
              <a16:creationId xmlns:a16="http://schemas.microsoft.com/office/drawing/2014/main" id="{8E099A3D-0768-41FB-AA6F-37368695DB62}"/>
            </a:ext>
          </a:extLst>
        </xdr:cNvPr>
        <xdr:cNvPicPr/>
      </xdr:nvPicPr>
      <xdr:blipFill>
        <a:blip xmlns:r="http://schemas.openxmlformats.org/officeDocument/2006/relationships" r:embed="rId1"/>
        <a:stretch>
          <a:fillRect/>
        </a:stretch>
      </xdr:blipFill>
      <xdr:spPr>
        <a:xfrm>
          <a:off x="6240319" y="124691"/>
          <a:ext cx="2031885" cy="5791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925286</xdr:colOff>
      <xdr:row>0</xdr:row>
      <xdr:rowOff>145143</xdr:rowOff>
    </xdr:from>
    <xdr:to>
      <xdr:col>9</xdr:col>
      <xdr:colOff>135436</xdr:colOff>
      <xdr:row>2</xdr:row>
      <xdr:rowOff>208643</xdr:rowOff>
    </xdr:to>
    <xdr:pic>
      <xdr:nvPicPr>
        <xdr:cNvPr id="2" name="Picture 1" descr="A picture containing text, light&#10;&#10;Description automatically generated">
          <a:extLst>
            <a:ext uri="{FF2B5EF4-FFF2-40B4-BE49-F238E27FC236}">
              <a16:creationId xmlns:a16="http://schemas.microsoft.com/office/drawing/2014/main" id="{10C60331-3815-4C61-A489-C0B63D289E02}"/>
            </a:ext>
          </a:extLst>
        </xdr:cNvPr>
        <xdr:cNvPicPr/>
      </xdr:nvPicPr>
      <xdr:blipFill>
        <a:blip xmlns:r="http://schemas.openxmlformats.org/officeDocument/2006/relationships" r:embed="rId1"/>
        <a:stretch>
          <a:fillRect/>
        </a:stretch>
      </xdr:blipFill>
      <xdr:spPr>
        <a:xfrm>
          <a:off x="8509000" y="145143"/>
          <a:ext cx="2037080" cy="5791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4067464</xdr:colOff>
      <xdr:row>0</xdr:row>
      <xdr:rowOff>143742</xdr:rowOff>
    </xdr:from>
    <xdr:to>
      <xdr:col>4</xdr:col>
      <xdr:colOff>597247</xdr:colOff>
      <xdr:row>2</xdr:row>
      <xdr:rowOff>208512</xdr:rowOff>
    </xdr:to>
    <xdr:pic>
      <xdr:nvPicPr>
        <xdr:cNvPr id="4" name="Picture 1" descr="A picture containing text, light&#10;&#10;Description automatically generated">
          <a:extLst>
            <a:ext uri="{FF2B5EF4-FFF2-40B4-BE49-F238E27FC236}">
              <a16:creationId xmlns:a16="http://schemas.microsoft.com/office/drawing/2014/main" id="{8CDDAC6B-7B53-497B-9DCF-B4C1C3E5F8EE}"/>
            </a:ext>
          </a:extLst>
        </xdr:cNvPr>
        <xdr:cNvPicPr/>
      </xdr:nvPicPr>
      <xdr:blipFill>
        <a:blip xmlns:r="http://schemas.openxmlformats.org/officeDocument/2006/relationships" r:embed="rId1"/>
        <a:stretch>
          <a:fillRect/>
        </a:stretch>
      </xdr:blipFill>
      <xdr:spPr>
        <a:xfrm>
          <a:off x="5883564" y="143742"/>
          <a:ext cx="2017453" cy="5791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239059</xdr:colOff>
      <xdr:row>0</xdr:row>
      <xdr:rowOff>127000</xdr:rowOff>
    </xdr:from>
    <xdr:to>
      <xdr:col>5</xdr:col>
      <xdr:colOff>254299</xdr:colOff>
      <xdr:row>2</xdr:row>
      <xdr:rowOff>209550</xdr:rowOff>
    </xdr:to>
    <xdr:pic>
      <xdr:nvPicPr>
        <xdr:cNvPr id="2" name="Picture 2" descr="A picture containing text, light&#10;&#10;Description automatically generated">
          <a:extLst>
            <a:ext uri="{FF2B5EF4-FFF2-40B4-BE49-F238E27FC236}">
              <a16:creationId xmlns:a16="http://schemas.microsoft.com/office/drawing/2014/main" id="{6473B232-B32B-4D9E-8C5C-95301868F712}"/>
            </a:ext>
          </a:extLst>
        </xdr:cNvPr>
        <xdr:cNvPicPr/>
      </xdr:nvPicPr>
      <xdr:blipFill>
        <a:blip xmlns:r="http://schemas.openxmlformats.org/officeDocument/2006/relationships" r:embed="rId1"/>
        <a:stretch>
          <a:fillRect/>
        </a:stretch>
      </xdr:blipFill>
      <xdr:spPr>
        <a:xfrm>
          <a:off x="6312647" y="127000"/>
          <a:ext cx="2037080" cy="5791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03"/>
  <sheetViews>
    <sheetView showGridLines="0" tabSelected="1" zoomScaleNormal="100" workbookViewId="0">
      <selection sqref="A1:XFD1048576"/>
    </sheetView>
  </sheetViews>
  <sheetFormatPr defaultColWidth="9.1796875" defaultRowHeight="14"/>
  <cols>
    <col min="1" max="1" width="10" style="25" customWidth="1"/>
    <col min="2" max="2" width="114.1796875" style="25" bestFit="1" customWidth="1"/>
    <col min="3" max="16" width="16.453125" style="384" customWidth="1"/>
    <col min="17" max="18" width="16.453125" style="25" customWidth="1"/>
    <col min="19" max="16384" width="9.1796875" style="25"/>
  </cols>
  <sheetData>
    <row r="1" spans="1:33" ht="20">
      <c r="A1" s="56" t="s">
        <v>0</v>
      </c>
      <c r="B1" s="56"/>
    </row>
    <row r="2" spans="1:33" ht="20">
      <c r="A2" s="57"/>
      <c r="B2" s="310"/>
    </row>
    <row r="3" spans="1:33" s="50" customFormat="1" ht="20">
      <c r="A3" s="58" t="s">
        <v>1</v>
      </c>
      <c r="B3" s="58"/>
      <c r="C3" s="384"/>
      <c r="D3" s="384"/>
      <c r="E3" s="384"/>
      <c r="F3" s="384"/>
      <c r="G3" s="384"/>
      <c r="H3" s="384"/>
      <c r="I3" s="384"/>
      <c r="J3" s="384"/>
      <c r="K3" s="384"/>
      <c r="L3" s="384"/>
      <c r="M3" s="397"/>
      <c r="N3" s="397"/>
      <c r="O3" s="397"/>
      <c r="P3" s="397"/>
      <c r="X3" s="52"/>
      <c r="AF3" s="53"/>
      <c r="AG3" s="53"/>
    </row>
    <row r="4" spans="1:33" s="50" customFormat="1" ht="15.65" customHeight="1">
      <c r="A4" s="56"/>
      <c r="B4" s="56"/>
      <c r="C4" s="384"/>
      <c r="D4" s="384"/>
      <c r="E4" s="384"/>
      <c r="F4" s="384"/>
      <c r="G4" s="384"/>
      <c r="H4" s="384"/>
      <c r="I4" s="384"/>
      <c r="J4" s="384"/>
      <c r="K4" s="384"/>
      <c r="L4" s="384"/>
      <c r="M4" s="397"/>
      <c r="N4" s="397"/>
      <c r="O4" s="397"/>
      <c r="P4" s="397"/>
      <c r="X4" s="52"/>
      <c r="AF4" s="53"/>
      <c r="AG4" s="53"/>
    </row>
    <row r="5" spans="1:33" ht="15.65" customHeight="1">
      <c r="A5" s="56"/>
      <c r="B5" s="56"/>
    </row>
    <row r="6" spans="1:33" ht="19" customHeight="1">
      <c r="A6" s="59" t="s">
        <v>2</v>
      </c>
      <c r="B6" s="161"/>
      <c r="P6" s="399"/>
      <c r="Q6"/>
      <c r="R6"/>
    </row>
    <row r="7" spans="1:33" ht="19" customHeight="1" thickBot="1">
      <c r="A7" s="61" t="s">
        <v>3</v>
      </c>
      <c r="B7" s="162"/>
      <c r="D7" s="385"/>
      <c r="E7" s="385"/>
      <c r="F7" s="385"/>
      <c r="G7" s="385"/>
      <c r="H7" s="385"/>
      <c r="I7" s="385"/>
      <c r="J7" s="385"/>
      <c r="O7" s="399"/>
      <c r="P7" s="399"/>
      <c r="Q7"/>
      <c r="R7"/>
    </row>
    <row r="8" spans="1:33">
      <c r="C8" s="386"/>
      <c r="D8" s="386"/>
      <c r="E8" s="386"/>
      <c r="F8" s="386"/>
      <c r="G8" s="386"/>
      <c r="H8" s="386"/>
      <c r="I8" s="386"/>
      <c r="J8" s="386"/>
      <c r="K8" s="387"/>
      <c r="L8" s="394"/>
      <c r="M8" s="398"/>
      <c r="N8" s="398"/>
      <c r="O8" s="398"/>
      <c r="P8" s="398"/>
      <c r="Q8" s="268"/>
      <c r="R8" s="268"/>
    </row>
    <row r="9" spans="1:33" s="171" customFormat="1" ht="15.5">
      <c r="A9" s="3" t="s">
        <v>4</v>
      </c>
      <c r="B9" s="3" t="s">
        <v>5</v>
      </c>
      <c r="C9" s="3" t="s">
        <v>6</v>
      </c>
      <c r="D9" s="3" t="s">
        <v>7</v>
      </c>
      <c r="E9" s="3" t="s">
        <v>8</v>
      </c>
      <c r="F9" s="3" t="s">
        <v>9</v>
      </c>
      <c r="G9" s="3" t="s">
        <v>10</v>
      </c>
      <c r="H9" s="3" t="s">
        <v>11</v>
      </c>
      <c r="I9" s="3" t="s">
        <v>12</v>
      </c>
      <c r="J9" s="3" t="s">
        <v>13</v>
      </c>
      <c r="K9" s="3" t="s">
        <v>14</v>
      </c>
      <c r="L9" s="3" t="s">
        <v>15</v>
      </c>
      <c r="M9" s="3" t="s">
        <v>16</v>
      </c>
      <c r="N9" s="3" t="s">
        <v>17</v>
      </c>
      <c r="O9" s="3" t="s">
        <v>18</v>
      </c>
      <c r="P9" s="3" t="s">
        <v>19</v>
      </c>
      <c r="Q9" s="3" t="s">
        <v>20</v>
      </c>
      <c r="R9" s="3" t="s">
        <v>21</v>
      </c>
    </row>
    <row r="10" spans="1:33" ht="15.5">
      <c r="A10" s="269" t="s">
        <v>22</v>
      </c>
      <c r="B10" s="269" t="s">
        <v>1748</v>
      </c>
      <c r="C10" s="477">
        <f>'P2'!D22/1000000</f>
        <v>309.21011227224886</v>
      </c>
      <c r="D10" s="477">
        <f>'P2'!E22/1000000</f>
        <v>297.38834788252967</v>
      </c>
      <c r="E10" s="477">
        <f>'P2'!F22/1000000</f>
        <v>300.09528498791479</v>
      </c>
      <c r="F10" s="477">
        <f>'P2'!G22/1000000</f>
        <v>298.0517036245069</v>
      </c>
      <c r="G10" s="477">
        <f>'P2'!H22/1000000</f>
        <v>293.92875995234584</v>
      </c>
      <c r="H10" s="477">
        <f>'P2'!I22/1000000</f>
        <v>301.50579999706036</v>
      </c>
      <c r="I10" s="477">
        <f>'P2'!J22/1000000</f>
        <v>304.02306095492372</v>
      </c>
      <c r="J10" s="477">
        <f>'P2'!K22/1000000</f>
        <v>326.49177708677729</v>
      </c>
      <c r="K10" s="477">
        <f>'P2'!L22/1000000</f>
        <v>336.69025931071303</v>
      </c>
      <c r="L10" s="477">
        <f>'P2'!M22/1000000</f>
        <v>345.18879325060527</v>
      </c>
      <c r="M10" s="477">
        <f>'P2'!N22/1000000</f>
        <v>341.3099485680799</v>
      </c>
      <c r="N10" s="477">
        <f>'P2'!O22/1000000</f>
        <v>329.52564747587888</v>
      </c>
      <c r="O10" s="477">
        <f>'P2'!P22/1000000</f>
        <v>326.79047576113004</v>
      </c>
      <c r="P10" s="477">
        <f>'P2'!Q22/1000000</f>
        <v>340.21442906044223</v>
      </c>
      <c r="Q10" s="477">
        <f>'P2'!R22/1000000</f>
        <v>339.81844994136515</v>
      </c>
      <c r="R10" s="477">
        <f>'P2'!S22/1000000</f>
        <v>362.46232905116648</v>
      </c>
    </row>
    <row r="11" spans="1:33" ht="15.5">
      <c r="A11" s="269" t="s">
        <v>23</v>
      </c>
      <c r="B11" s="269" t="s">
        <v>24</v>
      </c>
      <c r="C11" s="478">
        <v>-0.25805026810000015</v>
      </c>
      <c r="D11" s="478">
        <v>-0.49458696479999947</v>
      </c>
      <c r="E11" s="478">
        <v>-0.54645536180000009</v>
      </c>
      <c r="F11" s="478">
        <v>-0.30381982170000038</v>
      </c>
      <c r="G11" s="478">
        <v>-0.82328915610000097</v>
      </c>
      <c r="H11" s="478">
        <v>-0.93647449469999999</v>
      </c>
      <c r="I11" s="478">
        <v>-0.54530987580000001</v>
      </c>
      <c r="J11" s="478">
        <v>-0.52559211559999996</v>
      </c>
      <c r="K11" s="478">
        <v>-0.476018701200001</v>
      </c>
      <c r="L11" s="478">
        <v>-0.85967300000000002</v>
      </c>
      <c r="M11" s="478">
        <v>-0.53837216200000015</v>
      </c>
      <c r="N11" s="478">
        <v>-1.5634999999999999</v>
      </c>
      <c r="O11" s="478">
        <v>-0.590036</v>
      </c>
      <c r="P11" s="478">
        <v>-0.37911400000000001</v>
      </c>
      <c r="Q11" s="478">
        <v>-0.54327700000000001</v>
      </c>
      <c r="R11" s="478">
        <v>-0.27062999999999998</v>
      </c>
    </row>
    <row r="12" spans="1:33" ht="15.5">
      <c r="A12" s="269" t="s">
        <v>25</v>
      </c>
      <c r="B12" s="269" t="s">
        <v>26</v>
      </c>
      <c r="C12" s="478"/>
      <c r="D12" s="478"/>
      <c r="E12" s="478"/>
      <c r="F12" s="478"/>
      <c r="G12" s="478"/>
      <c r="H12" s="478">
        <v>9.0630555299983095E-2</v>
      </c>
      <c r="I12" s="478">
        <v>0.53414961540003403</v>
      </c>
      <c r="J12" s="478">
        <v>0.161218462199998</v>
      </c>
      <c r="K12" s="478">
        <v>0.186936052099999</v>
      </c>
      <c r="L12" s="478">
        <v>0.19081500000000001</v>
      </c>
      <c r="M12" s="478">
        <v>0.19887136</v>
      </c>
      <c r="N12" s="478">
        <v>0.15792830830000004</v>
      </c>
      <c r="O12" s="478">
        <v>0.173372</v>
      </c>
      <c r="P12" s="478">
        <v>0.176346</v>
      </c>
      <c r="Q12" s="478">
        <v>0.20666300000000001</v>
      </c>
      <c r="R12" s="478">
        <v>0.156113</v>
      </c>
    </row>
    <row r="13" spans="1:33" ht="15.5">
      <c r="A13" s="269" t="s">
        <v>27</v>
      </c>
      <c r="B13" s="269" t="s">
        <v>28</v>
      </c>
      <c r="C13" s="478">
        <v>-0.35206200414882005</v>
      </c>
      <c r="D13" s="478">
        <v>-0.29376091772962809</v>
      </c>
      <c r="E13" s="478">
        <v>0.55117037388521339</v>
      </c>
      <c r="F13" s="478">
        <v>-0.8478838028069049</v>
      </c>
      <c r="G13" s="478">
        <v>0.39452920375413214</v>
      </c>
      <c r="H13" s="478">
        <v>0.38704394233968742</v>
      </c>
      <c r="I13" s="478">
        <v>0.34809930547623935</v>
      </c>
      <c r="J13" s="478">
        <v>0.98259656662270345</v>
      </c>
      <c r="K13" s="478">
        <f>337.82-K12-K11-K10</f>
        <v>1.4188233383869715</v>
      </c>
      <c r="L13" s="478">
        <f>344.78-SUM(L10:L12)</f>
        <v>0.26006474939470081</v>
      </c>
      <c r="M13" s="478">
        <f>341.94-SUM(M10:M12)</f>
        <v>0.96955223392006928</v>
      </c>
      <c r="N13" s="478">
        <f>329.38-SUM(N10:N12)</f>
        <v>1.2599242158211155</v>
      </c>
      <c r="O13" s="478">
        <v>0.84618823887001327</v>
      </c>
      <c r="P13" s="478">
        <v>0.67333893955776603</v>
      </c>
      <c r="Q13" s="478">
        <v>0.53416405863487171</v>
      </c>
      <c r="R13" s="478">
        <v>0.66618794883351029</v>
      </c>
    </row>
    <row r="14" spans="1:33" ht="15.5">
      <c r="A14" s="269" t="s">
        <v>29</v>
      </c>
      <c r="B14" s="269" t="s">
        <v>30</v>
      </c>
      <c r="C14" s="478">
        <v>-5.1000000000000227</v>
      </c>
      <c r="D14" s="478">
        <v>-2.2000000000000455</v>
      </c>
      <c r="E14" s="478">
        <v>-4.8000000000000114</v>
      </c>
      <c r="F14" s="478">
        <v>-2.2999999999999545</v>
      </c>
      <c r="G14" s="478">
        <v>-1.1999999999999886</v>
      </c>
      <c r="H14" s="478">
        <v>-1.5470000000000255</v>
      </c>
      <c r="I14" s="478">
        <v>-1.8600000000000136</v>
      </c>
      <c r="J14" s="478">
        <f>325.97-SUM(J10:J13)</f>
        <v>-1.1399999999999864</v>
      </c>
      <c r="K14" s="478"/>
      <c r="L14" s="478"/>
      <c r="M14" s="478"/>
      <c r="N14" s="478"/>
      <c r="O14" s="478"/>
      <c r="P14" s="478"/>
      <c r="Q14" s="478"/>
      <c r="R14" s="478"/>
    </row>
    <row r="15" spans="1:33" ht="15.5">
      <c r="A15" s="269" t="s">
        <v>31</v>
      </c>
      <c r="B15" s="269" t="s">
        <v>32</v>
      </c>
      <c r="C15" s="478"/>
      <c r="D15" s="478"/>
      <c r="E15" s="478"/>
      <c r="F15" s="478"/>
      <c r="G15" s="478"/>
      <c r="H15" s="478"/>
      <c r="I15" s="478"/>
      <c r="J15" s="478"/>
      <c r="K15" s="478"/>
      <c r="L15" s="478"/>
      <c r="M15" s="478"/>
      <c r="N15" s="478"/>
      <c r="O15" s="478"/>
      <c r="P15" s="478">
        <v>0.73026999000000004</v>
      </c>
      <c r="Q15" s="478">
        <v>0</v>
      </c>
      <c r="R15" s="478"/>
    </row>
    <row r="16" spans="1:33" ht="15.5">
      <c r="A16" s="269" t="s">
        <v>33</v>
      </c>
      <c r="B16" s="269" t="s">
        <v>34</v>
      </c>
      <c r="C16" s="478">
        <v>-3.9000000000000341</v>
      </c>
      <c r="D16" s="478">
        <v>-1.0999999999999659</v>
      </c>
      <c r="E16" s="478">
        <v>2.3999999999999773</v>
      </c>
      <c r="F16" s="478">
        <v>0.19999999999993179</v>
      </c>
      <c r="G16" s="478">
        <v>-1.4000000000000341</v>
      </c>
      <c r="H16" s="478">
        <v>-4</v>
      </c>
      <c r="I16" s="478">
        <v>-1.3999999999999773</v>
      </c>
      <c r="J16" s="478">
        <v>-4.269999999999925</v>
      </c>
      <c r="K16" s="478">
        <f>327.1-2.19999999999999-SUM(K10:K13)</f>
        <v>-12.919999999999959</v>
      </c>
      <c r="L16" s="478">
        <f>330.18+9.6-SUM(L$10:L14)</f>
        <v>-4.9999999999999432</v>
      </c>
      <c r="M16" s="478">
        <f>330.18+9.6-SUM(M$10:M14)</f>
        <v>-2.1599999999999682</v>
      </c>
      <c r="N16" s="478">
        <f>21.088-16.5</f>
        <v>4.588000000000001</v>
      </c>
      <c r="O16" s="478">
        <v>6.7980000000000009</v>
      </c>
      <c r="P16" s="478">
        <v>-6.58</v>
      </c>
      <c r="Q16" s="478">
        <v>-5.1580000000000004</v>
      </c>
      <c r="R16" s="478">
        <v>-2.113</v>
      </c>
    </row>
    <row r="17" spans="1:18" ht="15.5">
      <c r="A17" s="269" t="s">
        <v>35</v>
      </c>
      <c r="B17" s="269" t="s">
        <v>36</v>
      </c>
      <c r="C17" s="478">
        <v>0</v>
      </c>
      <c r="D17" s="478">
        <v>-0.4</v>
      </c>
      <c r="E17" s="478">
        <v>-1.5</v>
      </c>
      <c r="F17" s="478">
        <v>-2.5</v>
      </c>
      <c r="G17" s="478">
        <v>-2.8</v>
      </c>
      <c r="H17" s="478">
        <v>-4.5999999999999996</v>
      </c>
      <c r="I17" s="478">
        <v>-3.5</v>
      </c>
      <c r="J17" s="478">
        <v>-1.7</v>
      </c>
      <c r="K17" s="478">
        <v>-2</v>
      </c>
      <c r="L17" s="478">
        <v>-2.0299999999999998</v>
      </c>
      <c r="M17" s="478">
        <v>-2.0299999999999998</v>
      </c>
      <c r="N17" s="478">
        <v>-1.446</v>
      </c>
      <c r="O17" s="478">
        <v>-1.446</v>
      </c>
      <c r="P17" s="478">
        <v>-1.591</v>
      </c>
      <c r="Q17" s="478">
        <v>-1.591</v>
      </c>
      <c r="R17" s="478">
        <v>-1.901</v>
      </c>
    </row>
    <row r="18" spans="1:18" ht="15.5">
      <c r="A18" s="269" t="s">
        <v>37</v>
      </c>
      <c r="B18" s="269" t="s">
        <v>38</v>
      </c>
      <c r="C18" s="478">
        <v>2.8</v>
      </c>
      <c r="D18" s="478">
        <v>1.8</v>
      </c>
      <c r="E18" s="478">
        <v>0.5</v>
      </c>
      <c r="F18" s="478">
        <v>1.3</v>
      </c>
      <c r="G18" s="478">
        <v>1.1000000000000001</v>
      </c>
      <c r="H18" s="478">
        <v>0.6</v>
      </c>
      <c r="I18" s="478">
        <v>0.7</v>
      </c>
      <c r="J18" s="478">
        <v>0.5</v>
      </c>
      <c r="K18" s="478">
        <v>0.7</v>
      </c>
      <c r="L18" s="478">
        <v>0.49</v>
      </c>
      <c r="M18" s="478">
        <v>0.49</v>
      </c>
      <c r="N18" s="478">
        <v>0.20899999999999999</v>
      </c>
      <c r="O18" s="478">
        <v>0.20899999999999999</v>
      </c>
      <c r="P18" s="478">
        <v>0.23799999999999999</v>
      </c>
      <c r="Q18" s="478">
        <v>0.23799999999999999</v>
      </c>
      <c r="R18" s="478">
        <v>0.16800000000000001</v>
      </c>
    </row>
    <row r="19" spans="1:18" ht="15.5">
      <c r="A19" s="269" t="s">
        <v>39</v>
      </c>
      <c r="B19" s="269" t="s">
        <v>40</v>
      </c>
      <c r="C19" s="477">
        <f t="shared" ref="C19:J19" si="0">SUM(C10:C18)</f>
        <v>302.39999999999998</v>
      </c>
      <c r="D19" s="477">
        <f t="shared" si="0"/>
        <v>294.70000000000005</v>
      </c>
      <c r="E19" s="477">
        <f t="shared" si="0"/>
        <v>296.7</v>
      </c>
      <c r="F19" s="477">
        <f t="shared" si="0"/>
        <v>293.59999999999997</v>
      </c>
      <c r="G19" s="477">
        <f t="shared" si="0"/>
        <v>289.2</v>
      </c>
      <c r="H19" s="477">
        <f t="shared" si="0"/>
        <v>291.5</v>
      </c>
      <c r="I19" s="477">
        <f t="shared" si="0"/>
        <v>298.3</v>
      </c>
      <c r="J19" s="477">
        <f t="shared" si="0"/>
        <v>320.50000000000011</v>
      </c>
      <c r="K19" s="477">
        <f>SUM(K10:K18)</f>
        <v>323.60000000000002</v>
      </c>
      <c r="L19" s="477">
        <f>SUM(L10:L18)</f>
        <v>338.24000000000007</v>
      </c>
      <c r="M19" s="477">
        <f>SUM(M10:M18)</f>
        <v>338.24000000000007</v>
      </c>
      <c r="N19" s="477">
        <f>SUM(N10:N18)</f>
        <v>332.73099999999999</v>
      </c>
      <c r="O19" s="477">
        <f t="shared" ref="O19:P19" si="1">SUM(O10:O18)</f>
        <v>332.78100000000001</v>
      </c>
      <c r="P19" s="477">
        <f t="shared" si="1"/>
        <v>333.48226999000002</v>
      </c>
      <c r="Q19" s="477">
        <f t="shared" ref="Q19:R19" si="2">SUM(Q10:Q18)</f>
        <v>333.505</v>
      </c>
      <c r="R19" s="477">
        <f t="shared" si="2"/>
        <v>359.16800000000001</v>
      </c>
    </row>
    <row r="20" spans="1:18" ht="14.5">
      <c r="A20" s="269" t="s">
        <v>41</v>
      </c>
      <c r="B20" s="270" t="s">
        <v>42</v>
      </c>
      <c r="C20" s="490">
        <v>302.404</v>
      </c>
      <c r="D20" s="490">
        <v>294.70600000000002</v>
      </c>
      <c r="E20" s="490">
        <v>296.66300000000001</v>
      </c>
      <c r="F20" s="490">
        <v>293.63300000000004</v>
      </c>
      <c r="G20" s="490">
        <v>289.20599999999996</v>
      </c>
      <c r="H20" s="490">
        <v>291.50199999999995</v>
      </c>
      <c r="I20" s="490">
        <v>298.27300000000002</v>
      </c>
      <c r="J20" s="490">
        <v>320.476</v>
      </c>
      <c r="K20" s="490">
        <v>323.56799999999998</v>
      </c>
      <c r="L20" s="490">
        <v>338.24000000000007</v>
      </c>
      <c r="M20" s="490">
        <v>338.24000000000007</v>
      </c>
      <c r="N20" s="490">
        <v>332.78099999999995</v>
      </c>
      <c r="O20" s="490">
        <v>332.78099999999995</v>
      </c>
      <c r="P20" s="490">
        <v>333.505</v>
      </c>
      <c r="Q20" s="490">
        <v>333.505</v>
      </c>
      <c r="R20" s="490">
        <v>359.16800000000001</v>
      </c>
    </row>
    <row r="21" spans="1:18" ht="14.5">
      <c r="A21" s="271"/>
      <c r="B21" s="272" t="s">
        <v>43</v>
      </c>
      <c r="C21" s="485">
        <f>C20-C19</f>
        <v>4.0000000000190994E-3</v>
      </c>
      <c r="D21" s="485">
        <f>D20-D19</f>
        <v>5.9999999999718057E-3</v>
      </c>
      <c r="E21" s="485">
        <f>E20-E19</f>
        <v>-3.6999999999977717E-2</v>
      </c>
      <c r="F21" s="485">
        <f>F20-F19</f>
        <v>3.3000000000072305E-2</v>
      </c>
      <c r="G21" s="485">
        <f>G20-G19</f>
        <v>5.9999999999718057E-3</v>
      </c>
      <c r="H21" s="485">
        <f t="shared" ref="H21:J21" si="3">H20-H19</f>
        <v>1.9999999999527063E-3</v>
      </c>
      <c r="I21" s="485">
        <f t="shared" si="3"/>
        <v>-2.6999999999986812E-2</v>
      </c>
      <c r="J21" s="485">
        <f t="shared" si="3"/>
        <v>-2.4000000000114596E-2</v>
      </c>
      <c r="K21" s="485">
        <f>K20-K19</f>
        <v>-3.2000000000039108E-2</v>
      </c>
      <c r="L21" s="485">
        <f>L20-L19</f>
        <v>0</v>
      </c>
      <c r="M21" s="485">
        <f>M20-M19</f>
        <v>0</v>
      </c>
      <c r="N21" s="485">
        <f>N20-N19</f>
        <v>4.9999999999954525E-2</v>
      </c>
      <c r="O21" s="485">
        <v>0</v>
      </c>
      <c r="P21" s="485">
        <v>2.2730009999975209E-2</v>
      </c>
      <c r="Q21" s="485">
        <v>0</v>
      </c>
      <c r="R21" s="485">
        <v>0</v>
      </c>
    </row>
    <row r="22" spans="1:18" s="171" customFormat="1" ht="15.5">
      <c r="A22" s="273"/>
      <c r="B22" s="163" t="s">
        <v>44</v>
      </c>
      <c r="C22" s="3" t="str">
        <f>+C$9</f>
        <v>2010-11 RF</v>
      </c>
      <c r="D22" s="3" t="str">
        <f t="shared" ref="D22:N22" si="4">+D$9</f>
        <v>2011-12 RF</v>
      </c>
      <c r="E22" s="3" t="str">
        <f t="shared" si="4"/>
        <v>2012-13 RF</v>
      </c>
      <c r="F22" s="3" t="str">
        <f t="shared" si="4"/>
        <v>2013-14 RF</v>
      </c>
      <c r="G22" s="3" t="str">
        <f t="shared" si="4"/>
        <v>2014-15 RF</v>
      </c>
      <c r="H22" s="3" t="str">
        <f t="shared" si="4"/>
        <v>2015-16 RF</v>
      </c>
      <c r="I22" s="3" t="str">
        <f t="shared" si="4"/>
        <v>2016-17 RF</v>
      </c>
      <c r="J22" s="3" t="str">
        <f t="shared" si="4"/>
        <v>2017-18 RF</v>
      </c>
      <c r="K22" s="3" t="str">
        <f t="shared" si="4"/>
        <v>2018-19 RF</v>
      </c>
      <c r="L22" s="3" t="str">
        <f t="shared" si="4"/>
        <v>2019-20 Month</v>
      </c>
      <c r="M22" s="3" t="str">
        <f t="shared" si="4"/>
        <v>2019-20 RF</v>
      </c>
      <c r="N22" s="3" t="str">
        <f t="shared" si="4"/>
        <v>2020-21 Month</v>
      </c>
      <c r="O22" s="3" t="s">
        <v>18</v>
      </c>
      <c r="P22" s="3" t="s">
        <v>19</v>
      </c>
      <c r="Q22" s="3" t="s">
        <v>20</v>
      </c>
      <c r="R22" s="3" t="s">
        <v>21</v>
      </c>
    </row>
    <row r="23" spans="1:18" ht="15.5">
      <c r="A23" s="269" t="s">
        <v>45</v>
      </c>
      <c r="B23" s="269" t="s">
        <v>46</v>
      </c>
      <c r="C23" s="477">
        <f>'P2'!D33</f>
        <v>121899465.39032519</v>
      </c>
      <c r="D23" s="477">
        <f>'P2'!E33</f>
        <v>118557354.58573776</v>
      </c>
      <c r="E23" s="477">
        <f>'P2'!F33</f>
        <v>114193438.09698629</v>
      </c>
      <c r="F23" s="477">
        <f>'P2'!G33</f>
        <v>113634011.38109571</v>
      </c>
      <c r="G23" s="477">
        <f>'P2'!H33</f>
        <v>113375865.60520594</v>
      </c>
      <c r="H23" s="477">
        <f>'P2'!I33</f>
        <v>113072225.41612038</v>
      </c>
      <c r="I23" s="477">
        <f>'P2'!J33</f>
        <v>110397502.06013669</v>
      </c>
      <c r="J23" s="477">
        <f>'P2'!K33</f>
        <v>111654956.2053428</v>
      </c>
      <c r="K23" s="477">
        <f>'P2'!L33</f>
        <v>113964371.91315085</v>
      </c>
      <c r="L23" s="477">
        <f>'P2'!M33</f>
        <v>110514376.72539163</v>
      </c>
      <c r="M23" s="477">
        <f>'P2'!N33</f>
        <v>108925500.93875724</v>
      </c>
      <c r="N23" s="477">
        <f>'P2'!O33</f>
        <v>98101418.923092484</v>
      </c>
      <c r="O23" s="477">
        <f>'P2'!P33</f>
        <v>97537785</v>
      </c>
      <c r="P23" s="477">
        <f>'P2'!Q33</f>
        <v>104199800</v>
      </c>
      <c r="Q23" s="477">
        <f>'P2'!R33</f>
        <v>105612589.23237887</v>
      </c>
      <c r="R23" s="477">
        <f>'P2'!S33</f>
        <v>109972437.66819596</v>
      </c>
    </row>
    <row r="24" spans="1:18" ht="15.5">
      <c r="A24" s="269" t="s">
        <v>47</v>
      </c>
      <c r="B24" s="269" t="s">
        <v>48</v>
      </c>
      <c r="C24" s="477">
        <f>+C23/365000</f>
        <v>333.97113805568546</v>
      </c>
      <c r="D24" s="477">
        <f>D23/366000</f>
        <v>323.92719832168785</v>
      </c>
      <c r="E24" s="477">
        <f>+E23/365000</f>
        <v>312.85873451229122</v>
      </c>
      <c r="F24" s="477">
        <f>+F23/365000</f>
        <v>311.32605857834443</v>
      </c>
      <c r="G24" s="477">
        <f>G23/365000</f>
        <v>310.61880987727653</v>
      </c>
      <c r="H24" s="477">
        <f>H23/366000</f>
        <v>308.94050660142182</v>
      </c>
      <c r="I24" s="477">
        <f>I23/365000</f>
        <v>302.45890975379916</v>
      </c>
      <c r="J24" s="477">
        <f>J23/365000</f>
        <v>305.90398960367889</v>
      </c>
      <c r="K24" s="477">
        <f>+K23/365000</f>
        <v>312.23115592644069</v>
      </c>
      <c r="L24" s="477">
        <f>+L23/366000</f>
        <v>301.95184897647988</v>
      </c>
      <c r="M24" s="477">
        <f>+M23/366000</f>
        <v>297.61065830261543</v>
      </c>
      <c r="N24" s="477">
        <f>+N23/365000</f>
        <v>268.77101074819859</v>
      </c>
      <c r="O24" s="477">
        <f t="shared" ref="O24" si="5">+O23/365000</f>
        <v>267.22680821917811</v>
      </c>
      <c r="P24" s="477">
        <f t="shared" ref="P24:Q24" si="6">+P23/365000</f>
        <v>285.47890410958905</v>
      </c>
      <c r="Q24" s="477">
        <f t="shared" si="6"/>
        <v>289.34955954076401</v>
      </c>
      <c r="R24" s="477">
        <f t="shared" ref="R24" si="7">+R23/365000</f>
        <v>301.29434977587937</v>
      </c>
    </row>
    <row r="25" spans="1:18" ht="15.5">
      <c r="A25" s="269" t="s">
        <v>49</v>
      </c>
      <c r="B25" s="269" t="s">
        <v>50</v>
      </c>
      <c r="C25" s="478">
        <v>3.9674142549736833</v>
      </c>
      <c r="D25" s="478">
        <v>4.0527535222577775</v>
      </c>
      <c r="E25" s="478">
        <v>4.6331279387697464</v>
      </c>
      <c r="F25" s="478">
        <v>2.3941932579134577</v>
      </c>
      <c r="G25" s="478">
        <v>0.82567144050375418</v>
      </c>
      <c r="H25" s="478">
        <v>2.018361188322956</v>
      </c>
      <c r="I25" s="478">
        <v>6.5589118333551273</v>
      </c>
      <c r="J25" s="478">
        <v>14.401671163960089</v>
      </c>
      <c r="K25" s="478">
        <v>5.8652953443706224</v>
      </c>
      <c r="L25" s="478">
        <v>0.17086356794464999</v>
      </c>
      <c r="M25" s="478">
        <f>+L24-M24+L25</f>
        <v>4.5120542418090963</v>
      </c>
      <c r="N25" s="478">
        <v>1.3443722329261001</v>
      </c>
      <c r="O25" s="478">
        <v>1.6443722329261001</v>
      </c>
      <c r="P25" s="478">
        <v>2.8886017342465493</v>
      </c>
      <c r="Q25" s="478">
        <v>-0.9820536969284035</v>
      </c>
      <c r="R25" s="478">
        <v>1.147293205032653</v>
      </c>
    </row>
    <row r="26" spans="1:18" ht="15.5">
      <c r="A26" s="269" t="s">
        <v>51</v>
      </c>
      <c r="B26" s="269" t="s">
        <v>52</v>
      </c>
      <c r="C26" s="478">
        <v>5.0385091314760704</v>
      </c>
      <c r="D26" s="478">
        <v>4.8594818121495846</v>
      </c>
      <c r="E26" s="478">
        <v>5.0405930363227744</v>
      </c>
      <c r="F26" s="478">
        <v>5.2500088964638669</v>
      </c>
      <c r="G26" s="478">
        <v>5.2439720737197089</v>
      </c>
      <c r="H26" s="478">
        <v>5.3113225683671441</v>
      </c>
      <c r="I26" s="478">
        <v>5.4061466344995006</v>
      </c>
      <c r="J26" s="478">
        <v>5.5927288375529249</v>
      </c>
      <c r="K26" s="478">
        <v>5.6624651480667207</v>
      </c>
      <c r="L26" s="478">
        <v>5.68811673844771</v>
      </c>
      <c r="M26" s="478">
        <v>5.68811673844771</v>
      </c>
      <c r="N26" s="478">
        <v>5.26</v>
      </c>
      <c r="O26" s="478">
        <v>6.56</v>
      </c>
      <c r="P26" s="478">
        <v>5.74</v>
      </c>
      <c r="Q26" s="478">
        <v>5.74</v>
      </c>
      <c r="R26" s="478">
        <v>5.8346323381506</v>
      </c>
    </row>
    <row r="27" spans="1:18" ht="15.5">
      <c r="A27" s="269" t="s">
        <v>53</v>
      </c>
      <c r="B27" s="269" t="s">
        <v>54</v>
      </c>
      <c r="C27" s="478">
        <v>50.377035819726032</v>
      </c>
      <c r="D27" s="478">
        <v>39.939373521857917</v>
      </c>
      <c r="E27" s="478">
        <v>47.636461896986283</v>
      </c>
      <c r="F27" s="478">
        <v>58.110318988125314</v>
      </c>
      <c r="G27" s="478">
        <v>49.929415559190012</v>
      </c>
      <c r="H27" s="478">
        <v>54.403804770491789</v>
      </c>
      <c r="I27" s="478">
        <v>43.679386086301349</v>
      </c>
      <c r="J27" s="478">
        <v>48.893253019178246</v>
      </c>
      <c r="K27" s="478">
        <v>44.394009971506854</v>
      </c>
      <c r="L27" s="478">
        <v>40.012756800546377</v>
      </c>
      <c r="M27" s="478">
        <v>40.012756800546377</v>
      </c>
      <c r="N27" s="478">
        <v>39.75</v>
      </c>
      <c r="O27" s="478">
        <v>39.75</v>
      </c>
      <c r="P27" s="478">
        <v>45.622399999999999</v>
      </c>
      <c r="Q27" s="478">
        <v>45.622399999999999</v>
      </c>
      <c r="R27" s="478">
        <v>46.33015408219179</v>
      </c>
    </row>
    <row r="28" spans="1:18" ht="15.5">
      <c r="A28" s="269" t="s">
        <v>55</v>
      </c>
      <c r="B28" s="269" t="s">
        <v>56</v>
      </c>
      <c r="C28" s="478">
        <v>0</v>
      </c>
      <c r="D28" s="478">
        <v>0</v>
      </c>
      <c r="E28" s="478">
        <v>0</v>
      </c>
      <c r="F28" s="478">
        <v>0</v>
      </c>
      <c r="G28" s="478">
        <v>0</v>
      </c>
      <c r="H28" s="478">
        <v>0</v>
      </c>
      <c r="I28" s="478">
        <v>-1.4210854715202004E-12</v>
      </c>
      <c r="J28" s="478">
        <v>-1.3981978676709446</v>
      </c>
      <c r="K28" s="478">
        <v>-1.7961504663013701</v>
      </c>
      <c r="L28" s="478">
        <v>-1.76301653306011</v>
      </c>
      <c r="M28" s="478">
        <v>-1.76301653306011</v>
      </c>
      <c r="N28" s="478">
        <v>-1.6138767846575299</v>
      </c>
      <c r="O28" s="478">
        <v>-1.6138767846575299</v>
      </c>
      <c r="P28" s="478" t="s">
        <v>57</v>
      </c>
      <c r="Q28" s="478" t="s">
        <v>57</v>
      </c>
      <c r="R28" s="478">
        <v>-2.1029298575342432</v>
      </c>
    </row>
    <row r="29" spans="1:18" ht="15.5">
      <c r="A29" s="269" t="s">
        <v>58</v>
      </c>
      <c r="B29" s="269" t="s">
        <v>59</v>
      </c>
      <c r="C29" s="478">
        <v>1.2582931265774846</v>
      </c>
      <c r="D29" s="478">
        <v>1.267597340710779</v>
      </c>
      <c r="E29" s="478">
        <v>1.2630591317810058</v>
      </c>
      <c r="F29" s="478">
        <v>1.3824992432869863</v>
      </c>
      <c r="G29" s="478">
        <v>1.3621411106557275</v>
      </c>
      <c r="H29" s="478">
        <v>1.8041672584699313</v>
      </c>
      <c r="I29" s="478">
        <v>1.9814228446575157</v>
      </c>
      <c r="J29" s="478">
        <v>1.6778313093150814</v>
      </c>
      <c r="K29" s="478">
        <v>1.6266194460271799</v>
      </c>
      <c r="L29" s="478">
        <v>1.828783280327869</v>
      </c>
      <c r="M29" s="478">
        <v>1.828783280327869</v>
      </c>
      <c r="N29" s="478">
        <v>1.1182514895890401</v>
      </c>
      <c r="O29" s="478">
        <v>1.1182514895890401</v>
      </c>
      <c r="P29" s="478">
        <v>1.66</v>
      </c>
      <c r="Q29" s="478">
        <v>1.66</v>
      </c>
      <c r="R29" s="478">
        <v>1.4596142739726026</v>
      </c>
    </row>
    <row r="30" spans="1:18" ht="15.5">
      <c r="A30" s="269" t="s">
        <v>60</v>
      </c>
      <c r="B30" s="269" t="s">
        <v>61</v>
      </c>
      <c r="C30" s="478">
        <v>2.2053325190514101</v>
      </c>
      <c r="D30" s="478">
        <v>1.1774873983740699</v>
      </c>
      <c r="E30" s="478">
        <v>0.57302953273199364</v>
      </c>
      <c r="F30" s="478">
        <v>1.1281000000000176</v>
      </c>
      <c r="G30" s="478">
        <v>1.20091812099849</v>
      </c>
      <c r="H30" s="479">
        <v>7.0877038293815503E-2</v>
      </c>
      <c r="I30" s="478">
        <v>0.836041851888353</v>
      </c>
      <c r="J30" s="478">
        <v>1.4379797478794103</v>
      </c>
      <c r="K30" s="478">
        <v>0.87805102360829301</v>
      </c>
      <c r="L30" s="478">
        <v>0.77568335022812018</v>
      </c>
      <c r="M30" s="478">
        <v>0.77568335022812018</v>
      </c>
      <c r="N30" s="478">
        <f>2.11701850330718</f>
        <v>2.1170185033071802</v>
      </c>
      <c r="O30" s="478">
        <v>2.1170185033071802</v>
      </c>
      <c r="P30" s="478">
        <v>-0.48036592579288279</v>
      </c>
      <c r="Q30" s="478">
        <v>-0.48036592579288279</v>
      </c>
      <c r="R30" s="478">
        <v>1.4307301930899559</v>
      </c>
    </row>
    <row r="31" spans="1:18" ht="15.5">
      <c r="A31" s="269" t="s">
        <v>62</v>
      </c>
      <c r="B31" s="269" t="s">
        <v>63</v>
      </c>
      <c r="C31" s="478">
        <v>1.9242558131631178</v>
      </c>
      <c r="D31" s="478">
        <v>12.259690995491098</v>
      </c>
      <c r="E31" s="478">
        <v>6.3224181154764887</v>
      </c>
      <c r="F31" s="478">
        <v>-9.0372910346704103</v>
      </c>
      <c r="G31" s="478">
        <v>-3.6171006053926948</v>
      </c>
      <c r="H31" s="478">
        <v>-10.244582350743858</v>
      </c>
      <c r="I31" s="478">
        <v>-3.565259045088232</v>
      </c>
      <c r="J31" s="478">
        <v>-10.996888476255702</v>
      </c>
      <c r="K31" s="478">
        <v>-1.4957</v>
      </c>
      <c r="L31" s="478">
        <v>-1.0700362175481606</v>
      </c>
      <c r="M31" s="478">
        <v>-1.0700362175481606</v>
      </c>
      <c r="N31" s="478">
        <f>7.91426794540339-N32</f>
        <v>6.7200832500798198</v>
      </c>
      <c r="O31" s="478">
        <v>6.7200832500798198</v>
      </c>
      <c r="P31" s="478">
        <v>1.8524684329535117</v>
      </c>
      <c r="Q31" s="478">
        <v>1.8524684329535117</v>
      </c>
      <c r="R31" s="478">
        <v>-7.006550492536217</v>
      </c>
    </row>
    <row r="32" spans="1:18" ht="15.5">
      <c r="A32" s="269" t="s">
        <v>64</v>
      </c>
      <c r="B32" s="269" t="s">
        <v>65</v>
      </c>
      <c r="C32" s="478">
        <v>2.1489589041095893</v>
      </c>
      <c r="D32" s="478">
        <v>2.2384207650273225</v>
      </c>
      <c r="E32" s="478">
        <v>2.3934438356164383</v>
      </c>
      <c r="F32" s="478">
        <v>2.1321698630136989</v>
      </c>
      <c r="G32" s="478">
        <v>2.2502958904109587</v>
      </c>
      <c r="H32" s="478">
        <v>2.1029453551912569</v>
      </c>
      <c r="I32" s="478">
        <v>2.1737307416154938</v>
      </c>
      <c r="J32" s="478">
        <v>2.0010845536136044</v>
      </c>
      <c r="K32" s="478">
        <v>2.0015040000000002</v>
      </c>
      <c r="L32" s="478">
        <v>1.944616931147541</v>
      </c>
      <c r="M32" s="478">
        <v>1.944616931147541</v>
      </c>
      <c r="N32" s="478">
        <f>1.19418469532357</f>
        <v>1.19418469532357</v>
      </c>
      <c r="O32" s="478">
        <v>1.19418469532357</v>
      </c>
      <c r="P32" s="478">
        <v>1.1950753897024091</v>
      </c>
      <c r="Q32" s="478">
        <v>1.1950753897024091</v>
      </c>
      <c r="R32" s="478">
        <v>1.4225256495040151</v>
      </c>
    </row>
    <row r="33" spans="1:18" ht="15.5">
      <c r="A33" s="269" t="s">
        <v>66</v>
      </c>
      <c r="B33" s="269" t="s">
        <v>67</v>
      </c>
      <c r="C33" s="478">
        <v>18.811221809137564</v>
      </c>
      <c r="D33" s="478">
        <v>18.590215016430157</v>
      </c>
      <c r="E33" s="478">
        <v>18.117067607487215</v>
      </c>
      <c r="F33" s="478">
        <v>17.713517491590487</v>
      </c>
      <c r="G33" s="478">
        <v>17.560000000000002</v>
      </c>
      <c r="H33" s="478">
        <v>17.420000000000002</v>
      </c>
      <c r="I33" s="478">
        <v>17.942939078832026</v>
      </c>
      <c r="J33" s="478">
        <v>17.488976137026114</v>
      </c>
      <c r="K33" s="478">
        <v>17.634146619258097</v>
      </c>
      <c r="L33" s="478">
        <v>16.720931056922069</v>
      </c>
      <c r="M33" s="478">
        <v>16.720931056922069</v>
      </c>
      <c r="N33" s="478">
        <f>15.15+0.42</f>
        <v>15.57</v>
      </c>
      <c r="O33" s="478">
        <v>15.57</v>
      </c>
      <c r="P33" s="478">
        <v>17.810378726027352</v>
      </c>
      <c r="Q33" s="478">
        <v>17.810378726027352</v>
      </c>
      <c r="R33" s="478">
        <v>16.799438246717752</v>
      </c>
    </row>
    <row r="34" spans="1:18" ht="15.5">
      <c r="A34" s="269" t="s">
        <v>68</v>
      </c>
      <c r="B34" s="269" t="s">
        <v>69</v>
      </c>
      <c r="C34" s="477">
        <f t="shared" ref="C34:L34" si="8">SUM(C24:C33)</f>
        <v>419.70215943390042</v>
      </c>
      <c r="D34" s="477">
        <f t="shared" si="8"/>
        <v>408.31221869398655</v>
      </c>
      <c r="E34" s="477">
        <f t="shared" si="8"/>
        <v>398.83793560746318</v>
      </c>
      <c r="F34" s="477">
        <f t="shared" si="8"/>
        <v>390.39957528406779</v>
      </c>
      <c r="G34" s="477">
        <f t="shared" si="8"/>
        <v>385.37412346736249</v>
      </c>
      <c r="H34" s="480">
        <f t="shared" si="8"/>
        <v>381.82740242981481</v>
      </c>
      <c r="I34" s="477">
        <f t="shared" si="8"/>
        <v>377.47222977985888</v>
      </c>
      <c r="J34" s="477">
        <f t="shared" si="8"/>
        <v>385.00242802827768</v>
      </c>
      <c r="K34" s="477">
        <f t="shared" si="8"/>
        <v>387.00139701297712</v>
      </c>
      <c r="L34" s="477">
        <f t="shared" si="8"/>
        <v>366.26054795143591</v>
      </c>
      <c r="M34" s="477">
        <f t="shared" ref="M34" si="9">SUM(M24:M33)</f>
        <v>366.26054795143591</v>
      </c>
      <c r="N34" s="477">
        <f>SUM(N24:N33)</f>
        <v>340.23104413476676</v>
      </c>
      <c r="O34" s="477">
        <f t="shared" ref="O34:P34" si="10">SUM(O24:O33)</f>
        <v>340.2868416057463</v>
      </c>
      <c r="P34" s="477">
        <f t="shared" si="10"/>
        <v>361.76746246672599</v>
      </c>
      <c r="Q34" s="477">
        <f t="shared" ref="Q34:R34" si="11">SUM(Q24:Q33)</f>
        <v>361.76746246672599</v>
      </c>
      <c r="R34" s="477">
        <f t="shared" si="11"/>
        <v>366.60925741446817</v>
      </c>
    </row>
    <row r="35" spans="1:18" ht="14.5">
      <c r="A35" s="274"/>
      <c r="B35" s="275" t="s">
        <v>70</v>
      </c>
      <c r="C35" s="481">
        <v>419.78735001507602</v>
      </c>
      <c r="D35" s="481">
        <v>408.53226267253291</v>
      </c>
      <c r="E35" s="481">
        <v>398.9391478368334</v>
      </c>
      <c r="F35" s="481">
        <v>390.11925501516748</v>
      </c>
      <c r="G35" s="481">
        <v>385.4745062793159</v>
      </c>
      <c r="H35" s="481">
        <v>381.81097864588122</v>
      </c>
      <c r="I35" s="481">
        <v>377.514499874916</v>
      </c>
      <c r="J35" s="481">
        <v>384.96722931059753</v>
      </c>
      <c r="K35" s="481">
        <v>386.75523423934669</v>
      </c>
      <c r="L35" s="481">
        <v>366.21731170016818</v>
      </c>
      <c r="M35" s="481">
        <v>366.21731170016818</v>
      </c>
      <c r="N35" s="481">
        <v>340.37</v>
      </c>
      <c r="O35" s="481">
        <v>340.37</v>
      </c>
      <c r="P35" s="481">
        <v>361.78132219999998</v>
      </c>
      <c r="Q35" s="481">
        <v>361.78132219999998</v>
      </c>
      <c r="R35" s="481">
        <v>366.61</v>
      </c>
    </row>
    <row r="36" spans="1:18" ht="14.5">
      <c r="A36" s="271"/>
      <c r="B36" s="272" t="s">
        <v>43</v>
      </c>
      <c r="C36" s="485">
        <f t="shared" ref="C36:J36" si="12">C35-C34</f>
        <v>8.5190581175595526E-2</v>
      </c>
      <c r="D36" s="485">
        <f t="shared" si="12"/>
        <v>0.22004397854635727</v>
      </c>
      <c r="E36" s="485">
        <f t="shared" si="12"/>
        <v>0.10121222937021912</v>
      </c>
      <c r="F36" s="485">
        <f t="shared" si="12"/>
        <v>-0.28032026890031148</v>
      </c>
      <c r="G36" s="485">
        <f t="shared" si="12"/>
        <v>0.10038281195340915</v>
      </c>
      <c r="H36" s="485">
        <f t="shared" si="12"/>
        <v>-1.6423783933589675E-2</v>
      </c>
      <c r="I36" s="485">
        <f t="shared" si="12"/>
        <v>4.2270095057119761E-2</v>
      </c>
      <c r="J36" s="485">
        <f t="shared" si="12"/>
        <v>-3.5198717680145819E-2</v>
      </c>
      <c r="K36" s="485">
        <f>K35-K34</f>
        <v>-0.24616277363043082</v>
      </c>
      <c r="L36" s="485">
        <v>-4.3236251267728676E-2</v>
      </c>
      <c r="M36" s="485">
        <f>+M35-M34</f>
        <v>-4.3236251267728676E-2</v>
      </c>
      <c r="N36" s="485">
        <f>+N35-N34</f>
        <v>0.13895586523324255</v>
      </c>
      <c r="O36" s="485">
        <v>8.3158394253700862E-2</v>
      </c>
      <c r="P36" s="485">
        <v>1.385973327398915E-2</v>
      </c>
      <c r="Q36" s="485">
        <v>1.385973327398915E-2</v>
      </c>
      <c r="R36" s="485">
        <v>7.4258553183881304E-4</v>
      </c>
    </row>
    <row r="37" spans="1:18" s="171" customFormat="1" ht="15.5">
      <c r="A37" s="276"/>
      <c r="B37" s="164" t="s">
        <v>71</v>
      </c>
      <c r="C37" s="410" t="str">
        <f>+C$9</f>
        <v>2010-11 RF</v>
      </c>
      <c r="D37" s="410" t="str">
        <f t="shared" ref="D37:N37" si="13">+D$9</f>
        <v>2011-12 RF</v>
      </c>
      <c r="E37" s="410" t="str">
        <f t="shared" si="13"/>
        <v>2012-13 RF</v>
      </c>
      <c r="F37" s="410" t="str">
        <f t="shared" si="13"/>
        <v>2013-14 RF</v>
      </c>
      <c r="G37" s="410" t="str">
        <f t="shared" si="13"/>
        <v>2014-15 RF</v>
      </c>
      <c r="H37" s="410" t="str">
        <f t="shared" si="13"/>
        <v>2015-16 RF</v>
      </c>
      <c r="I37" s="410" t="str">
        <f t="shared" si="13"/>
        <v>2016-17 RF</v>
      </c>
      <c r="J37" s="410" t="str">
        <f t="shared" si="13"/>
        <v>2017-18 RF</v>
      </c>
      <c r="K37" s="410" t="str">
        <f t="shared" si="13"/>
        <v>2018-19 RF</v>
      </c>
      <c r="L37" s="410" t="str">
        <f t="shared" si="13"/>
        <v>2019-20 Month</v>
      </c>
      <c r="M37" s="410" t="str">
        <f t="shared" si="13"/>
        <v>2019-20 RF</v>
      </c>
      <c r="N37" s="410" t="str">
        <f t="shared" si="13"/>
        <v>2020-21 Month</v>
      </c>
      <c r="O37" s="3" t="s">
        <v>18</v>
      </c>
      <c r="P37" s="3" t="s">
        <v>19</v>
      </c>
      <c r="Q37" s="3" t="s">
        <v>20</v>
      </c>
      <c r="R37" s="3" t="s">
        <v>21</v>
      </c>
    </row>
    <row r="38" spans="1:18" ht="15.5">
      <c r="A38" s="269" t="s">
        <v>72</v>
      </c>
      <c r="B38" s="269" t="s">
        <v>73</v>
      </c>
      <c r="C38" s="477">
        <v>48451137.546303652</v>
      </c>
      <c r="D38" s="477">
        <v>47015701.144317053</v>
      </c>
      <c r="E38" s="477">
        <v>46107853.98273956</v>
      </c>
      <c r="F38" s="477">
        <v>47163690.985890336</v>
      </c>
      <c r="G38" s="477">
        <v>47007115.693972796</v>
      </c>
      <c r="H38" s="477">
        <v>47708226.9029506</v>
      </c>
      <c r="I38" s="477">
        <v>48872347.993561625</v>
      </c>
      <c r="J38" s="477">
        <v>49699448.266438492</v>
      </c>
      <c r="K38" s="477">
        <f>+'P2'!L35</f>
        <v>49611241.227945499</v>
      </c>
      <c r="L38" s="477">
        <f>+'P2'!M35</f>
        <v>50778348.943581596</v>
      </c>
      <c r="M38" s="477">
        <f>+'P2'!N35</f>
        <v>48775769.294932507</v>
      </c>
      <c r="N38" s="477">
        <f>+'P2'!O35</f>
        <v>39520480.090227872</v>
      </c>
      <c r="O38" s="477">
        <f>+'P2'!P35</f>
        <v>37785839</v>
      </c>
      <c r="P38" s="477">
        <f>+'P2'!Q35</f>
        <v>43423640</v>
      </c>
      <c r="Q38" s="477">
        <f>+'P2'!R35</f>
        <v>43234907.831572399</v>
      </c>
      <c r="R38" s="477">
        <f>+'P2'!S35</f>
        <v>46610590.122440301</v>
      </c>
    </row>
    <row r="39" spans="1:18" ht="15.5">
      <c r="A39" s="269" t="s">
        <v>74</v>
      </c>
      <c r="B39" s="269" t="s">
        <v>75</v>
      </c>
      <c r="C39" s="477">
        <v>132.74284259261273</v>
      </c>
      <c r="D39" s="477">
        <v>128.45819984786081</v>
      </c>
      <c r="E39" s="477">
        <v>126.322887623944</v>
      </c>
      <c r="F39" s="477">
        <v>129.21559104216499</v>
      </c>
      <c r="G39" s="477">
        <v>128.78661833965148</v>
      </c>
      <c r="H39" s="477">
        <v>130.35034672937323</v>
      </c>
      <c r="I39" s="477">
        <v>133.896843810977</v>
      </c>
      <c r="J39" s="477">
        <v>136.16287196284517</v>
      </c>
      <c r="K39" s="477">
        <f>+K38/365000</f>
        <v>135.92120884368629</v>
      </c>
      <c r="L39" s="477">
        <f>+L38/366000</f>
        <v>138.7386583157967</v>
      </c>
      <c r="M39" s="477">
        <f>+M38/366000</f>
        <v>133.26712922112708</v>
      </c>
      <c r="N39" s="477">
        <f>+N38/365000</f>
        <v>108.27528791843253</v>
      </c>
      <c r="O39" s="477">
        <f t="shared" ref="O39" si="14">+O38/365000</f>
        <v>103.52284657534247</v>
      </c>
      <c r="P39" s="477">
        <f t="shared" ref="P39:Q39" si="15">+P38/365000</f>
        <v>118.96887671232876</v>
      </c>
      <c r="Q39" s="477">
        <f t="shared" si="15"/>
        <v>118.45180227828054</v>
      </c>
      <c r="R39" s="477">
        <f t="shared" ref="R39" si="16">+R38/365000</f>
        <v>127.70024691079534</v>
      </c>
    </row>
    <row r="40" spans="1:18" ht="15.5">
      <c r="A40" s="269" t="s">
        <v>76</v>
      </c>
      <c r="B40" s="269" t="s">
        <v>77</v>
      </c>
      <c r="C40" s="478">
        <v>2.3588410829405504</v>
      </c>
      <c r="D40" s="478">
        <v>4.4270289222928625</v>
      </c>
      <c r="E40" s="478">
        <v>7.2484893667349439</v>
      </c>
      <c r="F40" s="478">
        <v>1.6728769090446569</v>
      </c>
      <c r="G40" s="478">
        <v>5.6511810926067669</v>
      </c>
      <c r="H40" s="478">
        <v>1.3039404319164292</v>
      </c>
      <c r="I40" s="478">
        <v>3.6247711341859592</v>
      </c>
      <c r="J40" s="478">
        <v>8.3590771445768279</v>
      </c>
      <c r="K40" s="478">
        <v>7.3066652398536229</v>
      </c>
      <c r="L40" s="478">
        <v>-1.6469781317076126</v>
      </c>
      <c r="M40" s="478">
        <f>+L39-M39+L40</f>
        <v>3.8245509629620074</v>
      </c>
      <c r="N40" s="478">
        <v>0.72270614299424096</v>
      </c>
      <c r="O40" s="478">
        <v>5.6</v>
      </c>
      <c r="P40" s="478">
        <v>5.4399999999999977</v>
      </c>
      <c r="Q40" s="478">
        <v>5.9570744340482236</v>
      </c>
      <c r="R40" s="478">
        <v>0.71450745261597604</v>
      </c>
    </row>
    <row r="41" spans="1:18" ht="15.5">
      <c r="A41" s="269" t="s">
        <v>78</v>
      </c>
      <c r="B41" s="269" t="s">
        <v>52</v>
      </c>
      <c r="C41" s="478">
        <v>2.5172337544469698</v>
      </c>
      <c r="D41" s="478">
        <v>3.5607587765099429</v>
      </c>
      <c r="E41" s="478">
        <v>3.6879628641560482</v>
      </c>
      <c r="F41" s="478">
        <v>3.7047017745968454</v>
      </c>
      <c r="G41" s="478">
        <v>3.6718000000000002</v>
      </c>
      <c r="H41" s="478">
        <v>3.7688000000000001</v>
      </c>
      <c r="I41" s="478">
        <v>3.8308</v>
      </c>
      <c r="J41" s="478">
        <v>3.9020800000000002</v>
      </c>
      <c r="K41" s="478">
        <v>4.1092353583897028</v>
      </c>
      <c r="L41" s="478">
        <v>3.8294972901016266</v>
      </c>
      <c r="M41" s="478">
        <v>3.8294972901016266</v>
      </c>
      <c r="N41" s="478">
        <v>3.598481915992195</v>
      </c>
      <c r="O41" s="478">
        <v>3.598481915992195</v>
      </c>
      <c r="P41" s="478">
        <v>4.5999999999999996</v>
      </c>
      <c r="Q41" s="478">
        <v>4.5999999999999996</v>
      </c>
      <c r="R41" s="478">
        <v>4.63</v>
      </c>
    </row>
    <row r="42" spans="1:18" ht="15.5">
      <c r="A42" s="269" t="s">
        <v>79</v>
      </c>
      <c r="B42" s="269" t="s">
        <v>80</v>
      </c>
      <c r="C42" s="478">
        <v>1.0412198366666667</v>
      </c>
      <c r="D42" s="478">
        <v>0.33728361000000007</v>
      </c>
      <c r="E42" s="478">
        <v>0.33947696129032262</v>
      </c>
      <c r="F42" s="478">
        <v>0.30468188064516127</v>
      </c>
      <c r="G42" s="478">
        <v>0.48836377096774197</v>
      </c>
      <c r="H42" s="478">
        <v>0.51027101290322596</v>
      </c>
      <c r="I42" s="478">
        <v>0.39631616129032254</v>
      </c>
      <c r="J42" s="478">
        <v>0.43004100645161292</v>
      </c>
      <c r="K42" s="478">
        <v>0.19795219032258066</v>
      </c>
      <c r="L42" s="478">
        <v>0.19810179354838714</v>
      </c>
      <c r="M42" s="478">
        <v>0.19810179354838714</v>
      </c>
      <c r="N42" s="478">
        <v>0.26316203232876711</v>
      </c>
      <c r="O42" s="478">
        <v>0.20193972602739726</v>
      </c>
      <c r="P42" s="478">
        <v>0.22505753424657535</v>
      </c>
      <c r="Q42" s="478">
        <v>0.22505753424657535</v>
      </c>
      <c r="R42" s="478">
        <v>0</v>
      </c>
    </row>
    <row r="43" spans="1:18" ht="15.5">
      <c r="A43" s="269" t="s">
        <v>81</v>
      </c>
      <c r="B43" s="269" t="s">
        <v>56</v>
      </c>
      <c r="C43" s="478">
        <v>0</v>
      </c>
      <c r="D43" s="478">
        <v>0</v>
      </c>
      <c r="E43" s="478">
        <v>0</v>
      </c>
      <c r="F43" s="478">
        <v>0</v>
      </c>
      <c r="G43" s="478">
        <v>0</v>
      </c>
      <c r="H43" s="478">
        <v>0</v>
      </c>
      <c r="I43" s="478">
        <v>0</v>
      </c>
      <c r="J43" s="478">
        <v>-0.50965441612903195</v>
      </c>
      <c r="K43" s="478">
        <v>-0.32408470322580701</v>
      </c>
      <c r="L43" s="478">
        <v>0</v>
      </c>
      <c r="M43" s="478">
        <v>0</v>
      </c>
      <c r="N43" s="478">
        <v>0</v>
      </c>
      <c r="O43" s="478">
        <v>0</v>
      </c>
      <c r="P43" s="478" t="s">
        <v>57</v>
      </c>
      <c r="Q43" s="478" t="s">
        <v>57</v>
      </c>
      <c r="R43" s="478" t="s">
        <v>57</v>
      </c>
    </row>
    <row r="44" spans="1:18" ht="15.5">
      <c r="A44" s="269" t="s">
        <v>82</v>
      </c>
      <c r="B44" s="269" t="s">
        <v>59</v>
      </c>
      <c r="C44" s="478">
        <v>0.92449890666666623</v>
      </c>
      <c r="D44" s="478">
        <v>0.88413983000000007</v>
      </c>
      <c r="E44" s="478">
        <v>1.0309619645161294</v>
      </c>
      <c r="F44" s="478">
        <v>1.0530100999999996</v>
      </c>
      <c r="G44" s="478">
        <v>1.1054620903225805</v>
      </c>
      <c r="H44" s="478">
        <v>1.4496521516129006</v>
      </c>
      <c r="I44" s="478">
        <v>1.649853203225806</v>
      </c>
      <c r="J44" s="478">
        <v>1.3117935387096764</v>
      </c>
      <c r="K44" s="478">
        <v>1.5548432161290304</v>
      </c>
      <c r="L44" s="478">
        <v>1.4601591774193501</v>
      </c>
      <c r="M44" s="478">
        <v>1.4601591774193501</v>
      </c>
      <c r="N44" s="478">
        <v>1.0623895354838722</v>
      </c>
      <c r="O44" s="478">
        <v>1.0623895354838722</v>
      </c>
      <c r="P44" s="478">
        <v>0.92625753424657531</v>
      </c>
      <c r="Q44" s="478">
        <v>0.92625753424657531</v>
      </c>
      <c r="R44" s="478">
        <v>1.2571178356164383</v>
      </c>
    </row>
    <row r="45" spans="1:18" ht="15.5">
      <c r="A45" s="269" t="s">
        <v>83</v>
      </c>
      <c r="B45" s="269" t="s">
        <v>84</v>
      </c>
      <c r="C45" s="478">
        <v>0.33214835000000154</v>
      </c>
      <c r="D45" s="478">
        <v>0.46068129333333191</v>
      </c>
      <c r="E45" s="478">
        <v>0.69802581612902181</v>
      </c>
      <c r="F45" s="478">
        <v>0.63328566129031272</v>
      </c>
      <c r="G45" s="478">
        <v>0.74461053548385803</v>
      </c>
      <c r="H45" s="478">
        <v>0.66310751290321601</v>
      </c>
      <c r="I45" s="478">
        <v>0.9104799322580428</v>
      </c>
      <c r="J45" s="478">
        <v>1.1235003806451265</v>
      </c>
      <c r="K45" s="478">
        <v>0.76510499032254775</v>
      </c>
      <c r="L45" s="478">
        <v>0</v>
      </c>
      <c r="M45" s="478">
        <v>0</v>
      </c>
      <c r="N45" s="478">
        <v>0</v>
      </c>
      <c r="O45" s="478">
        <v>0</v>
      </c>
      <c r="P45" s="478">
        <v>0</v>
      </c>
      <c r="Q45" s="478">
        <v>0</v>
      </c>
      <c r="R45" s="478">
        <v>0</v>
      </c>
    </row>
    <row r="46" spans="1:18" ht="15.5">
      <c r="A46" s="269" t="s">
        <v>85</v>
      </c>
      <c r="B46" s="269" t="s">
        <v>86</v>
      </c>
      <c r="C46" s="478">
        <v>0.81754311319634798</v>
      </c>
      <c r="D46" s="478">
        <v>0.6382202607762566</v>
      </c>
      <c r="E46" s="478">
        <v>0.41872231511268193</v>
      </c>
      <c r="F46" s="478">
        <v>0.37152456676977419</v>
      </c>
      <c r="G46" s="478">
        <v>0.82831022612903105</v>
      </c>
      <c r="H46" s="478">
        <v>0.70027051451612865</v>
      </c>
      <c r="I46" s="478">
        <v>0.32961005999999993</v>
      </c>
      <c r="J46" s="478">
        <v>0.34894265072912012</v>
      </c>
      <c r="K46" s="478">
        <v>0.71582779783473272</v>
      </c>
      <c r="L46" s="478">
        <v>0.74922580645161285</v>
      </c>
      <c r="M46" s="478">
        <v>0.74922580645161285</v>
      </c>
      <c r="N46" s="478">
        <v>1.01716267419355</v>
      </c>
      <c r="O46" s="478">
        <v>1.01716267419355</v>
      </c>
      <c r="P46" s="478">
        <v>-0.71875</v>
      </c>
      <c r="Q46" s="478">
        <v>-0.71875</v>
      </c>
      <c r="R46" s="478">
        <v>-0.65266688490431213</v>
      </c>
    </row>
    <row r="47" spans="1:18" ht="15.5">
      <c r="A47" s="269" t="s">
        <v>87</v>
      </c>
      <c r="B47" s="269" t="s">
        <v>88</v>
      </c>
      <c r="C47" s="477">
        <f t="shared" ref="C47:L47" si="17">SUM(C39:C46)</f>
        <v>140.73432763652994</v>
      </c>
      <c r="D47" s="477">
        <f t="shared" si="17"/>
        <v>138.76631254077319</v>
      </c>
      <c r="E47" s="477">
        <f t="shared" si="17"/>
        <v>139.74652691188317</v>
      </c>
      <c r="F47" s="477">
        <f t="shared" si="17"/>
        <v>136.95567193451171</v>
      </c>
      <c r="G47" s="477">
        <f t="shared" si="17"/>
        <v>141.27634605516147</v>
      </c>
      <c r="H47" s="477">
        <f t="shared" si="17"/>
        <v>138.74638835322511</v>
      </c>
      <c r="I47" s="477">
        <f t="shared" si="17"/>
        <v>144.63867430193713</v>
      </c>
      <c r="J47" s="477">
        <f t="shared" si="17"/>
        <v>151.12865226782853</v>
      </c>
      <c r="K47" s="477">
        <f>SUM(K39:K46)</f>
        <v>150.24675293331271</v>
      </c>
      <c r="L47" s="477">
        <f t="shared" si="17"/>
        <v>143.32866425161004</v>
      </c>
      <c r="M47" s="477">
        <f t="shared" ref="M47:P47" si="18">SUM(M39:M46)</f>
        <v>143.32866425161004</v>
      </c>
      <c r="N47" s="477">
        <f t="shared" si="18"/>
        <v>114.93919021942516</v>
      </c>
      <c r="O47" s="477">
        <f t="shared" si="18"/>
        <v>115.00282042703948</v>
      </c>
      <c r="P47" s="477">
        <f t="shared" si="18"/>
        <v>129.44144178082195</v>
      </c>
      <c r="Q47" s="477">
        <f t="shared" ref="Q47:R47" si="19">SUM(Q39:Q46)</f>
        <v>129.44144178082195</v>
      </c>
      <c r="R47" s="477">
        <f t="shared" si="19"/>
        <v>133.64920531412344</v>
      </c>
    </row>
    <row r="48" spans="1:18" ht="14.5">
      <c r="A48" s="274"/>
      <c r="B48" s="275" t="s">
        <v>89</v>
      </c>
      <c r="C48" s="486">
        <v>140.82590759999999</v>
      </c>
      <c r="D48" s="486">
        <v>139.19541336</v>
      </c>
      <c r="E48" s="486">
        <v>139.72030660000004</v>
      </c>
      <c r="F48" s="486">
        <v>136.92160248000027</v>
      </c>
      <c r="G48" s="486">
        <v>141.03286169</v>
      </c>
      <c r="H48" s="486">
        <v>138.51039512000034</v>
      </c>
      <c r="I48" s="486">
        <v>144.65282626000061</v>
      </c>
      <c r="J48" s="486">
        <v>151.231672449987</v>
      </c>
      <c r="K48" s="481">
        <v>150.07499999999999</v>
      </c>
      <c r="L48" s="481">
        <v>143.422</v>
      </c>
      <c r="M48" s="481">
        <v>143.422</v>
      </c>
      <c r="N48" s="481">
        <v>114.666</v>
      </c>
      <c r="O48" s="481">
        <v>114.666</v>
      </c>
      <c r="P48" s="481">
        <v>129.66900000000001</v>
      </c>
      <c r="Q48" s="481">
        <v>129.66900000000001</v>
      </c>
      <c r="R48" s="481">
        <v>133.63</v>
      </c>
    </row>
    <row r="49" spans="1:18" ht="14.5">
      <c r="A49" s="271"/>
      <c r="B49" s="272" t="s">
        <v>43</v>
      </c>
      <c r="C49" s="485">
        <f t="shared" ref="C49:N49" si="20">C48-C47</f>
        <v>9.1579963470053372E-2</v>
      </c>
      <c r="D49" s="485">
        <f t="shared" si="20"/>
        <v>0.42910081922681798</v>
      </c>
      <c r="E49" s="485">
        <f t="shared" si="20"/>
        <v>-2.6220311883122349E-2</v>
      </c>
      <c r="F49" s="485">
        <f t="shared" si="20"/>
        <v>-3.4069454511438835E-2</v>
      </c>
      <c r="G49" s="485">
        <f t="shared" si="20"/>
        <v>-0.24348436516146421</v>
      </c>
      <c r="H49" s="485">
        <f t="shared" si="20"/>
        <v>-0.23599323322477517</v>
      </c>
      <c r="I49" s="485">
        <f t="shared" si="20"/>
        <v>1.4151958063479242E-2</v>
      </c>
      <c r="J49" s="485">
        <f t="shared" si="20"/>
        <v>0.10302018215847397</v>
      </c>
      <c r="K49" s="485">
        <f>K48-K47</f>
        <v>-0.17175293331271746</v>
      </c>
      <c r="L49" s="485">
        <f t="shared" si="20"/>
        <v>9.3335748389961282E-2</v>
      </c>
      <c r="M49" s="485">
        <f t="shared" si="20"/>
        <v>9.3335748389961282E-2</v>
      </c>
      <c r="N49" s="485">
        <f t="shared" si="20"/>
        <v>-0.27319021942516031</v>
      </c>
      <c r="O49" s="485">
        <f>O48-O47</f>
        <v>-0.33682042703948412</v>
      </c>
      <c r="P49" s="485">
        <f>P48-P47</f>
        <v>0.22755821917806429</v>
      </c>
      <c r="Q49" s="485">
        <f t="shared" ref="Q49" si="21">Q48-Q47</f>
        <v>0.22755821917806429</v>
      </c>
      <c r="R49" s="485">
        <f>R48-R47</f>
        <v>-1.9205314123439621E-2</v>
      </c>
    </row>
    <row r="50" spans="1:18" s="171" customFormat="1" ht="15.5">
      <c r="A50" s="276"/>
      <c r="B50" s="164" t="s">
        <v>90</v>
      </c>
      <c r="C50" s="410" t="s">
        <v>91</v>
      </c>
      <c r="D50" s="410" t="str">
        <f t="shared" ref="D50:N50" si="22">+D$9</f>
        <v>2011-12 RF</v>
      </c>
      <c r="E50" s="410" t="str">
        <f t="shared" si="22"/>
        <v>2012-13 RF</v>
      </c>
      <c r="F50" s="410" t="str">
        <f t="shared" si="22"/>
        <v>2013-14 RF</v>
      </c>
      <c r="G50" s="410" t="str">
        <f t="shared" si="22"/>
        <v>2014-15 RF</v>
      </c>
      <c r="H50" s="410" t="str">
        <f t="shared" si="22"/>
        <v>2015-16 RF</v>
      </c>
      <c r="I50" s="410" t="str">
        <f t="shared" si="22"/>
        <v>2016-17 RF</v>
      </c>
      <c r="J50" s="410" t="str">
        <f t="shared" si="22"/>
        <v>2017-18 RF</v>
      </c>
      <c r="K50" s="410" t="str">
        <f t="shared" si="22"/>
        <v>2018-19 RF</v>
      </c>
      <c r="L50" s="410" t="str">
        <f t="shared" si="22"/>
        <v>2019-20 Month</v>
      </c>
      <c r="M50" s="410" t="str">
        <f t="shared" si="22"/>
        <v>2019-20 RF</v>
      </c>
      <c r="N50" s="410" t="str">
        <f t="shared" si="22"/>
        <v>2020-21 Month</v>
      </c>
      <c r="O50" s="3" t="s">
        <v>18</v>
      </c>
      <c r="P50" s="3" t="s">
        <v>19</v>
      </c>
      <c r="Q50" s="3" t="s">
        <v>20</v>
      </c>
      <c r="R50" s="3" t="s">
        <v>21</v>
      </c>
    </row>
    <row r="51" spans="1:18" ht="15.5">
      <c r="A51" s="269" t="s">
        <v>92</v>
      </c>
      <c r="B51" s="269" t="s">
        <v>93</v>
      </c>
      <c r="C51" s="482">
        <f>'P2'!D46</f>
        <v>25289.047202885777</v>
      </c>
      <c r="D51" s="482">
        <f>'P2'!E46</f>
        <v>17222.683060109288</v>
      </c>
      <c r="E51" s="482">
        <f>'P2'!F46</f>
        <v>18371.720547945235</v>
      </c>
      <c r="F51" s="482">
        <f>'P2'!G46</f>
        <v>17453.720547945246</v>
      </c>
      <c r="G51" s="482">
        <f>'P2'!H46</f>
        <v>16514.660273972604</v>
      </c>
      <c r="H51" s="482">
        <f>'P2'!I46</f>
        <v>16323.39344262301</v>
      </c>
      <c r="I51" s="482">
        <f>'P2'!J46</f>
        <v>16305.493150684904</v>
      </c>
      <c r="J51" s="482">
        <f>'P2'!K46</f>
        <v>21775.534246575382</v>
      </c>
      <c r="K51" s="482">
        <f>'P2'!L46</f>
        <v>20748.24657534248</v>
      </c>
      <c r="L51" s="482">
        <f>'P2'!M46</f>
        <v>20547.494535519196</v>
      </c>
      <c r="M51" s="482">
        <f>'P2'!N46</f>
        <v>20235.926229508194</v>
      </c>
      <c r="N51" s="482">
        <f>'P2'!O46</f>
        <v>20582.21369863001</v>
      </c>
      <c r="O51" s="482">
        <f>'P2'!P46</f>
        <v>20247.23</v>
      </c>
      <c r="P51" s="482">
        <f>'P2'!Q46</f>
        <v>21380.71</v>
      </c>
      <c r="Q51" s="482">
        <f>'P2'!R46</f>
        <v>21076.4164383561</v>
      </c>
      <c r="R51" s="482">
        <f>'P2'!S46</f>
        <v>24541.709589040998</v>
      </c>
    </row>
    <row r="52" spans="1:18" ht="15.5">
      <c r="A52" s="269" t="s">
        <v>94</v>
      </c>
      <c r="B52" s="269" t="s">
        <v>95</v>
      </c>
      <c r="C52" s="483">
        <v>18139.14</v>
      </c>
      <c r="D52" s="483"/>
      <c r="E52" s="483"/>
      <c r="F52" s="483"/>
      <c r="G52" s="483"/>
      <c r="H52" s="483"/>
      <c r="I52" s="483"/>
      <c r="J52" s="483"/>
      <c r="K52" s="483"/>
      <c r="L52" s="483"/>
      <c r="M52" s="483"/>
      <c r="N52" s="483"/>
      <c r="O52" s="483"/>
      <c r="P52" s="483"/>
      <c r="Q52" s="483"/>
      <c r="R52" s="483"/>
    </row>
    <row r="53" spans="1:18" ht="15.5">
      <c r="A53" s="269" t="s">
        <v>96</v>
      </c>
      <c r="B53" s="269" t="s">
        <v>59</v>
      </c>
      <c r="C53" s="483">
        <v>4577.0301369863009</v>
      </c>
      <c r="D53" s="483">
        <v>4615.811475409836</v>
      </c>
      <c r="E53" s="483">
        <v>4678.4410958904109</v>
      </c>
      <c r="F53" s="483">
        <v>4524.7698630136983</v>
      </c>
      <c r="G53" s="483">
        <v>4472.1698630136989</v>
      </c>
      <c r="H53" s="483">
        <v>4507.9234972677596</v>
      </c>
      <c r="I53" s="483">
        <v>4247.9863013698632</v>
      </c>
      <c r="J53" s="483">
        <v>3145.0904109589042</v>
      </c>
      <c r="K53" s="483">
        <v>3214.9404109589041</v>
      </c>
      <c r="L53" s="483">
        <v>3112.1830601092893</v>
      </c>
      <c r="M53" s="483">
        <v>3220</v>
      </c>
      <c r="N53" s="483">
        <v>3017</v>
      </c>
      <c r="O53" s="483">
        <v>3108</v>
      </c>
      <c r="P53" s="483">
        <v>3014</v>
      </c>
      <c r="Q53" s="483">
        <v>3038.78</v>
      </c>
      <c r="R53" s="483">
        <v>2992.89</v>
      </c>
    </row>
    <row r="54" spans="1:18" ht="15.5">
      <c r="A54" s="269" t="s">
        <v>97</v>
      </c>
      <c r="B54" s="269" t="s">
        <v>98</v>
      </c>
      <c r="C54" s="483">
        <v>2645.3945205479467</v>
      </c>
      <c r="D54" s="483">
        <v>1427.2568306010944</v>
      </c>
      <c r="E54" s="483">
        <v>1026.3150684931497</v>
      </c>
      <c r="F54" s="483">
        <v>2213.4849315068495</v>
      </c>
      <c r="G54" s="483">
        <v>1764.1698630136998</v>
      </c>
      <c r="H54" s="483">
        <v>2489.478142076503</v>
      </c>
      <c r="I54" s="483">
        <v>2319.8027397260266</v>
      </c>
      <c r="J54" s="483">
        <v>3395.3698630137005</v>
      </c>
      <c r="K54" s="483">
        <v>2513.8056164383597</v>
      </c>
      <c r="L54" s="483">
        <v>1988.4398907103823</v>
      </c>
      <c r="M54" s="483">
        <v>1122</v>
      </c>
      <c r="N54" s="483">
        <f>905+36</f>
        <v>941</v>
      </c>
      <c r="O54" s="483">
        <v>1037.5700000000006</v>
      </c>
      <c r="P54" s="483">
        <v>2134</v>
      </c>
      <c r="Q54" s="483">
        <v>2054.5800000000017</v>
      </c>
      <c r="R54" s="483">
        <v>3221.2900000000009</v>
      </c>
    </row>
    <row r="55" spans="1:18" ht="15.5">
      <c r="A55" s="269" t="s">
        <v>99</v>
      </c>
      <c r="B55" s="269" t="s">
        <v>56</v>
      </c>
      <c r="C55" s="483"/>
      <c r="D55" s="483"/>
      <c r="E55" s="483"/>
      <c r="F55" s="483"/>
      <c r="G55" s="483"/>
      <c r="H55" s="483"/>
      <c r="I55" s="483"/>
      <c r="J55" s="483">
        <v>-5822</v>
      </c>
      <c r="K55" s="483"/>
      <c r="L55" s="483"/>
      <c r="M55" s="483"/>
      <c r="N55" s="483"/>
      <c r="O55" s="483"/>
      <c r="P55" s="483"/>
      <c r="Q55" s="483"/>
      <c r="R55" s="483"/>
    </row>
    <row r="56" spans="1:18" ht="15.5">
      <c r="A56" s="269" t="s">
        <v>100</v>
      </c>
      <c r="B56" s="269" t="s">
        <v>101</v>
      </c>
      <c r="C56" s="483">
        <v>-3184</v>
      </c>
      <c r="D56" s="483">
        <v>-3041</v>
      </c>
      <c r="E56" s="483">
        <v>-3335</v>
      </c>
      <c r="F56" s="483">
        <v>-1879</v>
      </c>
      <c r="G56" s="483">
        <v>-1585</v>
      </c>
      <c r="H56" s="483">
        <v>-2358</v>
      </c>
      <c r="I56" s="483">
        <v>-1838</v>
      </c>
      <c r="J56" s="483">
        <v>-1728</v>
      </c>
      <c r="K56" s="483">
        <v>-1879</v>
      </c>
      <c r="L56" s="483">
        <v>-1896</v>
      </c>
      <c r="M56" s="483">
        <v>-819</v>
      </c>
      <c r="N56" s="483">
        <v>-997</v>
      </c>
      <c r="O56" s="483">
        <v>-849.80000000000018</v>
      </c>
      <c r="P56" s="483">
        <v>-2015.7099999999991</v>
      </c>
      <c r="Q56" s="483">
        <v>-1655.7764383561021</v>
      </c>
      <c r="R56" s="483">
        <v>-2608.889589040999</v>
      </c>
    </row>
    <row r="57" spans="1:18" ht="14.5">
      <c r="A57" s="274" t="s">
        <v>102</v>
      </c>
      <c r="B57" s="275" t="s">
        <v>103</v>
      </c>
      <c r="C57" s="487">
        <v>47463</v>
      </c>
      <c r="D57" s="487">
        <v>20216</v>
      </c>
      <c r="E57" s="487">
        <v>20730</v>
      </c>
      <c r="F57" s="487">
        <v>22313</v>
      </c>
      <c r="G57" s="487">
        <v>21166</v>
      </c>
      <c r="H57" s="487">
        <v>20963</v>
      </c>
      <c r="I57" s="487">
        <v>21036</v>
      </c>
      <c r="J57" s="487">
        <v>20766</v>
      </c>
      <c r="K57" s="484">
        <v>24598</v>
      </c>
      <c r="L57" s="484">
        <f>19927+3832</f>
        <v>23759</v>
      </c>
      <c r="M57" s="484">
        <f>19927+3832</f>
        <v>23759</v>
      </c>
      <c r="N57" s="484">
        <v>23543</v>
      </c>
      <c r="O57" s="484">
        <v>23543</v>
      </c>
      <c r="P57" s="484">
        <v>24514</v>
      </c>
      <c r="Q57" s="484">
        <v>24514</v>
      </c>
      <c r="R57" s="484">
        <v>28147</v>
      </c>
    </row>
    <row r="58" spans="1:18" ht="14.5">
      <c r="A58" s="271"/>
      <c r="B58" s="272" t="s">
        <v>43</v>
      </c>
      <c r="C58" s="485">
        <f t="shared" ref="C58:L58" si="23">SUM(C51:C56)/C57-1</f>
        <v>7.6098443419603257E-5</v>
      </c>
      <c r="D58" s="485">
        <f t="shared" si="23"/>
        <v>4.3289306095251057E-4</v>
      </c>
      <c r="E58" s="485">
        <f t="shared" si="23"/>
        <v>5.5362818759263632E-4</v>
      </c>
      <c r="F58" s="485">
        <f t="shared" si="23"/>
        <v>-1.1050748086605111E-6</v>
      </c>
      <c r="G58" s="485">
        <f t="shared" si="23"/>
        <v>0</v>
      </c>
      <c r="H58" s="485">
        <f t="shared" si="23"/>
        <v>-9.7752245731275167E-6</v>
      </c>
      <c r="I58" s="485">
        <f t="shared" si="23"/>
        <v>-3.4122847461848238E-5</v>
      </c>
      <c r="J58" s="485">
        <f t="shared" si="23"/>
        <v>-2.6386651330589928E-7</v>
      </c>
      <c r="K58" s="485">
        <f t="shared" si="23"/>
        <v>-3.007260857001981E-7</v>
      </c>
      <c r="L58" s="485">
        <f t="shared" si="23"/>
        <v>-2.8968027531184326E-4</v>
      </c>
      <c r="M58" s="485">
        <f t="shared" ref="M58:N58" si="24">SUM(M51:M56)/M57-1</f>
        <v>-3.1049493584012211E-6</v>
      </c>
      <c r="N58" s="485">
        <f t="shared" si="24"/>
        <v>9.0769498368725721E-6</v>
      </c>
      <c r="O58" s="485">
        <v>0</v>
      </c>
      <c r="P58" s="485">
        <v>-4.0793016235607382E-5</v>
      </c>
      <c r="Q58" s="485">
        <v>0</v>
      </c>
      <c r="R58" s="485">
        <v>0</v>
      </c>
    </row>
    <row r="59" spans="1:18" s="171" customFormat="1" ht="15.5">
      <c r="A59" s="276"/>
      <c r="B59" s="164" t="s">
        <v>104</v>
      </c>
      <c r="C59" s="410" t="s">
        <v>91</v>
      </c>
      <c r="D59" s="410" t="str">
        <f t="shared" ref="D59:N59" si="25">+D$9</f>
        <v>2011-12 RF</v>
      </c>
      <c r="E59" s="410" t="str">
        <f t="shared" si="25"/>
        <v>2012-13 RF</v>
      </c>
      <c r="F59" s="410" t="str">
        <f t="shared" si="25"/>
        <v>2013-14 RF</v>
      </c>
      <c r="G59" s="410" t="str">
        <f t="shared" si="25"/>
        <v>2014-15 RF</v>
      </c>
      <c r="H59" s="410" t="str">
        <f t="shared" si="25"/>
        <v>2015-16 RF</v>
      </c>
      <c r="I59" s="410" t="str">
        <f t="shared" si="25"/>
        <v>2016-17 RF</v>
      </c>
      <c r="J59" s="410" t="str">
        <f t="shared" si="25"/>
        <v>2017-18 RF</v>
      </c>
      <c r="K59" s="410" t="str">
        <f t="shared" si="25"/>
        <v>2018-19 RF</v>
      </c>
      <c r="L59" s="410" t="str">
        <f t="shared" si="25"/>
        <v>2019-20 Month</v>
      </c>
      <c r="M59" s="410" t="str">
        <f t="shared" si="25"/>
        <v>2019-20 RF</v>
      </c>
      <c r="N59" s="410" t="str">
        <f t="shared" si="25"/>
        <v>2020-21 Month</v>
      </c>
      <c r="O59" s="3" t="s">
        <v>18</v>
      </c>
      <c r="P59" s="3" t="s">
        <v>19</v>
      </c>
      <c r="Q59" s="3" t="s">
        <v>20</v>
      </c>
      <c r="R59" s="3" t="s">
        <v>21</v>
      </c>
    </row>
    <row r="60" spans="1:18" ht="15.5">
      <c r="A60" s="269" t="s">
        <v>105</v>
      </c>
      <c r="B60" s="269" t="s">
        <v>106</v>
      </c>
      <c r="C60" s="482">
        <f>'P2'!D119</f>
        <v>98469.119148876547</v>
      </c>
      <c r="D60" s="482">
        <f>'P2'!E119</f>
        <v>109344.07103825155</v>
      </c>
      <c r="E60" s="482">
        <f>'P2'!F119</f>
        <v>111261.92876712276</v>
      </c>
      <c r="F60" s="482">
        <f>'P2'!G119</f>
        <v>111814.40273972558</v>
      </c>
      <c r="G60" s="482">
        <f>'P2'!H119</f>
        <v>112539.60547945401</v>
      </c>
      <c r="H60" s="482">
        <f>'P2'!I119</f>
        <v>114518.09562841582</v>
      </c>
      <c r="I60" s="482">
        <f>'P2'!J119</f>
        <v>116577.03287671589</v>
      </c>
      <c r="J60" s="482">
        <f>'P2'!K119</f>
        <v>128532.5780821918</v>
      </c>
      <c r="K60" s="482">
        <f>'P2'!L119</f>
        <v>129553.24383561648</v>
      </c>
      <c r="L60" s="482">
        <f>'P2'!M119</f>
        <v>131923.46994535491</v>
      </c>
      <c r="M60" s="482">
        <f>'P2'!N119</f>
        <v>131095.88524589181</v>
      </c>
      <c r="N60" s="482">
        <f>'P2'!O119</f>
        <v>132134.15890410903</v>
      </c>
      <c r="O60" s="482">
        <f>'P2'!P119</f>
        <v>131593.96</v>
      </c>
      <c r="P60" s="482">
        <f>'P2'!Q119</f>
        <v>132781.23000000001</v>
      </c>
      <c r="Q60" s="482">
        <f>'P2'!R119</f>
        <v>132528.6438356147</v>
      </c>
      <c r="R60" s="482">
        <f>'P2'!S119</f>
        <v>133733.4328766992</v>
      </c>
    </row>
    <row r="61" spans="1:18" ht="15.5">
      <c r="A61" s="269" t="s">
        <v>107</v>
      </c>
      <c r="B61" s="269" t="s">
        <v>95</v>
      </c>
      <c r="C61" s="483">
        <v>-20056</v>
      </c>
      <c r="D61" s="483"/>
      <c r="E61" s="483"/>
      <c r="F61" s="483"/>
      <c r="G61" s="483"/>
      <c r="H61" s="483"/>
      <c r="I61" s="483"/>
      <c r="J61" s="483"/>
      <c r="K61" s="483"/>
      <c r="L61" s="483"/>
      <c r="M61" s="483"/>
      <c r="N61" s="483"/>
      <c r="O61" s="483"/>
      <c r="P61" s="483"/>
      <c r="Q61" s="483"/>
      <c r="R61" s="483"/>
    </row>
    <row r="62" spans="1:18" ht="15.5">
      <c r="A62" s="269" t="s">
        <v>108</v>
      </c>
      <c r="B62" s="269" t="s">
        <v>109</v>
      </c>
      <c r="C62" s="483">
        <v>730.79452054794467</v>
      </c>
      <c r="D62" s="483">
        <v>744.29781420765039</v>
      </c>
      <c r="E62" s="483">
        <v>732.63561643835567</v>
      </c>
      <c r="F62" s="483">
        <v>779.22191780821856</v>
      </c>
      <c r="G62" s="483">
        <v>823.51232876712243</v>
      </c>
      <c r="H62" s="483">
        <v>894.57103825136539</v>
      </c>
      <c r="I62" s="483">
        <v>914.34520547945056</v>
      </c>
      <c r="J62" s="483">
        <v>1015.6739726027389</v>
      </c>
      <c r="K62" s="483">
        <v>958</v>
      </c>
      <c r="L62" s="483">
        <v>901.13387978142111</v>
      </c>
      <c r="M62" s="483">
        <v>959</v>
      </c>
      <c r="N62" s="483">
        <v>901.1</v>
      </c>
      <c r="O62" s="483">
        <v>1187.79</v>
      </c>
      <c r="P62" s="483">
        <v>908.5</v>
      </c>
      <c r="Q62" s="483">
        <v>1173.17</v>
      </c>
      <c r="R62" s="483">
        <v>914.33</v>
      </c>
    </row>
    <row r="63" spans="1:18" ht="15.5">
      <c r="A63" s="269" t="s">
        <v>110</v>
      </c>
      <c r="B63" s="269" t="s">
        <v>61</v>
      </c>
      <c r="C63" s="483">
        <v>789.60547945205462</v>
      </c>
      <c r="D63" s="483">
        <v>466.21857923497282</v>
      </c>
      <c r="E63" s="483">
        <v>394.73150684931505</v>
      </c>
      <c r="F63" s="483">
        <v>582.59452054794542</v>
      </c>
      <c r="G63" s="483">
        <v>533.79726027397237</v>
      </c>
      <c r="H63" s="483">
        <v>572.92076502734324</v>
      </c>
      <c r="I63" s="483">
        <v>665.1150684931506</v>
      </c>
      <c r="J63" s="483">
        <v>674.76986301369891</v>
      </c>
      <c r="K63" s="483">
        <v>546</v>
      </c>
      <c r="L63" s="483">
        <v>432.04</v>
      </c>
      <c r="M63" s="483">
        <v>457</v>
      </c>
      <c r="N63" s="483">
        <v>321.62</v>
      </c>
      <c r="O63" s="483">
        <v>321.62</v>
      </c>
      <c r="P63" s="483">
        <v>508</v>
      </c>
      <c r="Q63" s="483">
        <v>224.950684931506</v>
      </c>
      <c r="R63" s="483">
        <v>212.08219178082101</v>
      </c>
    </row>
    <row r="64" spans="1:18" ht="15.5">
      <c r="A64" s="269" t="s">
        <v>111</v>
      </c>
      <c r="B64" s="269" t="s">
        <v>59</v>
      </c>
      <c r="C64" s="483">
        <v>1352.0794520547943</v>
      </c>
      <c r="D64" s="483">
        <v>1453.5136612021856</v>
      </c>
      <c r="E64" s="483">
        <v>1544.504109589041</v>
      </c>
      <c r="F64" s="483">
        <v>1599.1643835616458</v>
      </c>
      <c r="G64" s="483">
        <v>1635.7917808219181</v>
      </c>
      <c r="H64" s="483">
        <v>2757.450819672134</v>
      </c>
      <c r="I64" s="483">
        <v>3135.8767123287653</v>
      </c>
      <c r="J64" s="483">
        <v>2900.8465753424653</v>
      </c>
      <c r="K64" s="483">
        <v>3120</v>
      </c>
      <c r="L64" s="483">
        <v>2899.8579234972799</v>
      </c>
      <c r="M64" s="483">
        <v>3152</v>
      </c>
      <c r="N64" s="483">
        <v>2973.75</v>
      </c>
      <c r="O64" s="483">
        <v>2973.75</v>
      </c>
      <c r="P64" s="483">
        <v>2767</v>
      </c>
      <c r="Q64" s="483">
        <v>2883.2</v>
      </c>
      <c r="R64" s="483">
        <v>2868.76</v>
      </c>
    </row>
    <row r="65" spans="1:18" ht="15.5">
      <c r="A65" s="269" t="s">
        <v>112</v>
      </c>
      <c r="B65" s="269" t="s">
        <v>80</v>
      </c>
      <c r="C65" s="483">
        <v>50.216438356164382</v>
      </c>
      <c r="D65" s="483">
        <v>47.693989071038246</v>
      </c>
      <c r="E65" s="483">
        <v>51.936986301369856</v>
      </c>
      <c r="F65" s="483">
        <v>51.073972602739715</v>
      </c>
      <c r="G65" s="483">
        <v>50.92602739726027</v>
      </c>
      <c r="H65" s="483">
        <v>45.795081967213115</v>
      </c>
      <c r="I65" s="483">
        <v>49.534246575342458</v>
      </c>
      <c r="J65" s="483">
        <v>56.301369863013697</v>
      </c>
      <c r="K65" s="483">
        <v>55</v>
      </c>
      <c r="L65" s="483">
        <v>55.44</v>
      </c>
      <c r="M65" s="483">
        <v>58.93</v>
      </c>
      <c r="N65" s="483">
        <v>58.67</v>
      </c>
      <c r="O65" s="483">
        <v>64.67</v>
      </c>
      <c r="P65" s="483">
        <v>62.79</v>
      </c>
      <c r="Q65" s="483">
        <v>64.959999999999994</v>
      </c>
      <c r="R65" s="483">
        <v>62.76</v>
      </c>
    </row>
    <row r="66" spans="1:18" ht="15.5">
      <c r="A66" s="269" t="s">
        <v>113</v>
      </c>
      <c r="B66" s="269" t="s">
        <v>114</v>
      </c>
      <c r="C66" s="483">
        <v>-3448.8109589041123</v>
      </c>
      <c r="D66" s="483">
        <v>-2980.7923497267766</v>
      </c>
      <c r="E66" s="483">
        <v>-3405.5178082191851</v>
      </c>
      <c r="F66" s="483">
        <v>-380.038356164383</v>
      </c>
      <c r="G66" s="483">
        <v>698.39999999999418</v>
      </c>
      <c r="H66" s="483">
        <v>979.45901639344811</v>
      </c>
      <c r="I66" s="483">
        <v>332.86575342464494</v>
      </c>
      <c r="J66" s="483">
        <v>1678.9698630136845</v>
      </c>
      <c r="K66" s="483">
        <v>-799</v>
      </c>
      <c r="L66" s="483">
        <v>-5795.0628415297497</v>
      </c>
      <c r="M66" s="483">
        <v>-3949</v>
      </c>
      <c r="N66" s="483">
        <v>-5746</v>
      </c>
      <c r="O66" s="483">
        <v>-5370.7899999999918</v>
      </c>
      <c r="P66" s="483">
        <v>-4774.5200000000041</v>
      </c>
      <c r="Q66" s="483">
        <v>-4568.9845205462034</v>
      </c>
      <c r="R66" s="483">
        <v>-5388.3650684800177</v>
      </c>
    </row>
    <row r="67" spans="1:18" ht="15.5">
      <c r="A67" s="269" t="s">
        <v>115</v>
      </c>
      <c r="B67" s="269" t="s">
        <v>56</v>
      </c>
      <c r="C67" s="483"/>
      <c r="D67" s="483"/>
      <c r="E67" s="483"/>
      <c r="F67" s="483"/>
      <c r="G67" s="483"/>
      <c r="H67" s="483"/>
      <c r="I67" s="483"/>
      <c r="J67" s="483">
        <v>-12042</v>
      </c>
      <c r="K67" s="483">
        <v>0</v>
      </c>
      <c r="L67" s="483">
        <v>0</v>
      </c>
      <c r="M67" s="483">
        <v>0</v>
      </c>
      <c r="N67" s="483">
        <v>0</v>
      </c>
      <c r="O67" s="483">
        <v>0</v>
      </c>
      <c r="P67" s="483"/>
      <c r="Q67" s="483"/>
      <c r="R67" s="483"/>
    </row>
    <row r="68" spans="1:18" ht="15.5">
      <c r="A68" s="269" t="s">
        <v>116</v>
      </c>
      <c r="B68" s="269" t="s">
        <v>101</v>
      </c>
      <c r="C68" s="483">
        <v>-1419</v>
      </c>
      <c r="D68" s="483">
        <v>-2834</v>
      </c>
      <c r="E68" s="483">
        <v>-2267</v>
      </c>
      <c r="F68" s="483">
        <v>-4229</v>
      </c>
      <c r="G68" s="483">
        <v>-6094</v>
      </c>
      <c r="H68" s="483">
        <v>-7489</v>
      </c>
      <c r="I68" s="483">
        <v>-4451</v>
      </c>
      <c r="J68" s="483">
        <v>-5230</v>
      </c>
      <c r="K68" s="483">
        <f>-5586+6</f>
        <v>-5580</v>
      </c>
      <c r="L68" s="483">
        <v>-1370</v>
      </c>
      <c r="M68" s="483">
        <v>-2726.8152458918048</v>
      </c>
      <c r="N68" s="483">
        <v>-1270</v>
      </c>
      <c r="O68" s="483">
        <v>-1398</v>
      </c>
      <c r="P68" s="483">
        <v>-1945</v>
      </c>
      <c r="Q68" s="483">
        <v>-1998</v>
      </c>
      <c r="R68" s="483">
        <v>-1331</v>
      </c>
    </row>
    <row r="69" spans="1:18" ht="14.5">
      <c r="A69" s="274" t="s">
        <v>117</v>
      </c>
      <c r="B69" s="275" t="s">
        <v>118</v>
      </c>
      <c r="C69" s="411">
        <v>76468</v>
      </c>
      <c r="D69" s="411">
        <v>106241</v>
      </c>
      <c r="E69" s="411">
        <v>108313</v>
      </c>
      <c r="F69" s="411">
        <v>110217</v>
      </c>
      <c r="G69" s="411">
        <v>110187</v>
      </c>
      <c r="H69" s="411">
        <v>112166</v>
      </c>
      <c r="I69" s="411">
        <v>117224</v>
      </c>
      <c r="J69" s="411">
        <v>117579</v>
      </c>
      <c r="K69" s="275">
        <v>127853</v>
      </c>
      <c r="L69" s="275">
        <f>120241+8806</f>
        <v>129047</v>
      </c>
      <c r="M69" s="275">
        <f>120241+8806</f>
        <v>129047</v>
      </c>
      <c r="N69" s="275">
        <v>129373</v>
      </c>
      <c r="O69" s="275">
        <v>129373</v>
      </c>
      <c r="P69" s="275">
        <v>130308</v>
      </c>
      <c r="Q69" s="275">
        <v>130308</v>
      </c>
      <c r="R69" s="275">
        <v>131072</v>
      </c>
    </row>
    <row r="70" spans="1:18" ht="14.5">
      <c r="A70" s="271"/>
      <c r="B70" s="272" t="s">
        <v>43</v>
      </c>
      <c r="C70" s="485">
        <f t="shared" ref="C70:L70" si="26">SUM(C60:C68)/C69-1</f>
        <v>5.3360665885904268E-8</v>
      </c>
      <c r="D70" s="485">
        <f t="shared" si="26"/>
        <v>2.5717384222190276E-8</v>
      </c>
      <c r="E70" s="485">
        <f t="shared" si="26"/>
        <v>2.0235620994402126E-6</v>
      </c>
      <c r="F70" s="485">
        <f t="shared" si="26"/>
        <v>3.8032071436600035E-6</v>
      </c>
      <c r="G70" s="485">
        <f t="shared" si="26"/>
        <v>9.3738527620068623E-6</v>
      </c>
      <c r="H70" s="485">
        <f t="shared" si="26"/>
        <v>1.0100418105960518E-3</v>
      </c>
      <c r="I70" s="485">
        <f t="shared" si="26"/>
        <v>-1.9632241072820023E-6</v>
      </c>
      <c r="J70" s="485">
        <f t="shared" si="26"/>
        <v>6.9227719468711868E-5</v>
      </c>
      <c r="K70" s="485">
        <f t="shared" si="26"/>
        <v>1.9071560031225232E-6</v>
      </c>
      <c r="L70" s="485">
        <f t="shared" si="26"/>
        <v>-9.3836273717951002E-7</v>
      </c>
      <c r="M70" s="485">
        <f t="shared" ref="M70:N70" si="27">SUM(M60:M68)/M69-1</f>
        <v>0</v>
      </c>
      <c r="N70" s="485">
        <f t="shared" si="27"/>
        <v>2.3104056414702256E-6</v>
      </c>
      <c r="O70" s="485">
        <v>0</v>
      </c>
      <c r="P70" s="485">
        <v>0</v>
      </c>
      <c r="Q70" s="485">
        <v>-4.6044755475094234E-7</v>
      </c>
      <c r="R70" s="485">
        <v>0</v>
      </c>
    </row>
    <row r="71" spans="1:18" s="171" customFormat="1" ht="15.5">
      <c r="A71" s="276"/>
      <c r="B71" s="164" t="s">
        <v>119</v>
      </c>
      <c r="C71" s="410" t="s">
        <v>91</v>
      </c>
      <c r="D71" s="410" t="str">
        <f t="shared" ref="D71:N71" si="28">+D$9</f>
        <v>2011-12 RF</v>
      </c>
      <c r="E71" s="410" t="str">
        <f t="shared" si="28"/>
        <v>2012-13 RF</v>
      </c>
      <c r="F71" s="410" t="str">
        <f t="shared" si="28"/>
        <v>2013-14 RF</v>
      </c>
      <c r="G71" s="410" t="str">
        <f t="shared" si="28"/>
        <v>2014-15 RF</v>
      </c>
      <c r="H71" s="410" t="str">
        <f t="shared" si="28"/>
        <v>2015-16 RF</v>
      </c>
      <c r="I71" s="410" t="str">
        <f t="shared" si="28"/>
        <v>2016-17 RF</v>
      </c>
      <c r="J71" s="410" t="str">
        <f t="shared" si="28"/>
        <v>2017-18 RF</v>
      </c>
      <c r="K71" s="410" t="str">
        <f t="shared" si="28"/>
        <v>2018-19 RF</v>
      </c>
      <c r="L71" s="410" t="str">
        <f t="shared" si="28"/>
        <v>2019-20 Month</v>
      </c>
      <c r="M71" s="410" t="str">
        <f t="shared" si="28"/>
        <v>2019-20 RF</v>
      </c>
      <c r="N71" s="410" t="str">
        <f t="shared" si="28"/>
        <v>2020-21 Month</v>
      </c>
      <c r="O71" s="3" t="s">
        <v>18</v>
      </c>
      <c r="P71" s="3" t="s">
        <v>19</v>
      </c>
      <c r="Q71" s="3" t="s">
        <v>20</v>
      </c>
      <c r="R71" s="3" t="s">
        <v>21</v>
      </c>
    </row>
    <row r="72" spans="1:18" ht="15.5">
      <c r="A72" s="269" t="s">
        <v>120</v>
      </c>
      <c r="B72" s="269" t="s">
        <v>121</v>
      </c>
      <c r="C72" s="482">
        <f>'P2'!D204</f>
        <v>23249.026969854498</v>
      </c>
      <c r="D72" s="482">
        <f>'P2'!E204</f>
        <v>16583.00273224042</v>
      </c>
      <c r="E72" s="482">
        <f>'P2'!F204</f>
        <v>17989.298630137171</v>
      </c>
      <c r="F72" s="482">
        <f>'P2'!G204</f>
        <v>15373.249315068566</v>
      </c>
      <c r="G72" s="482">
        <f>'P2'!H204</f>
        <v>14456.430136986299</v>
      </c>
      <c r="H72" s="482">
        <f>'P2'!I204</f>
        <v>14265.270491803311</v>
      </c>
      <c r="I72" s="482">
        <f>'P2'!J204</f>
        <v>14158.224657534218</v>
      </c>
      <c r="J72" s="482">
        <f>'P2'!K204</f>
        <v>19102.328767123323</v>
      </c>
      <c r="K72" s="482">
        <f>'P2'!L204</f>
        <v>18122.178082191804</v>
      </c>
      <c r="L72" s="482">
        <f>'P2'!M204</f>
        <v>17813.177595628462</v>
      </c>
      <c r="M72" s="482">
        <f>'P2'!N204</f>
        <v>17452.103825136688</v>
      </c>
      <c r="N72" s="482">
        <f>'P2'!O204</f>
        <v>17710.580000000002</v>
      </c>
      <c r="O72" s="482">
        <f>'P2'!P204</f>
        <v>17420</v>
      </c>
      <c r="P72" s="482">
        <f>'P2'!Q204</f>
        <v>18260.900000000001</v>
      </c>
      <c r="Q72" s="482">
        <f>'P2'!R204</f>
        <v>17989.336986301299</v>
      </c>
      <c r="R72" s="482">
        <f>'P2'!S204</f>
        <v>20634.613698630099</v>
      </c>
    </row>
    <row r="73" spans="1:18" ht="15.5">
      <c r="A73" s="269" t="s">
        <v>122</v>
      </c>
      <c r="B73" s="269" t="s">
        <v>95</v>
      </c>
      <c r="C73" s="483">
        <v>16153.04</v>
      </c>
      <c r="D73" s="483"/>
      <c r="E73" s="483"/>
      <c r="F73" s="483"/>
      <c r="G73" s="483"/>
      <c r="H73" s="483"/>
      <c r="I73" s="483"/>
      <c r="J73" s="483"/>
      <c r="K73" s="483"/>
      <c r="L73" s="483"/>
      <c r="M73" s="483"/>
      <c r="N73" s="483"/>
      <c r="O73" s="483"/>
      <c r="P73" s="483"/>
      <c r="Q73" s="483"/>
      <c r="R73" s="483"/>
    </row>
    <row r="74" spans="1:18" ht="15.5">
      <c r="A74" s="269" t="s">
        <v>123</v>
      </c>
      <c r="B74" s="269" t="s">
        <v>59</v>
      </c>
      <c r="C74" s="483">
        <v>4124.3232876712327</v>
      </c>
      <c r="D74" s="483">
        <v>4161.811475409836</v>
      </c>
      <c r="E74" s="483">
        <v>4216.4767123287675</v>
      </c>
      <c r="F74" s="483">
        <v>4081.6301369863013</v>
      </c>
      <c r="G74" s="483">
        <v>4030.0821917808221</v>
      </c>
      <c r="H74" s="483">
        <v>4045.0710382513662</v>
      </c>
      <c r="I74" s="483">
        <v>3793.4410958904109</v>
      </c>
      <c r="J74" s="483">
        <v>2832.4465753424656</v>
      </c>
      <c r="K74" s="483">
        <v>2894.8004109589042</v>
      </c>
      <c r="L74" s="483">
        <v>2815.3060109289618</v>
      </c>
      <c r="M74" s="483">
        <v>2905</v>
      </c>
      <c r="N74" s="483">
        <v>2733</v>
      </c>
      <c r="O74" s="483">
        <v>2829</v>
      </c>
      <c r="P74" s="483">
        <v>2811</v>
      </c>
      <c r="Q74" s="483">
        <v>2753.07</v>
      </c>
      <c r="R74" s="483">
        <v>2724.04</v>
      </c>
    </row>
    <row r="75" spans="1:18" ht="15.5">
      <c r="A75" s="269" t="s">
        <v>124</v>
      </c>
      <c r="B75" s="269" t="s">
        <v>98</v>
      </c>
      <c r="C75" s="483">
        <v>2612.6054794520533</v>
      </c>
      <c r="D75" s="483">
        <v>1257.6803278688531</v>
      </c>
      <c r="E75" s="483">
        <v>1002.2575342465752</v>
      </c>
      <c r="F75" s="483">
        <v>2223.0986301369849</v>
      </c>
      <c r="G75" s="483">
        <v>1717.4876712328769</v>
      </c>
      <c r="H75" s="483">
        <v>2419.4535519125675</v>
      </c>
      <c r="I75" s="483">
        <v>2192.1863013698639</v>
      </c>
      <c r="J75" s="483">
        <v>3113.0712328767113</v>
      </c>
      <c r="K75" s="483">
        <v>2313.0291780821935</v>
      </c>
      <c r="L75" s="483">
        <v>1906.6065573770502</v>
      </c>
      <c r="M75" s="483">
        <v>997.89617486331201</v>
      </c>
      <c r="N75" s="483">
        <f>751+26</f>
        <v>777</v>
      </c>
      <c r="O75" s="483">
        <v>838.06000000000131</v>
      </c>
      <c r="P75" s="483">
        <v>1868.0999999999985</v>
      </c>
      <c r="Q75" s="483">
        <f>19717-18012.34</f>
        <v>1704.6599999999999</v>
      </c>
      <c r="R75" s="483">
        <f>23167-20657.28</f>
        <v>2509.7200000000012</v>
      </c>
    </row>
    <row r="76" spans="1:18" ht="15.5">
      <c r="A76" s="269" t="s">
        <v>125</v>
      </c>
      <c r="B76" s="269" t="s">
        <v>56</v>
      </c>
      <c r="C76" s="483"/>
      <c r="D76" s="483"/>
      <c r="E76" s="483"/>
      <c r="F76" s="483"/>
      <c r="G76" s="483"/>
      <c r="H76" s="483"/>
      <c r="I76" s="483"/>
      <c r="J76" s="483">
        <v>-5391</v>
      </c>
      <c r="K76" s="483">
        <v>0</v>
      </c>
      <c r="L76" s="483"/>
      <c r="M76" s="483"/>
      <c r="N76" s="483"/>
      <c r="O76" s="483"/>
      <c r="P76" s="483"/>
      <c r="Q76" s="483"/>
      <c r="R76" s="483"/>
    </row>
    <row r="77" spans="1:18" ht="15.5">
      <c r="A77" s="269" t="s">
        <v>126</v>
      </c>
      <c r="B77" s="269" t="s">
        <v>101</v>
      </c>
      <c r="C77" s="483">
        <v>-3437</v>
      </c>
      <c r="D77" s="483">
        <v>-3227</v>
      </c>
      <c r="E77" s="483">
        <v>-3600</v>
      </c>
      <c r="F77" s="483">
        <v>-1216</v>
      </c>
      <c r="G77" s="483">
        <v>-902</v>
      </c>
      <c r="H77" s="483">
        <v>-2298</v>
      </c>
      <c r="I77" s="483">
        <v>-1692</v>
      </c>
      <c r="J77" s="483">
        <v>-1570</v>
      </c>
      <c r="K77" s="483">
        <v>-1685</v>
      </c>
      <c r="L77" s="483">
        <v>-1830</v>
      </c>
      <c r="M77" s="483">
        <v>-650</v>
      </c>
      <c r="N77" s="483">
        <v>-821</v>
      </c>
      <c r="O77" s="483">
        <v>-687.06000000000131</v>
      </c>
      <c r="P77" s="483">
        <v>-1796.9900000000016</v>
      </c>
      <c r="Q77" s="483">
        <f>18465+2720-Q72-Q74-Q75-42</f>
        <v>-1304.0669863012995</v>
      </c>
      <c r="R77" s="483">
        <f>21162+2742-R72-R74-R75-28</f>
        <v>-1992.3736986301001</v>
      </c>
    </row>
    <row r="78" spans="1:18" ht="14.5">
      <c r="A78" s="274" t="s">
        <v>127</v>
      </c>
      <c r="B78" s="275" t="s">
        <v>128</v>
      </c>
      <c r="C78" s="487">
        <v>42701</v>
      </c>
      <c r="D78" s="487">
        <v>18766</v>
      </c>
      <c r="E78" s="487">
        <v>19597</v>
      </c>
      <c r="F78" s="487">
        <v>20462</v>
      </c>
      <c r="G78" s="487">
        <v>19302</v>
      </c>
      <c r="H78" s="487">
        <v>18432</v>
      </c>
      <c r="I78" s="487">
        <v>18453</v>
      </c>
      <c r="J78" s="487">
        <v>18087</v>
      </c>
      <c r="K78" s="484">
        <v>21645</v>
      </c>
      <c r="L78" s="484">
        <f>17173+3532</f>
        <v>20705</v>
      </c>
      <c r="M78" s="484">
        <f>17173+3532</f>
        <v>20705</v>
      </c>
      <c r="N78" s="484">
        <v>20400</v>
      </c>
      <c r="O78" s="484">
        <v>20400</v>
      </c>
      <c r="P78" s="484">
        <f>17592+3551</f>
        <v>21143</v>
      </c>
      <c r="Q78" s="484">
        <f>17592+3551</f>
        <v>21143</v>
      </c>
      <c r="R78" s="484">
        <f>20371+3505</f>
        <v>23876</v>
      </c>
    </row>
    <row r="79" spans="1:18" ht="14.5">
      <c r="A79" s="271"/>
      <c r="B79" s="272" t="s">
        <v>43</v>
      </c>
      <c r="C79" s="485">
        <f>SUM(C72:C77)/C78-1</f>
        <v>2.3318821052997762E-5</v>
      </c>
      <c r="D79" s="485">
        <f t="shared" ref="D79:L79" si="29">SUM(D72:D77)/D78-1</f>
        <v>5.0594348924160037E-4</v>
      </c>
      <c r="E79" s="485">
        <f t="shared" si="29"/>
        <v>5.6298804472687536E-4</v>
      </c>
      <c r="F79" s="485">
        <f t="shared" si="29"/>
        <v>-1.0711469136115426E-6</v>
      </c>
      <c r="G79" s="485">
        <f t="shared" si="29"/>
        <v>0</v>
      </c>
      <c r="H79" s="485">
        <f t="shared" si="29"/>
        <v>-1.1117514797986949E-5</v>
      </c>
      <c r="I79" s="485">
        <f t="shared" si="29"/>
        <v>-6.2209137024149541E-5</v>
      </c>
      <c r="J79" s="485">
        <f t="shared" si="29"/>
        <v>-8.4825928843290654E-6</v>
      </c>
      <c r="K79" s="485">
        <f t="shared" si="29"/>
        <v>3.5441131451818819E-7</v>
      </c>
      <c r="L79" s="485">
        <f t="shared" si="29"/>
        <v>4.3546937682492626E-6</v>
      </c>
      <c r="M79" s="485">
        <f t="shared" ref="M79:N79" si="30">SUM(M72:M77)/M78-1</f>
        <v>0</v>
      </c>
      <c r="N79" s="485">
        <f t="shared" si="30"/>
        <v>-2.0588235294050072E-5</v>
      </c>
      <c r="O79" s="485">
        <f t="shared" ref="O79:P79" si="31">SUM(O72:O77)/O78-1</f>
        <v>0</v>
      </c>
      <c r="P79" s="485">
        <f t="shared" si="31"/>
        <v>4.7296977712107946E-7</v>
      </c>
      <c r="Q79" s="485">
        <f>SUM(Q72:Q77)/Q78-1</f>
        <v>0</v>
      </c>
      <c r="R79" s="485">
        <f>SUM(R72:R77)/R78-1</f>
        <v>0</v>
      </c>
    </row>
    <row r="80" spans="1:18" s="171" customFormat="1" ht="15.5">
      <c r="A80" s="276"/>
      <c r="B80" s="164" t="s">
        <v>129</v>
      </c>
      <c r="C80" s="410" t="s">
        <v>91</v>
      </c>
      <c r="D80" s="410" t="str">
        <f t="shared" ref="D80:N80" si="32">+D$9</f>
        <v>2011-12 RF</v>
      </c>
      <c r="E80" s="410" t="str">
        <f t="shared" si="32"/>
        <v>2012-13 RF</v>
      </c>
      <c r="F80" s="410" t="str">
        <f t="shared" si="32"/>
        <v>2013-14 RF</v>
      </c>
      <c r="G80" s="410" t="str">
        <f t="shared" si="32"/>
        <v>2014-15 RF</v>
      </c>
      <c r="H80" s="410" t="str">
        <f t="shared" si="32"/>
        <v>2015-16 RF</v>
      </c>
      <c r="I80" s="410" t="str">
        <f t="shared" si="32"/>
        <v>2016-17 RF</v>
      </c>
      <c r="J80" s="410" t="str">
        <f t="shared" si="32"/>
        <v>2017-18 RF</v>
      </c>
      <c r="K80" s="410" t="str">
        <f t="shared" si="32"/>
        <v>2018-19 RF</v>
      </c>
      <c r="L80" s="410" t="str">
        <f t="shared" si="32"/>
        <v>2019-20 Month</v>
      </c>
      <c r="M80" s="410" t="str">
        <f t="shared" si="32"/>
        <v>2019-20 RF</v>
      </c>
      <c r="N80" s="410" t="str">
        <f t="shared" si="32"/>
        <v>2020-21 Month</v>
      </c>
      <c r="O80" s="3" t="s">
        <v>18</v>
      </c>
      <c r="P80" s="3" t="s">
        <v>19</v>
      </c>
      <c r="Q80" s="3" t="s">
        <v>20</v>
      </c>
      <c r="R80" s="3" t="s">
        <v>21</v>
      </c>
    </row>
    <row r="81" spans="1:19" ht="15.5">
      <c r="A81" s="269" t="s">
        <v>130</v>
      </c>
      <c r="B81" s="269" t="s">
        <v>131</v>
      </c>
      <c r="C81" s="482">
        <f>'P2'!D258</f>
        <v>75802.222931432567</v>
      </c>
      <c r="D81" s="482">
        <f>'P2'!E258</f>
        <v>85862.625683060134</v>
      </c>
      <c r="E81" s="482">
        <f>'P2'!F258</f>
        <v>87678.147945204822</v>
      </c>
      <c r="F81" s="482">
        <f>'P2'!G258</f>
        <v>88630.465753424302</v>
      </c>
      <c r="G81" s="482">
        <f>'P2'!H258</f>
        <v>89366.145205480876</v>
      </c>
      <c r="H81" s="482">
        <f>'P2'!I258</f>
        <v>91115.68579235005</v>
      </c>
      <c r="I81" s="482">
        <f>'P2'!J258</f>
        <v>93131.750684933708</v>
      </c>
      <c r="J81" s="482">
        <f>'P2'!K258</f>
        <v>103720.95342465925</v>
      </c>
      <c r="K81" s="482">
        <f>'P2'!L258</f>
        <v>104567.15890411132</v>
      </c>
      <c r="L81" s="482">
        <f>'P2'!M258</f>
        <v>105865.91256830508</v>
      </c>
      <c r="M81" s="482">
        <f>'P2'!N258</f>
        <v>106081.44535519423</v>
      </c>
      <c r="N81" s="482">
        <f>'P2'!O258</f>
        <v>106563.31232876259</v>
      </c>
      <c r="O81" s="482">
        <f>'P2'!P258</f>
        <v>106896.1561643835</v>
      </c>
      <c r="P81" s="482">
        <f>'P2'!Q258</f>
        <v>108034.5726027349</v>
      </c>
      <c r="Q81" s="482">
        <f>'P2'!R258</f>
        <v>107771.4767123276</v>
      </c>
      <c r="R81" s="482">
        <f>'P2'!S258</f>
        <v>108814.84657533198</v>
      </c>
    </row>
    <row r="82" spans="1:19" ht="15.5">
      <c r="A82" s="269" t="s">
        <v>132</v>
      </c>
      <c r="B82" s="269" t="s">
        <v>95</v>
      </c>
      <c r="C82" s="483">
        <v>-18063.834999999999</v>
      </c>
      <c r="D82" s="483"/>
      <c r="E82" s="483"/>
      <c r="F82" s="483"/>
      <c r="G82" s="483"/>
      <c r="H82" s="483"/>
      <c r="I82" s="483"/>
      <c r="J82" s="483"/>
      <c r="K82" s="483"/>
      <c r="L82" s="483"/>
      <c r="M82" s="483"/>
      <c r="N82" s="483"/>
      <c r="O82" s="483"/>
      <c r="P82" s="483"/>
      <c r="Q82" s="483"/>
      <c r="R82" s="483"/>
    </row>
    <row r="83" spans="1:19" ht="15.5">
      <c r="A83" s="269" t="s">
        <v>133</v>
      </c>
      <c r="B83" s="269" t="s">
        <v>109</v>
      </c>
      <c r="C83" s="483">
        <v>1570.8630136986289</v>
      </c>
      <c r="D83" s="483">
        <v>1514.0765027322411</v>
      </c>
      <c r="E83" s="483">
        <v>939.43561643835585</v>
      </c>
      <c r="F83" s="483">
        <v>982.35890410958905</v>
      </c>
      <c r="G83" s="483">
        <v>996.61369863013704</v>
      </c>
      <c r="H83" s="483">
        <v>1043.5218579234968</v>
      </c>
      <c r="I83" s="483">
        <v>1049.2931506849311</v>
      </c>
      <c r="J83" s="483">
        <v>1088.2383561643826</v>
      </c>
      <c r="K83" s="483">
        <v>1090.6931506849323</v>
      </c>
      <c r="L83" s="483">
        <v>1061</v>
      </c>
      <c r="M83" s="483">
        <v>1096.98</v>
      </c>
      <c r="N83" s="483">
        <v>1054.42</v>
      </c>
      <c r="O83" s="483">
        <v>1245</v>
      </c>
      <c r="P83" s="483">
        <v>1039.98</v>
      </c>
      <c r="Q83" s="483">
        <v>1223.1099999999999</v>
      </c>
      <c r="R83" s="483">
        <v>1042.25</v>
      </c>
    </row>
    <row r="84" spans="1:19" ht="15.5">
      <c r="A84" s="269" t="s">
        <v>134</v>
      </c>
      <c r="B84" s="269" t="s">
        <v>61</v>
      </c>
      <c r="C84" s="483">
        <v>537.35342465753422</v>
      </c>
      <c r="D84" s="483">
        <v>357.46174863387989</v>
      </c>
      <c r="E84" s="483">
        <v>283.55890410958898</v>
      </c>
      <c r="F84" s="483">
        <v>359.86301369862997</v>
      </c>
      <c r="G84" s="483">
        <v>356.94246575342476</v>
      </c>
      <c r="H84" s="483">
        <v>397.27595628416299</v>
      </c>
      <c r="I84" s="483">
        <v>494.49589041095896</v>
      </c>
      <c r="J84" s="483">
        <v>494.63013698630084</v>
      </c>
      <c r="K84" s="483">
        <v>360.02191780821914</v>
      </c>
      <c r="L84" s="483">
        <v>298.89999999999998</v>
      </c>
      <c r="M84" s="483">
        <v>286.95999999999998</v>
      </c>
      <c r="N84" s="488">
        <v>1122</v>
      </c>
      <c r="O84" s="488">
        <v>291</v>
      </c>
      <c r="P84" s="488">
        <v>448</v>
      </c>
      <c r="Q84" s="488">
        <v>200.797260273972</v>
      </c>
      <c r="R84" s="488">
        <v>202.15068493150599</v>
      </c>
    </row>
    <row r="85" spans="1:19" ht="15.5">
      <c r="A85" s="269" t="s">
        <v>135</v>
      </c>
      <c r="B85" s="269" t="s">
        <v>59</v>
      </c>
      <c r="C85" s="483">
        <v>1259.7287671232878</v>
      </c>
      <c r="D85" s="483">
        <v>1354.6967213114751</v>
      </c>
      <c r="E85" s="483">
        <v>1434.9315068493149</v>
      </c>
      <c r="F85" s="483">
        <v>1480.1780821917826</v>
      </c>
      <c r="G85" s="483">
        <v>1508.2876712328766</v>
      </c>
      <c r="H85" s="483">
        <v>2476.0437158469949</v>
      </c>
      <c r="I85" s="483">
        <v>2790.0547945205462</v>
      </c>
      <c r="J85" s="483">
        <v>2550.8356164383536</v>
      </c>
      <c r="K85" s="483">
        <v>2743.6849315068521</v>
      </c>
      <c r="L85" s="483">
        <v>2560</v>
      </c>
      <c r="M85" s="483">
        <v>2777.05</v>
      </c>
      <c r="N85" s="483">
        <v>2645.95</v>
      </c>
      <c r="O85" s="483">
        <v>2808.75</v>
      </c>
      <c r="P85" s="483">
        <v>2599</v>
      </c>
      <c r="Q85" s="483">
        <v>2531.79</v>
      </c>
      <c r="R85" s="483">
        <v>2527.4299999999998</v>
      </c>
    </row>
    <row r="86" spans="1:19" ht="15.5">
      <c r="A86" s="269" t="s">
        <v>136</v>
      </c>
      <c r="B86" s="269" t="s">
        <v>80</v>
      </c>
      <c r="C86" s="483">
        <v>13</v>
      </c>
      <c r="D86" s="483">
        <v>13.008196721311474</v>
      </c>
      <c r="E86" s="483">
        <v>12.394520547945206</v>
      </c>
      <c r="F86" s="483">
        <v>12.567123287671233</v>
      </c>
      <c r="G86" s="483">
        <v>12</v>
      </c>
      <c r="H86" s="483">
        <v>12.661202185792352</v>
      </c>
      <c r="I86" s="483">
        <v>14.175342465753424</v>
      </c>
      <c r="J86" s="483">
        <v>14.175342465753426</v>
      </c>
      <c r="K86" s="483">
        <v>13.926027397260274</v>
      </c>
      <c r="L86" s="483">
        <v>14.538251366120218</v>
      </c>
      <c r="M86" s="483">
        <v>13.5</v>
      </c>
      <c r="N86" s="483">
        <v>13.42</v>
      </c>
      <c r="O86" s="483">
        <v>18.34</v>
      </c>
      <c r="P86" s="483">
        <v>13.78</v>
      </c>
      <c r="Q86" s="483">
        <v>11.79</v>
      </c>
      <c r="R86" s="483">
        <v>1.76</v>
      </c>
    </row>
    <row r="87" spans="1:19" ht="15.5">
      <c r="A87" s="269" t="s">
        <v>137</v>
      </c>
      <c r="B87" s="269" t="s">
        <v>114</v>
      </c>
      <c r="C87" s="483">
        <v>-2780.4739726027474</v>
      </c>
      <c r="D87" s="483">
        <v>-2507.8661202185613</v>
      </c>
      <c r="E87" s="483">
        <v>-2676.2493150684895</v>
      </c>
      <c r="F87" s="483">
        <v>87.550684931498836</v>
      </c>
      <c r="G87" s="483">
        <v>969.78904109589348</v>
      </c>
      <c r="H87" s="483">
        <v>1247.8360655737633</v>
      </c>
      <c r="I87" s="483">
        <v>480.24931506848952</v>
      </c>
      <c r="J87" s="483">
        <v>1805.4082191780908</v>
      </c>
      <c r="K87" s="483">
        <v>-133.98630136986321</v>
      </c>
      <c r="L87" s="483">
        <v>-3754</v>
      </c>
      <c r="M87" s="483">
        <v>-2816.4453551942302</v>
      </c>
      <c r="N87" s="483">
        <v>-4714</v>
      </c>
      <c r="O87" s="483">
        <v>-4914.2461643835013</v>
      </c>
      <c r="P87" s="483">
        <v>-4392.3326027349003</v>
      </c>
      <c r="Q87" s="483">
        <f>107610-Q81-Q83-Q84-Q85-Q86</f>
        <v>-4128.9639726015675</v>
      </c>
      <c r="R87" s="483">
        <f>107913-R81-R83-R84-R85-R86+111</f>
        <v>-4564.4372602634821</v>
      </c>
      <c r="S87" s="181"/>
    </row>
    <row r="88" spans="1:19" ht="15.5">
      <c r="A88" s="269" t="s">
        <v>138</v>
      </c>
      <c r="B88" s="269" t="s">
        <v>56</v>
      </c>
      <c r="C88" s="483"/>
      <c r="D88" s="483"/>
      <c r="E88" s="483"/>
      <c r="F88" s="483"/>
      <c r="G88" s="483"/>
      <c r="H88" s="483"/>
      <c r="I88" s="483"/>
      <c r="J88" s="483">
        <v>-10820</v>
      </c>
      <c r="K88" s="483">
        <v>0</v>
      </c>
      <c r="L88" s="483"/>
      <c r="M88" s="483"/>
      <c r="N88" s="483"/>
      <c r="O88" s="483"/>
      <c r="P88" s="483"/>
      <c r="Q88" s="483"/>
      <c r="R88" s="483"/>
    </row>
    <row r="89" spans="1:19" ht="15.5">
      <c r="A89" s="269" t="s">
        <v>139</v>
      </c>
      <c r="B89" s="269" t="s">
        <v>101</v>
      </c>
      <c r="C89" s="483">
        <v>-1594</v>
      </c>
      <c r="D89" s="483">
        <v>-2893</v>
      </c>
      <c r="E89" s="483">
        <v>-1637</v>
      </c>
      <c r="F89" s="483">
        <v>-4125</v>
      </c>
      <c r="G89" s="483">
        <v>-5592</v>
      </c>
      <c r="H89" s="483">
        <v>-6649</v>
      </c>
      <c r="I89" s="483">
        <v>-3838</v>
      </c>
      <c r="J89" s="483">
        <v>-4319</v>
      </c>
      <c r="K89" s="483">
        <v>-5096</v>
      </c>
      <c r="L89" s="483">
        <v>-1298</v>
      </c>
      <c r="M89" s="483">
        <v>-2691</v>
      </c>
      <c r="N89" s="483">
        <v>-1048</v>
      </c>
      <c r="O89" s="483">
        <v>-706</v>
      </c>
      <c r="P89" s="483">
        <v>-1338</v>
      </c>
      <c r="Q89" s="483">
        <f>103721-104626</f>
        <v>-905</v>
      </c>
      <c r="R89" s="483">
        <f>104177-105218</f>
        <v>-1041</v>
      </c>
    </row>
    <row r="90" spans="1:19" ht="14.5">
      <c r="A90" s="274" t="s">
        <v>140</v>
      </c>
      <c r="B90" s="275" t="s">
        <v>141</v>
      </c>
      <c r="C90" s="411">
        <v>56747</v>
      </c>
      <c r="D90" s="411">
        <v>83701</v>
      </c>
      <c r="E90" s="411">
        <v>86035</v>
      </c>
      <c r="F90" s="411">
        <v>87428</v>
      </c>
      <c r="G90" s="411">
        <v>87617</v>
      </c>
      <c r="H90" s="411">
        <v>89559</v>
      </c>
      <c r="I90" s="411">
        <v>94122</v>
      </c>
      <c r="J90" s="411">
        <v>94524</v>
      </c>
      <c r="K90" s="275">
        <v>103545</v>
      </c>
      <c r="L90" s="275">
        <f>96890+7858</f>
        <v>104748</v>
      </c>
      <c r="M90" s="275">
        <f>96890+7858</f>
        <v>104748</v>
      </c>
      <c r="N90" s="275">
        <v>105639</v>
      </c>
      <c r="O90" s="275">
        <v>105639</v>
      </c>
      <c r="P90" s="275">
        <f>97946+8459</f>
        <v>106405</v>
      </c>
      <c r="Q90" s="275">
        <f>97946+8459</f>
        <v>106405</v>
      </c>
      <c r="R90" s="275">
        <f>98521+8462</f>
        <v>106983</v>
      </c>
    </row>
    <row r="91" spans="1:19" ht="14.5">
      <c r="A91" s="277"/>
      <c r="B91" s="278" t="s">
        <v>43</v>
      </c>
      <c r="C91" s="489">
        <f t="shared" ref="C91:L91" si="33">SUM(C81:C89)/C90-1</f>
        <v>-3.7725971253621537E-5</v>
      </c>
      <c r="D91" s="489">
        <f t="shared" si="33"/>
        <v>3.2642865299692403E-8</v>
      </c>
      <c r="E91" s="489">
        <f t="shared" si="33"/>
        <v>2.547545551623287E-6</v>
      </c>
      <c r="F91" s="489">
        <f t="shared" si="33"/>
        <v>-1.8802164669651233E-7</v>
      </c>
      <c r="G91" s="489">
        <f t="shared" si="33"/>
        <v>8.8804934339492547E-6</v>
      </c>
      <c r="H91" s="489">
        <f t="shared" si="33"/>
        <v>9.4936957943092537E-4</v>
      </c>
      <c r="I91" s="489">
        <f t="shared" si="33"/>
        <v>2.0375772269431991E-7</v>
      </c>
      <c r="J91" s="489">
        <f t="shared" si="33"/>
        <v>1.1892319296835652E-4</v>
      </c>
      <c r="K91" s="489">
        <f t="shared" si="33"/>
        <v>4.8155887655276786E-6</v>
      </c>
      <c r="L91" s="489">
        <f t="shared" si="33"/>
        <v>3.3491777522431931E-6</v>
      </c>
      <c r="M91" s="489">
        <f t="shared" ref="M91:N91" si="34">SUM(M81:M89)/M90-1</f>
        <v>4.6778936113600622E-6</v>
      </c>
      <c r="N91" s="489">
        <f t="shared" si="34"/>
        <v>-1.7963737231618815E-5</v>
      </c>
      <c r="O91" s="489">
        <f t="shared" ref="O91:P91" si="35">SUM(O81:O89)/O90-1</f>
        <v>0</v>
      </c>
      <c r="P91" s="489">
        <f t="shared" si="35"/>
        <v>0</v>
      </c>
      <c r="Q91" s="489">
        <f>SUM(Q81:Q89)/Q90-1</f>
        <v>2.81941638080907E-3</v>
      </c>
      <c r="R91" s="489">
        <f>SUM(R81:R89)/R90-1</f>
        <v>0</v>
      </c>
    </row>
    <row r="92" spans="1:19" ht="14.5">
      <c r="B92" s="279"/>
      <c r="C92" s="388"/>
      <c r="D92" s="388"/>
      <c r="E92" s="388"/>
      <c r="F92" s="388"/>
      <c r="G92" s="388"/>
      <c r="H92" s="388"/>
      <c r="I92" s="388"/>
      <c r="J92" s="388"/>
      <c r="K92" s="389"/>
      <c r="L92" s="389"/>
      <c r="M92" s="389"/>
      <c r="N92" s="389"/>
      <c r="O92" s="389"/>
      <c r="P92" s="389"/>
      <c r="Q92" s="280"/>
      <c r="R92" s="280"/>
    </row>
    <row r="93" spans="1:19" ht="14.5">
      <c r="B93" s="279"/>
      <c r="C93" s="388"/>
      <c r="D93" s="388"/>
      <c r="E93" s="388"/>
      <c r="F93" s="388"/>
      <c r="G93" s="388"/>
      <c r="H93" s="388"/>
      <c r="I93" s="388"/>
      <c r="J93" s="388"/>
      <c r="K93" s="390"/>
      <c r="L93" s="395"/>
      <c r="M93" s="390"/>
      <c r="N93" s="390"/>
      <c r="O93" s="390"/>
      <c r="P93" s="390"/>
      <c r="Q93" s="281"/>
      <c r="R93" s="281"/>
    </row>
    <row r="94" spans="1:19" ht="14.5">
      <c r="B94" s="279"/>
      <c r="C94" s="388"/>
      <c r="D94" s="388"/>
      <c r="E94" s="388"/>
      <c r="F94" s="388"/>
      <c r="G94" s="388"/>
      <c r="H94" s="388"/>
      <c r="I94" s="388"/>
      <c r="J94" s="388"/>
      <c r="K94" s="391"/>
      <c r="L94" s="391"/>
      <c r="M94" s="391"/>
      <c r="N94" s="391"/>
      <c r="O94" s="391"/>
      <c r="P94" s="391"/>
      <c r="Q94" s="279"/>
      <c r="R94" s="279"/>
    </row>
    <row r="95" spans="1:19" ht="14.5">
      <c r="B95" s="279"/>
      <c r="C95" s="391"/>
      <c r="D95" s="391"/>
      <c r="E95" s="391"/>
      <c r="F95" s="391"/>
      <c r="G95" s="392"/>
      <c r="H95" s="392"/>
      <c r="I95" s="392"/>
      <c r="J95" s="392"/>
      <c r="L95" s="396"/>
    </row>
    <row r="96" spans="1:19">
      <c r="B96" s="459"/>
      <c r="C96" s="460"/>
      <c r="D96" s="460"/>
      <c r="E96" s="461"/>
      <c r="F96" s="461"/>
      <c r="G96" s="462"/>
    </row>
    <row r="97" spans="2:10">
      <c r="B97" s="463" t="s">
        <v>142</v>
      </c>
      <c r="C97" s="464"/>
      <c r="D97" s="464"/>
      <c r="E97" s="465"/>
      <c r="G97" s="466"/>
    </row>
    <row r="98" spans="2:10" ht="14.5">
      <c r="B98" s="455"/>
      <c r="C98" s="464"/>
      <c r="D98" s="464"/>
      <c r="E98" s="467"/>
      <c r="G98" s="466"/>
      <c r="J98" s="429"/>
    </row>
    <row r="99" spans="2:10">
      <c r="B99" s="463" t="s">
        <v>143</v>
      </c>
      <c r="C99" s="464"/>
      <c r="D99" s="464"/>
      <c r="E99" s="465"/>
      <c r="G99" s="466"/>
    </row>
    <row r="100" spans="2:10">
      <c r="B100" s="468"/>
      <c r="C100" s="464"/>
      <c r="D100" s="464"/>
      <c r="E100" s="467"/>
      <c r="G100" s="466"/>
      <c r="I100" s="393"/>
    </row>
    <row r="101" spans="2:10">
      <c r="B101" s="463" t="s">
        <v>144</v>
      </c>
      <c r="C101" s="464"/>
      <c r="D101" s="464"/>
      <c r="E101" s="465" t="s">
        <v>145</v>
      </c>
      <c r="G101" s="469"/>
      <c r="I101" s="393"/>
    </row>
    <row r="102" spans="2:10" ht="14.5" thickBot="1">
      <c r="B102" s="470"/>
      <c r="C102" s="471"/>
      <c r="D102" s="471"/>
      <c r="E102" s="472"/>
      <c r="F102" s="472"/>
      <c r="G102" s="473"/>
      <c r="I102" s="393"/>
    </row>
    <row r="103" spans="2:10">
      <c r="B103" s="429"/>
    </row>
  </sheetData>
  <pageMargins left="0.7" right="0.7" top="0.75" bottom="0.75" header="0.3" footer="0.3"/>
  <pageSetup paperSize="8" scale="48" fitToHeight="0" orientation="landscape" r:id="rId1"/>
  <headerFooter>
    <oddFooter>&amp;L&amp;1#&amp;"Arial"&amp;11&amp;K000000SW Internal Commercial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X513"/>
  <sheetViews>
    <sheetView zoomScaleNormal="100" workbookViewId="0">
      <selection sqref="A1:XFD1048576"/>
    </sheetView>
  </sheetViews>
  <sheetFormatPr defaultColWidth="9.1796875" defaultRowHeight="15.5"/>
  <cols>
    <col min="1" max="1" width="9.54296875" style="180" customWidth="1"/>
    <col min="2" max="2" width="104.81640625" style="171" customWidth="1"/>
    <col min="3" max="3" width="15.1796875" style="171" customWidth="1"/>
    <col min="4" max="4" width="18.54296875" style="400" customWidth="1"/>
    <col min="5" max="7" width="17.54296875" style="400" customWidth="1"/>
    <col min="8" max="8" width="18" style="400" customWidth="1"/>
    <col min="9" max="11" width="19.54296875" style="400" customWidth="1"/>
    <col min="12" max="12" width="18.1796875" style="400" customWidth="1"/>
    <col min="13" max="17" width="22.453125" style="400" customWidth="1"/>
    <col min="18" max="19" width="22.453125" style="7" customWidth="1"/>
    <col min="20" max="20" width="19.453125" customWidth="1"/>
    <col min="21" max="21" width="22.81640625" style="25" customWidth="1"/>
  </cols>
  <sheetData>
    <row r="1" spans="1:50" ht="20">
      <c r="A1" s="182" t="s">
        <v>0</v>
      </c>
      <c r="B1" s="56"/>
    </row>
    <row r="2" spans="1:50" ht="20">
      <c r="A2" s="310"/>
      <c r="B2" s="310"/>
    </row>
    <row r="3" spans="1:50" ht="20">
      <c r="A3" s="311" t="s">
        <v>1</v>
      </c>
      <c r="B3" s="58"/>
    </row>
    <row r="4" spans="1:50" ht="15.65" customHeight="1">
      <c r="A4" s="182"/>
      <c r="B4" s="56"/>
    </row>
    <row r="5" spans="1:50" ht="15.65" customHeight="1">
      <c r="A5" s="182"/>
      <c r="B5" s="56"/>
    </row>
    <row r="6" spans="1:50" ht="20">
      <c r="A6" s="183" t="s">
        <v>2</v>
      </c>
      <c r="B6" s="161"/>
    </row>
    <row r="7" spans="1:50" ht="20">
      <c r="A7" s="184" t="s">
        <v>146</v>
      </c>
      <c r="B7" s="162"/>
    </row>
    <row r="8" spans="1:50" ht="21" customHeight="1">
      <c r="B8" s="172"/>
      <c r="G8" s="399"/>
      <c r="H8" s="399"/>
      <c r="I8" s="399"/>
      <c r="J8" s="399"/>
      <c r="K8" s="399"/>
    </row>
    <row r="9" spans="1:50">
      <c r="A9" s="313" t="s">
        <v>147</v>
      </c>
      <c r="B9" s="173"/>
      <c r="T9" s="7"/>
      <c r="U9" s="171"/>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row>
    <row r="10" spans="1:50">
      <c r="A10" s="185" t="s">
        <v>148</v>
      </c>
      <c r="T10" s="7"/>
      <c r="U10" s="171"/>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row>
    <row r="11" spans="1:50">
      <c r="A11" s="185" t="s">
        <v>149</v>
      </c>
      <c r="T11" s="7"/>
      <c r="U11" s="171"/>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row>
    <row r="12" spans="1:50">
      <c r="A12" s="185" t="s">
        <v>150</v>
      </c>
      <c r="T12" s="7"/>
      <c r="U12" s="171"/>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row>
    <row r="13" spans="1:50">
      <c r="A13" s="185"/>
      <c r="L13" s="401"/>
      <c r="M13" s="401"/>
      <c r="N13" s="401"/>
      <c r="O13" s="401"/>
      <c r="P13" s="401"/>
      <c r="Q13" s="401"/>
      <c r="R13" s="372"/>
      <c r="S13" s="372"/>
      <c r="T13" s="7"/>
      <c r="U13" s="171"/>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row>
    <row r="14" spans="1:50">
      <c r="A14" s="166" t="s">
        <v>4</v>
      </c>
      <c r="B14" s="3" t="s">
        <v>151</v>
      </c>
      <c r="C14" s="26" t="s">
        <v>152</v>
      </c>
      <c r="D14" s="26" t="s">
        <v>6</v>
      </c>
      <c r="E14" s="26" t="s">
        <v>7</v>
      </c>
      <c r="F14" s="26" t="s">
        <v>8</v>
      </c>
      <c r="G14" s="26" t="s">
        <v>9</v>
      </c>
      <c r="H14" s="26" t="s">
        <v>10</v>
      </c>
      <c r="I14" s="26" t="s">
        <v>11</v>
      </c>
      <c r="J14" s="26" t="s">
        <v>12</v>
      </c>
      <c r="K14" s="26" t="s">
        <v>13</v>
      </c>
      <c r="L14" s="26" t="s">
        <v>14</v>
      </c>
      <c r="M14" s="26" t="s">
        <v>153</v>
      </c>
      <c r="N14" s="26" t="s">
        <v>16</v>
      </c>
      <c r="O14" s="26" t="s">
        <v>154</v>
      </c>
      <c r="P14" s="26" t="s">
        <v>18</v>
      </c>
      <c r="Q14" s="26" t="s">
        <v>155</v>
      </c>
      <c r="R14" s="26" t="s">
        <v>20</v>
      </c>
      <c r="S14" s="26" t="s">
        <v>156</v>
      </c>
      <c r="T14" s="7"/>
      <c r="U14" s="3" t="s">
        <v>157</v>
      </c>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row>
    <row r="15" spans="1:50">
      <c r="A15" s="373" t="s">
        <v>158</v>
      </c>
      <c r="B15" s="174" t="s">
        <v>159</v>
      </c>
      <c r="C15" s="289" t="s">
        <v>160</v>
      </c>
      <c r="D15" s="6">
        <f>D95</f>
        <v>8768270.2433671914</v>
      </c>
      <c r="E15" s="6">
        <f t="shared" ref="E15:K15" si="0">E95</f>
        <v>6721417.6379705742</v>
      </c>
      <c r="F15" s="6">
        <f t="shared" si="0"/>
        <v>6527643.454371755</v>
      </c>
      <c r="G15" s="6">
        <f t="shared" si="0"/>
        <v>6660884.746042232</v>
      </c>
      <c r="H15" s="6">
        <f t="shared" si="0"/>
        <v>5102463.4337803591</v>
      </c>
      <c r="I15" s="6">
        <f t="shared" si="0"/>
        <v>4777127.4348230185</v>
      </c>
      <c r="J15" s="6">
        <f t="shared" si="0"/>
        <v>4752816.950641905</v>
      </c>
      <c r="K15" s="6">
        <f t="shared" si="0"/>
        <v>5087467.3364602877</v>
      </c>
      <c r="L15" s="6">
        <f>L95</f>
        <v>4999335.1472363248</v>
      </c>
      <c r="M15" s="6">
        <f>M95</f>
        <v>4965248.6358652664</v>
      </c>
      <c r="N15" s="6">
        <f>N95</f>
        <v>4998397.8904249324</v>
      </c>
      <c r="O15" s="6">
        <f>O95</f>
        <v>5301913.036909339</v>
      </c>
      <c r="P15" s="6">
        <f t="shared" ref="P15:Q15" si="1">P95</f>
        <v>4847362.9712270107</v>
      </c>
      <c r="Q15" s="6">
        <f t="shared" si="1"/>
        <v>5074007.3119000001</v>
      </c>
      <c r="R15" s="6">
        <f>R95</f>
        <v>4962847.1137376204</v>
      </c>
      <c r="S15" s="6">
        <f t="shared" ref="S15" si="2">S95</f>
        <v>5661528.4371379931</v>
      </c>
      <c r="T15" s="46"/>
      <c r="U15" s="374" t="s">
        <v>161</v>
      </c>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row>
    <row r="16" spans="1:50">
      <c r="A16" s="373" t="s">
        <v>162</v>
      </c>
      <c r="B16" s="174" t="s">
        <v>163</v>
      </c>
      <c r="C16" s="289" t="s">
        <v>160</v>
      </c>
      <c r="D16" s="6">
        <f>D185</f>
        <v>102918566.09455004</v>
      </c>
      <c r="E16" s="6">
        <f t="shared" ref="E16:K16" si="3">E185</f>
        <v>99088427.910657302</v>
      </c>
      <c r="F16" s="6">
        <f t="shared" si="3"/>
        <v>99658055.270709664</v>
      </c>
      <c r="G16" s="6">
        <f t="shared" si="3"/>
        <v>99754828.401444778</v>
      </c>
      <c r="H16" s="6">
        <f t="shared" si="3"/>
        <v>98879769.937277526</v>
      </c>
      <c r="I16" s="6">
        <f t="shared" si="3"/>
        <v>98822280.509132385</v>
      </c>
      <c r="J16" s="6">
        <f t="shared" si="3"/>
        <v>96835303.823644295</v>
      </c>
      <c r="K16" s="6">
        <f t="shared" si="3"/>
        <v>99245590.675502703</v>
      </c>
      <c r="L16" s="6">
        <f>L185</f>
        <v>101300730.88855398</v>
      </c>
      <c r="M16" s="6">
        <f>M185</f>
        <v>102558613.93567856</v>
      </c>
      <c r="N16" s="6">
        <f>N185</f>
        <v>100379409.24302654</v>
      </c>
      <c r="O16" s="6">
        <f>O185</f>
        <v>94004690.691781551</v>
      </c>
      <c r="P16" s="6">
        <f t="shared" ref="P16:Q16" si="4">P185</f>
        <v>93089272.265600011</v>
      </c>
      <c r="Q16" s="6">
        <f t="shared" si="4"/>
        <v>101274159.33399999</v>
      </c>
      <c r="R16" s="6">
        <f t="shared" ref="R16:S16" si="5">R185</f>
        <v>102252829.35979114</v>
      </c>
      <c r="S16" s="6">
        <f t="shared" si="5"/>
        <v>109873271.02808045</v>
      </c>
      <c r="T16" s="46"/>
      <c r="U16" s="171" t="s">
        <v>164</v>
      </c>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row>
    <row r="17" spans="1:50">
      <c r="A17" s="373" t="s">
        <v>165</v>
      </c>
      <c r="B17" s="174" t="str">
        <f>"Revenue from " &amp; LOWER(B197)</f>
        <v>Revenue from foul sewerage assessed charges</v>
      </c>
      <c r="C17" s="289" t="s">
        <v>160</v>
      </c>
      <c r="D17" s="6">
        <f>D237</f>
        <v>10810171.121471571</v>
      </c>
      <c r="E17" s="6">
        <f t="shared" ref="E17:K17" si="6">E237</f>
        <v>7976751.3919134019</v>
      </c>
      <c r="F17" s="6">
        <f t="shared" si="6"/>
        <v>7082262.2155132722</v>
      </c>
      <c r="G17" s="6">
        <f t="shared" si="6"/>
        <v>5194858.3932684315</v>
      </c>
      <c r="H17" s="6">
        <f t="shared" si="6"/>
        <v>4401584.9218012309</v>
      </c>
      <c r="I17" s="6">
        <f t="shared" si="6"/>
        <v>4270407.4126609834</v>
      </c>
      <c r="J17" s="6">
        <f t="shared" si="6"/>
        <v>4213926.7573150769</v>
      </c>
      <c r="K17" s="6">
        <f t="shared" si="6"/>
        <v>4409080.1929551428</v>
      </c>
      <c r="L17" s="6">
        <f>L237</f>
        <v>4314500.8437454533</v>
      </c>
      <c r="M17" s="6">
        <f>M237</f>
        <v>4290860.4650046891</v>
      </c>
      <c r="N17" s="6">
        <f>N237</f>
        <v>4265163.4143897258</v>
      </c>
      <c r="O17" s="6">
        <f>O237</f>
        <v>4142624.583700004</v>
      </c>
      <c r="P17" s="6">
        <f t="shared" ref="P17:Q17" si="7">P237</f>
        <v>4109054.1687000003</v>
      </c>
      <c r="Q17" s="6">
        <f t="shared" si="7"/>
        <v>4263850.8579000002</v>
      </c>
      <c r="R17" s="6">
        <f t="shared" ref="R17:S17" si="8">R237</f>
        <v>4167534.6329616741</v>
      </c>
      <c r="S17" s="6">
        <f t="shared" si="8"/>
        <v>4651827.1074305633</v>
      </c>
      <c r="T17" s="46"/>
      <c r="U17" s="171" t="s">
        <v>166</v>
      </c>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row>
    <row r="18" spans="1:50">
      <c r="A18" s="373" t="s">
        <v>167</v>
      </c>
      <c r="B18" s="174" t="str">
        <f>"Revenue from " &amp; LOWER(B249)</f>
        <v>Revenue from foul sewerage measured charges</v>
      </c>
      <c r="C18" s="289" t="s">
        <v>160</v>
      </c>
      <c r="D18" s="6">
        <f>D293</f>
        <v>66121772.093944125</v>
      </c>
      <c r="E18" s="6">
        <f t="shared" ref="E18:K18" si="9">E293</f>
        <v>53859998.842002891</v>
      </c>
      <c r="F18" s="6">
        <f t="shared" si="9"/>
        <v>48387905.582696497</v>
      </c>
      <c r="G18" s="6">
        <f t="shared" si="9"/>
        <v>47707430.846867546</v>
      </c>
      <c r="H18" s="6">
        <f t="shared" si="9"/>
        <v>45866727.327870369</v>
      </c>
      <c r="I18" s="6">
        <f t="shared" si="9"/>
        <v>46873255.986973837</v>
      </c>
      <c r="J18" s="6">
        <f t="shared" si="9"/>
        <v>47639443.263788909</v>
      </c>
      <c r="K18" s="6">
        <f t="shared" si="9"/>
        <v>49268024.388485983</v>
      </c>
      <c r="L18" s="6">
        <f>L293</f>
        <v>50060654.308128655</v>
      </c>
      <c r="M18" s="6">
        <f>M293</f>
        <v>52112479.817184344</v>
      </c>
      <c r="N18" s="6">
        <f>N293</f>
        <v>50391049.034726813</v>
      </c>
      <c r="O18" s="6">
        <f>O293</f>
        <v>43693725.760616153</v>
      </c>
      <c r="P18" s="6">
        <f t="shared" ref="P18:Q18" si="10">P293</f>
        <v>41965433.230378076</v>
      </c>
      <c r="Q18" s="6">
        <f t="shared" si="10"/>
        <v>48061488.920438111</v>
      </c>
      <c r="R18" s="6">
        <f t="shared" ref="R18:S18" si="11">R293</f>
        <v>47850289.175154574</v>
      </c>
      <c r="S18" s="6">
        <f t="shared" si="11"/>
        <v>52952296.77166792</v>
      </c>
      <c r="T18" s="46"/>
      <c r="U18" s="171" t="s">
        <v>168</v>
      </c>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row>
    <row r="19" spans="1:50">
      <c r="A19" s="373" t="s">
        <v>169</v>
      </c>
      <c r="B19" s="174" t="str">
        <f>"Revenue from " &amp; LOWER(B305)</f>
        <v xml:space="preserve">Revenue from surface water drainage </v>
      </c>
      <c r="C19" s="289" t="s">
        <v>160</v>
      </c>
      <c r="D19" s="6">
        <f>D332</f>
        <v>96416928.749291122</v>
      </c>
      <c r="E19" s="6">
        <f t="shared" ref="E19:K19" si="12">E332</f>
        <v>104219488.95243977</v>
      </c>
      <c r="F19" s="6">
        <f t="shared" si="12"/>
        <v>112689881.21754886</v>
      </c>
      <c r="G19" s="6">
        <f t="shared" si="12"/>
        <v>111003787.99293078</v>
      </c>
      <c r="H19" s="6">
        <f t="shared" si="12"/>
        <v>110190149.53517427</v>
      </c>
      <c r="I19" s="6">
        <f t="shared" si="12"/>
        <v>117949105.11195171</v>
      </c>
      <c r="J19" s="6">
        <f t="shared" si="12"/>
        <v>122673713.85019059</v>
      </c>
      <c r="K19" s="6">
        <f t="shared" si="12"/>
        <v>138032652.74724916</v>
      </c>
      <c r="L19" s="6">
        <f>L332</f>
        <v>143724387.81606615</v>
      </c>
      <c r="M19" s="6">
        <f>M332</f>
        <v>150637749.25141987</v>
      </c>
      <c r="N19" s="6">
        <f>N332</f>
        <v>150240635.34126604</v>
      </c>
      <c r="O19" s="6">
        <f>O332</f>
        <v>152888793.9654724</v>
      </c>
      <c r="P19" s="6">
        <f t="shared" ref="P19:Q19" si="13">P332</f>
        <v>153293904.23474801</v>
      </c>
      <c r="Q19" s="6">
        <f t="shared" si="13"/>
        <v>150981344.987524</v>
      </c>
      <c r="R19" s="6">
        <f t="shared" ref="R19:S19" si="14">R332</f>
        <v>149624087.12542394</v>
      </c>
      <c r="S19" s="6">
        <f t="shared" si="14"/>
        <v>157157202.6643405</v>
      </c>
      <c r="T19" s="46"/>
      <c r="U19" s="171" t="s">
        <v>170</v>
      </c>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row>
    <row r="20" spans="1:50">
      <c r="A20" s="373" t="s">
        <v>171</v>
      </c>
      <c r="B20" s="174" t="str">
        <f>"Revenue from " &amp; LOWER(B344)</f>
        <v>Revenue from trade effluent</v>
      </c>
      <c r="C20" s="289" t="s">
        <v>160</v>
      </c>
      <c r="D20" s="6">
        <f>D374</f>
        <v>22860388.406227529</v>
      </c>
      <c r="E20" s="6">
        <f t="shared" ref="E20:K20" si="15">E374</f>
        <v>24267228.943720616</v>
      </c>
      <c r="F20" s="6">
        <f t="shared" si="15"/>
        <v>24472388.954115849</v>
      </c>
      <c r="G20" s="6">
        <f t="shared" si="15"/>
        <v>26466496.435432553</v>
      </c>
      <c r="H20" s="6">
        <f t="shared" si="15"/>
        <v>28246208.020442069</v>
      </c>
      <c r="I20" s="6">
        <f t="shared" si="15"/>
        <v>27574793.846573029</v>
      </c>
      <c r="J20" s="6">
        <f t="shared" si="15"/>
        <v>26684631.717014179</v>
      </c>
      <c r="K20" s="6">
        <f t="shared" si="15"/>
        <v>29179500.938534904</v>
      </c>
      <c r="L20" s="6">
        <f>L374</f>
        <v>31008902.24539344</v>
      </c>
      <c r="M20" s="6">
        <f>M374</f>
        <v>29325665.035999015</v>
      </c>
      <c r="N20" s="6">
        <f>N374</f>
        <v>29737688.262169283</v>
      </c>
      <c r="O20" s="6">
        <f>O374</f>
        <v>28181112.109257426</v>
      </c>
      <c r="P20" s="6">
        <f t="shared" ref="P20:Q20" si="16">P374</f>
        <v>28169171.010948081</v>
      </c>
      <c r="Q20" s="6">
        <f t="shared" si="16"/>
        <v>29214096.705370955</v>
      </c>
      <c r="R20" s="6">
        <f t="shared" ref="R20:S20" si="17">R374</f>
        <v>29618602.250953704</v>
      </c>
      <c r="S20" s="6">
        <f t="shared" si="17"/>
        <v>30771470.010509029</v>
      </c>
      <c r="T20" s="46"/>
      <c r="U20" s="171" t="s">
        <v>172</v>
      </c>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row>
    <row r="21" spans="1:50">
      <c r="A21" s="373" t="s">
        <v>173</v>
      </c>
      <c r="B21" s="174" t="str">
        <f>"Revenue from " &amp; LOWER(B386)</f>
        <v>Revenue from field troughs and drinking bowls</v>
      </c>
      <c r="C21" s="289" t="s">
        <v>160</v>
      </c>
      <c r="D21" s="6">
        <f>D398</f>
        <v>1314015.5633972601</v>
      </c>
      <c r="E21" s="6">
        <f t="shared" ref="E21:K21" si="18">E398</f>
        <v>1255034.2038251369</v>
      </c>
      <c r="F21" s="6">
        <f t="shared" si="18"/>
        <v>1277148.2929589041</v>
      </c>
      <c r="G21" s="6">
        <f t="shared" si="18"/>
        <v>1263416.8085205476</v>
      </c>
      <c r="H21" s="6">
        <f t="shared" si="18"/>
        <v>1241856.7760000001</v>
      </c>
      <c r="I21" s="6">
        <f t="shared" si="18"/>
        <v>1238829.6949453547</v>
      </c>
      <c r="J21" s="6">
        <f t="shared" si="18"/>
        <v>1223224.5923287673</v>
      </c>
      <c r="K21" s="6">
        <f t="shared" si="18"/>
        <v>1269460.8075890413</v>
      </c>
      <c r="L21" s="6">
        <f>L398</f>
        <v>1281748.061589041</v>
      </c>
      <c r="M21" s="6">
        <f>M398</f>
        <v>1298176.1094535519</v>
      </c>
      <c r="N21" s="6">
        <f>N398</f>
        <v>1297605.382076503</v>
      </c>
      <c r="O21" s="6">
        <f>O398</f>
        <v>1312787.3281420763</v>
      </c>
      <c r="P21" s="6">
        <f t="shared" ref="P21:Q21" si="19">P398</f>
        <v>1316277.8795288801</v>
      </c>
      <c r="Q21" s="6">
        <f t="shared" si="19"/>
        <v>1345480.9433091301</v>
      </c>
      <c r="R21" s="6">
        <f t="shared" ref="R21:S21" si="20">R398</f>
        <v>1342260.2833424658</v>
      </c>
      <c r="S21" s="6">
        <f t="shared" si="20"/>
        <v>1394733.0319999997</v>
      </c>
      <c r="T21" s="46"/>
      <c r="U21" s="171" t="s">
        <v>174</v>
      </c>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row>
    <row r="22" spans="1:50">
      <c r="A22" s="373" t="s">
        <v>175</v>
      </c>
      <c r="B22" s="174" t="s">
        <v>176</v>
      </c>
      <c r="C22" s="289" t="s">
        <v>160</v>
      </c>
      <c r="D22" s="6">
        <f>SUM(D15:D21)</f>
        <v>309210112.27224886</v>
      </c>
      <c r="E22" s="6">
        <f t="shared" ref="E22:K22" si="21">SUM(E15:E21)</f>
        <v>297388347.88252968</v>
      </c>
      <c r="F22" s="6">
        <f t="shared" si="21"/>
        <v>300095284.9879148</v>
      </c>
      <c r="G22" s="6">
        <f t="shared" si="21"/>
        <v>298051703.62450689</v>
      </c>
      <c r="H22" s="6">
        <f t="shared" si="21"/>
        <v>293928759.95234585</v>
      </c>
      <c r="I22" s="6">
        <f t="shared" si="21"/>
        <v>301505799.99706036</v>
      </c>
      <c r="J22" s="6">
        <f t="shared" si="21"/>
        <v>304023060.95492375</v>
      </c>
      <c r="K22" s="6">
        <f t="shared" si="21"/>
        <v>326491777.08677727</v>
      </c>
      <c r="L22" s="6">
        <f>SUM(L15:L21)</f>
        <v>336690259.31071305</v>
      </c>
      <c r="M22" s="6">
        <f>SUM(M15:M21)</f>
        <v>345188793.25060529</v>
      </c>
      <c r="N22" s="6">
        <f>SUM(N15:N21)</f>
        <v>341309948.56807989</v>
      </c>
      <c r="O22" s="6">
        <f>SUM(O15:O21)</f>
        <v>329525647.47587889</v>
      </c>
      <c r="P22" s="6">
        <f t="shared" ref="P22:Q22" si="22">SUM(P15:P21)</f>
        <v>326790475.76113003</v>
      </c>
      <c r="Q22" s="6">
        <f t="shared" si="22"/>
        <v>340214429.06044221</v>
      </c>
      <c r="R22" s="6">
        <f t="shared" ref="R22:S22" si="23">SUM(R15:R21)</f>
        <v>339818449.94136512</v>
      </c>
      <c r="S22" s="6">
        <f t="shared" si="23"/>
        <v>362462329.05116647</v>
      </c>
      <c r="T22" s="46"/>
      <c r="U22" s="171" t="s">
        <v>177</v>
      </c>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row>
    <row r="23" spans="1:50">
      <c r="A23" s="185" t="s">
        <v>178</v>
      </c>
      <c r="C23" s="290"/>
      <c r="D23" s="8"/>
      <c r="E23" s="8"/>
      <c r="F23" s="8"/>
      <c r="G23" s="8"/>
      <c r="H23" s="8"/>
      <c r="I23" s="8"/>
      <c r="J23" s="8"/>
      <c r="K23" s="8"/>
      <c r="L23" s="8"/>
      <c r="M23" s="8"/>
      <c r="N23" s="8"/>
      <c r="O23" s="8"/>
      <c r="P23" s="8"/>
      <c r="Q23" s="8"/>
      <c r="R23" s="8"/>
      <c r="S23" s="8"/>
      <c r="T23" s="46"/>
      <c r="U23" s="171"/>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row>
    <row r="24" spans="1:50">
      <c r="A24" s="373" t="s">
        <v>179</v>
      </c>
      <c r="B24" s="20" t="s">
        <v>180</v>
      </c>
      <c r="C24" s="289" t="s">
        <v>160</v>
      </c>
      <c r="D24" s="35">
        <f>D28/D$22</f>
        <v>7.2883344061392114E-6</v>
      </c>
      <c r="E24" s="35">
        <f t="shared" ref="E24:K24" si="24">E28/E$22</f>
        <v>2.5505891720398494E-6</v>
      </c>
      <c r="F24" s="35">
        <f t="shared" si="24"/>
        <v>5.2852603134496876E-6</v>
      </c>
      <c r="G24" s="35">
        <f t="shared" si="24"/>
        <v>2.9160587221301707E-5</v>
      </c>
      <c r="H24" s="35">
        <f t="shared" si="24"/>
        <v>3.3973851897374594E-3</v>
      </c>
      <c r="I24" s="35">
        <f t="shared" si="24"/>
        <v>2.0505800583804044E-2</v>
      </c>
      <c r="J24" s="35">
        <f t="shared" si="24"/>
        <v>3.6215967237209788E-2</v>
      </c>
      <c r="K24" s="35">
        <f t="shared" si="24"/>
        <v>4.3258348609944174E-2</v>
      </c>
      <c r="L24" s="35">
        <f t="shared" ref="L24:M26" si="25">L28/L$22</f>
        <v>4.2089381233396714E-2</v>
      </c>
      <c r="M24" s="35">
        <f t="shared" si="25"/>
        <v>4.4208553605971826E-2</v>
      </c>
      <c r="N24" s="35">
        <f t="shared" ref="N24:O26" si="26">N28/N$22</f>
        <v>4.4060673150874176E-2</v>
      </c>
      <c r="O24" s="35">
        <f t="shared" si="26"/>
        <v>4.4400714830462561E-2</v>
      </c>
      <c r="P24" s="35">
        <f t="shared" ref="P24:Q24" si="27">P28/P$22</f>
        <v>4.4208732191632592E-2</v>
      </c>
      <c r="Q24" s="35">
        <f t="shared" si="27"/>
        <v>4.649110869189494E-2</v>
      </c>
      <c r="R24" s="35">
        <f t="shared" ref="R24:S24" si="28">R28/R$22</f>
        <v>4.5665814723060236E-2</v>
      </c>
      <c r="S24" s="35">
        <f t="shared" si="28"/>
        <v>5.0977835509332423E-2</v>
      </c>
      <c r="T24" s="46"/>
      <c r="U24" s="171" t="s">
        <v>181</v>
      </c>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row>
    <row r="25" spans="1:50">
      <c r="A25" s="373" t="s">
        <v>182</v>
      </c>
      <c r="B25" s="20" t="s">
        <v>183</v>
      </c>
      <c r="C25" s="289" t="s">
        <v>160</v>
      </c>
      <c r="D25" s="35">
        <f t="shared" ref="D25:K26" si="29">D29/D$22</f>
        <v>0</v>
      </c>
      <c r="E25" s="35">
        <f t="shared" si="29"/>
        <v>0</v>
      </c>
      <c r="F25" s="35">
        <f t="shared" si="29"/>
        <v>2.3989405332675969E-4</v>
      </c>
      <c r="G25" s="35">
        <f t="shared" si="29"/>
        <v>0</v>
      </c>
      <c r="H25" s="35">
        <f t="shared" si="29"/>
        <v>0</v>
      </c>
      <c r="I25" s="35">
        <f t="shared" si="29"/>
        <v>0</v>
      </c>
      <c r="J25" s="35">
        <f t="shared" si="29"/>
        <v>0</v>
      </c>
      <c r="K25" s="35">
        <f t="shared" si="29"/>
        <v>3.5115513137572149E-2</v>
      </c>
      <c r="L25" s="35">
        <f t="shared" si="25"/>
        <v>3.2126177259608008E-2</v>
      </c>
      <c r="M25" s="35">
        <f t="shared" si="25"/>
        <v>3.1783974102643504E-2</v>
      </c>
      <c r="N25" s="35">
        <f t="shared" ref="N25" si="30">N29/N$22</f>
        <v>3.2124014383111354E-2</v>
      </c>
      <c r="O25" s="35">
        <f t="shared" si="26"/>
        <v>3.9898920916201529E-2</v>
      </c>
      <c r="P25" s="35">
        <f t="shared" ref="P25:Q25" si="31">P29/P$22</f>
        <v>3.8655208254703137E-2</v>
      </c>
      <c r="Q25" s="35">
        <f t="shared" si="31"/>
        <v>3.4338139865974136E-2</v>
      </c>
      <c r="R25" s="35">
        <f t="shared" ref="R25:S25" si="32">R29/R$22</f>
        <v>3.7512026430876609E-2</v>
      </c>
      <c r="S25" s="35">
        <f t="shared" si="32"/>
        <v>3.3240670003803874E-2</v>
      </c>
      <c r="T25" s="46"/>
      <c r="U25" s="171" t="s">
        <v>184</v>
      </c>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row>
    <row r="26" spans="1:50">
      <c r="A26" s="373" t="s">
        <v>185</v>
      </c>
      <c r="B26" s="20" t="s">
        <v>186</v>
      </c>
      <c r="C26" s="289" t="s">
        <v>160</v>
      </c>
      <c r="D26" s="35">
        <f t="shared" si="29"/>
        <v>0</v>
      </c>
      <c r="E26" s="35">
        <f t="shared" si="29"/>
        <v>0</v>
      </c>
      <c r="F26" s="35">
        <f t="shared" si="29"/>
        <v>0</v>
      </c>
      <c r="G26" s="35">
        <f t="shared" si="29"/>
        <v>0</v>
      </c>
      <c r="H26" s="35">
        <f t="shared" si="29"/>
        <v>0</v>
      </c>
      <c r="I26" s="35">
        <f t="shared" si="29"/>
        <v>0</v>
      </c>
      <c r="J26" s="35">
        <f t="shared" si="29"/>
        <v>0</v>
      </c>
      <c r="K26" s="35">
        <f t="shared" si="29"/>
        <v>5.1106615961005212E-3</v>
      </c>
      <c r="L26" s="35">
        <f t="shared" si="25"/>
        <v>4.571696604621785E-3</v>
      </c>
      <c r="M26" s="35">
        <f t="shared" si="25"/>
        <v>3.8672563359577073E-3</v>
      </c>
      <c r="N26" s="35">
        <f t="shared" ref="N26" si="33">N30/N$22</f>
        <v>3.7652844629685964E-3</v>
      </c>
      <c r="O26" s="35">
        <f t="shared" si="26"/>
        <v>4.0238525800850074E-3</v>
      </c>
      <c r="P26" s="35">
        <f t="shared" ref="P26:Q26" si="34">P30/P$22</f>
        <v>3.9597910464987821E-3</v>
      </c>
      <c r="Q26" s="35">
        <f t="shared" si="34"/>
        <v>3.5531150261273658E-3</v>
      </c>
      <c r="R26" s="35">
        <f t="shared" ref="R26:S26" si="35">R30/R$22</f>
        <v>3.7847339802235787E-3</v>
      </c>
      <c r="S26" s="35">
        <f t="shared" si="35"/>
        <v>3.6238067780405745E-3</v>
      </c>
      <c r="T26" s="46"/>
      <c r="U26" s="171" t="s">
        <v>187</v>
      </c>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row>
    <row r="27" spans="1:50">
      <c r="A27" s="375" t="s">
        <v>178</v>
      </c>
      <c r="B27" s="37"/>
      <c r="C27" s="290"/>
      <c r="D27" s="7"/>
      <c r="E27" s="7"/>
      <c r="F27" s="7"/>
      <c r="G27" s="7"/>
      <c r="H27" s="7"/>
      <c r="I27" s="7"/>
      <c r="J27" s="7"/>
      <c r="K27" s="412"/>
      <c r="L27" s="7"/>
      <c r="M27" s="7"/>
      <c r="N27" s="7"/>
      <c r="O27" s="7"/>
      <c r="P27" s="7"/>
      <c r="Q27" s="7"/>
      <c r="T27" s="46"/>
      <c r="U27" s="171"/>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row>
    <row r="28" spans="1:50">
      <c r="A28" s="373" t="s">
        <v>188</v>
      </c>
      <c r="B28" s="20" t="s">
        <v>189</v>
      </c>
      <c r="C28" s="289" t="s">
        <v>160</v>
      </c>
      <c r="D28" s="6">
        <f t="shared" ref="D28:K28" si="36">D98+D188+D240+D296+D335+D377+D401</f>
        <v>2253.6266999999998</v>
      </c>
      <c r="E28" s="6">
        <f t="shared" si="36"/>
        <v>758.51550000000009</v>
      </c>
      <c r="F28" s="6">
        <f t="shared" si="36"/>
        <v>1586.0817</v>
      </c>
      <c r="G28" s="6">
        <f t="shared" si="36"/>
        <v>8691.3626999999997</v>
      </c>
      <c r="H28" s="6">
        <f t="shared" si="36"/>
        <v>998589.21589999669</v>
      </c>
      <c r="I28" s="6">
        <f t="shared" si="36"/>
        <v>6182617.8096000254</v>
      </c>
      <c r="J28" s="6">
        <f t="shared" si="36"/>
        <v>11010489.214899752</v>
      </c>
      <c r="K28" s="6">
        <f t="shared" si="36"/>
        <v>14123495.111499995</v>
      </c>
      <c r="L28" s="6">
        <f>L98+L188+L240+L296+L335+L377+L401</f>
        <v>14171084.681699799</v>
      </c>
      <c r="M28" s="6">
        <f>M98+M188+M240+M296+M335+M377+M401</f>
        <v>15260297.270600108</v>
      </c>
      <c r="N28" s="6">
        <f>N98+N188+N240+N296+N335+N377+N401</f>
        <v>15038346.086999843</v>
      </c>
      <c r="O28" s="6">
        <f>O98+O188+O240+O296+O335+O377+O401</f>
        <v>14631174.302900033</v>
      </c>
      <c r="P28" s="6">
        <f t="shared" ref="P28:Q28" si="37">P98+P188+P240+P296+P335+P377+P401</f>
        <v>14446992.625700001</v>
      </c>
      <c r="Q28" s="6">
        <f t="shared" si="37"/>
        <v>15816946</v>
      </c>
      <c r="R28" s="6">
        <f t="shared" ref="R28:S28" si="38">R98+R188+R240+R296+R335+R377+R401</f>
        <v>15518086.374499898</v>
      </c>
      <c r="S28" s="6">
        <f t="shared" si="38"/>
        <v>18477544.988699887</v>
      </c>
      <c r="T28" s="46"/>
      <c r="U28" s="171"/>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row>
    <row r="29" spans="1:50">
      <c r="A29" s="373" t="s">
        <v>190</v>
      </c>
      <c r="B29" s="20" t="s">
        <v>191</v>
      </c>
      <c r="C29" s="289" t="s">
        <v>160</v>
      </c>
      <c r="D29" s="6">
        <f t="shared" ref="D29:K29" si="39">D100+D190+D242+D298+D337+D379+D403</f>
        <v>0</v>
      </c>
      <c r="E29" s="6">
        <f t="shared" si="39"/>
        <v>0</v>
      </c>
      <c r="F29" s="6">
        <f t="shared" si="39"/>
        <v>71991.074299999978</v>
      </c>
      <c r="G29" s="6">
        <f t="shared" si="39"/>
        <v>0</v>
      </c>
      <c r="H29" s="6">
        <f t="shared" si="39"/>
        <v>0</v>
      </c>
      <c r="I29" s="6">
        <f t="shared" si="39"/>
        <v>0</v>
      </c>
      <c r="J29" s="6">
        <f t="shared" si="39"/>
        <v>0</v>
      </c>
      <c r="K29" s="6">
        <f t="shared" si="39"/>
        <v>11464926.287600005</v>
      </c>
      <c r="L29" s="6">
        <f>L100+L190+L242+L298+L337+L379+L403</f>
        <v>10816570.952199353</v>
      </c>
      <c r="M29" s="6">
        <f>M100+M190+M242+M298+M337+M379+M403</f>
        <v>10971471.665200001</v>
      </c>
      <c r="N29" s="6">
        <f>N100+N190+N242+N298+N337+N379+N403</f>
        <v>10964245.696899995</v>
      </c>
      <c r="O29" s="6">
        <f>O100+O190+O242+O298+O337+O379+O403</f>
        <v>13147717.748500196</v>
      </c>
      <c r="P29" s="6">
        <f t="shared" ref="P29:Q29" si="40">P100+P190+P242+P298+P337+P379+P403</f>
        <v>12632153.896199999</v>
      </c>
      <c r="Q29" s="6">
        <f t="shared" si="40"/>
        <v>11682330.649499999</v>
      </c>
      <c r="R29" s="6">
        <f t="shared" ref="R29:S29" si="41">R100+R190+R242+R298+R337+R379+R403</f>
        <v>12747278.675900009</v>
      </c>
      <c r="S29" s="6">
        <f t="shared" si="41"/>
        <v>12048490.6688</v>
      </c>
      <c r="T29" s="46"/>
      <c r="U29" s="171"/>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row>
    <row r="30" spans="1:50">
      <c r="A30" s="373" t="s">
        <v>192</v>
      </c>
      <c r="B30" s="20" t="s">
        <v>193</v>
      </c>
      <c r="C30" s="289" t="s">
        <v>160</v>
      </c>
      <c r="D30" s="6">
        <f t="shared" ref="D30:K30" si="42">D102+D192+D244+D300+D339+D381+D405</f>
        <v>0</v>
      </c>
      <c r="E30" s="6">
        <f t="shared" si="42"/>
        <v>0</v>
      </c>
      <c r="F30" s="6">
        <f t="shared" si="42"/>
        <v>0</v>
      </c>
      <c r="G30" s="6">
        <f t="shared" si="42"/>
        <v>0</v>
      </c>
      <c r="H30" s="6">
        <f t="shared" si="42"/>
        <v>0</v>
      </c>
      <c r="I30" s="6">
        <f t="shared" si="42"/>
        <v>0</v>
      </c>
      <c r="J30" s="6">
        <f t="shared" si="42"/>
        <v>0</v>
      </c>
      <c r="K30" s="6">
        <f t="shared" si="42"/>
        <v>1668588.9866000048</v>
      </c>
      <c r="L30" s="6">
        <f>L102+L192+L244+L300+L339+L381+L405</f>
        <v>1539245.7153000152</v>
      </c>
      <c r="M30" s="6">
        <f>M102+M192+M244+M300+M339+M381+M405</f>
        <v>1334933.5477999984</v>
      </c>
      <c r="N30" s="6">
        <f>N102+N192+N244+N300+N339+N381+N405</f>
        <v>1285129.046400002</v>
      </c>
      <c r="O30" s="6">
        <f>O102+O192+O244+O300+O339+O381+O405</f>
        <v>1325962.6267999979</v>
      </c>
      <c r="P30" s="6">
        <f t="shared" ref="P30:Q30" si="43">P102+P192+P244+P300+P339+P381+P405</f>
        <v>1294022</v>
      </c>
      <c r="Q30" s="6">
        <f t="shared" si="43"/>
        <v>1208821</v>
      </c>
      <c r="R30" s="6">
        <f t="shared" ref="R30:S30" si="44">R102+R192+R244+R300+R339+R381+R405</f>
        <v>1286122.4345999898</v>
      </c>
      <c r="S30" s="6">
        <f t="shared" si="44"/>
        <v>1313493.4447999902</v>
      </c>
      <c r="T30" s="46"/>
      <c r="U30" s="171"/>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row>
    <row r="31" spans="1:50">
      <c r="A31" s="375" t="s">
        <v>178</v>
      </c>
      <c r="C31" s="290"/>
      <c r="D31" s="8"/>
      <c r="E31" s="8"/>
      <c r="F31" s="8"/>
      <c r="G31" s="8"/>
      <c r="H31" s="8"/>
      <c r="I31" s="8"/>
      <c r="J31" s="8"/>
      <c r="K31" s="8"/>
      <c r="L31" s="8"/>
      <c r="M31" s="8"/>
      <c r="N31" s="8"/>
      <c r="O31" s="8"/>
      <c r="P31" s="8"/>
      <c r="Q31" s="8"/>
      <c r="R31" s="8"/>
      <c r="S31" s="8"/>
      <c r="T31" s="46"/>
      <c r="U31" s="171"/>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row>
    <row r="32" spans="1:50">
      <c r="A32" s="373" t="s">
        <v>194</v>
      </c>
      <c r="B32" s="175" t="s">
        <v>195</v>
      </c>
      <c r="C32" s="289" t="s">
        <v>160</v>
      </c>
      <c r="D32" s="6">
        <f>D66</f>
        <v>8030494.8320265897</v>
      </c>
      <c r="E32" s="6">
        <f t="shared" ref="E32:K32" si="45">E66</f>
        <v>6817337.0305464398</v>
      </c>
      <c r="F32" s="6">
        <f t="shared" si="45"/>
        <v>6326044.6746575665</v>
      </c>
      <c r="G32" s="6">
        <f t="shared" si="45"/>
        <v>6795417.2834902164</v>
      </c>
      <c r="H32" s="6">
        <f t="shared" si="45"/>
        <v>4890447.3439726103</v>
      </c>
      <c r="I32" s="6">
        <f t="shared" si="45"/>
        <v>4735507.9390710359</v>
      </c>
      <c r="J32" s="6">
        <f t="shared" si="45"/>
        <v>4733588.5878082216</v>
      </c>
      <c r="K32" s="6">
        <f t="shared" si="45"/>
        <v>4621098.3797260039</v>
      </c>
      <c r="L32" s="6">
        <f>L66</f>
        <v>4466154.8768036496</v>
      </c>
      <c r="M32" s="6">
        <f>M66</f>
        <v>4389527.2310110843</v>
      </c>
      <c r="N32" s="6">
        <f>N66</f>
        <v>4396759.0675681252</v>
      </c>
      <c r="O32" s="6">
        <f>O66</f>
        <v>4627446.6222630134</v>
      </c>
      <c r="P32" s="6">
        <f t="shared" ref="P32:Q32" si="46">P66</f>
        <v>4203625.01134934</v>
      </c>
      <c r="Q32" s="6">
        <f t="shared" si="46"/>
        <v>4204409.25</v>
      </c>
      <c r="R32" s="6">
        <f t="shared" ref="R32:S32" si="47">R66</f>
        <v>4102102.4086589161</v>
      </c>
      <c r="S32" s="6">
        <f t="shared" si="47"/>
        <v>4315969.8058574842</v>
      </c>
      <c r="T32" s="46"/>
      <c r="U32" s="171" t="s">
        <v>196</v>
      </c>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row>
    <row r="33" spans="1:50">
      <c r="A33" s="373" t="s">
        <v>197</v>
      </c>
      <c r="B33" s="175" t="s">
        <v>198</v>
      </c>
      <c r="C33" s="289" t="s">
        <v>160</v>
      </c>
      <c r="D33" s="6">
        <f>D145</f>
        <v>121899465.39032519</v>
      </c>
      <c r="E33" s="6">
        <f t="shared" ref="E33:J33" si="48">E145</f>
        <v>118557354.58573776</v>
      </c>
      <c r="F33" s="6">
        <f t="shared" si="48"/>
        <v>114193438.09698629</v>
      </c>
      <c r="G33" s="6">
        <f t="shared" si="48"/>
        <v>113634011.38109571</v>
      </c>
      <c r="H33" s="6">
        <f t="shared" si="48"/>
        <v>113375865.60520594</v>
      </c>
      <c r="I33" s="6">
        <f t="shared" si="48"/>
        <v>113072225.41612038</v>
      </c>
      <c r="J33" s="6">
        <f t="shared" si="48"/>
        <v>110397502.06013669</v>
      </c>
      <c r="K33" s="6">
        <f>K145</f>
        <v>111654956.2053428</v>
      </c>
      <c r="L33" s="6">
        <f>L145</f>
        <v>113964371.91315085</v>
      </c>
      <c r="M33" s="6">
        <f>M145</f>
        <v>110514376.72539163</v>
      </c>
      <c r="N33" s="6">
        <f>N145</f>
        <v>108925500.93875724</v>
      </c>
      <c r="O33" s="6">
        <f>O145</f>
        <v>98101418.923092484</v>
      </c>
      <c r="P33" s="6">
        <f t="shared" ref="P33:Q33" si="49">P145</f>
        <v>97537785</v>
      </c>
      <c r="Q33" s="6">
        <f t="shared" si="49"/>
        <v>104199800</v>
      </c>
      <c r="R33" s="6">
        <f t="shared" ref="R33:S33" si="50">R145</f>
        <v>105612589.23237887</v>
      </c>
      <c r="S33" s="6">
        <f t="shared" si="50"/>
        <v>109972437.66819596</v>
      </c>
      <c r="T33" s="46"/>
      <c r="U33" s="171" t="s">
        <v>199</v>
      </c>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row>
    <row r="34" spans="1:50">
      <c r="A34" s="373" t="s">
        <v>200</v>
      </c>
      <c r="B34" s="175" t="s">
        <v>201</v>
      </c>
      <c r="C34" s="289" t="s">
        <v>160</v>
      </c>
      <c r="D34" s="6">
        <f t="shared" ref="D34:K34" si="51">D215</f>
        <v>7584371.8409866607</v>
      </c>
      <c r="E34" s="6">
        <f t="shared" si="51"/>
        <v>7088944.5930054691</v>
      </c>
      <c r="F34" s="6">
        <f t="shared" si="51"/>
        <v>6836956.8187671537</v>
      </c>
      <c r="G34" s="6">
        <f t="shared" si="51"/>
        <v>5111585.9267123314</v>
      </c>
      <c r="H34" s="6">
        <f t="shared" si="51"/>
        <v>4462279.8198630111</v>
      </c>
      <c r="I34" s="6">
        <f t="shared" si="51"/>
        <v>4290080.3939890694</v>
      </c>
      <c r="J34" s="6">
        <f t="shared" si="51"/>
        <v>4255950.1789041059</v>
      </c>
      <c r="K34" s="6">
        <f t="shared" si="51"/>
        <v>4157254.2623287733</v>
      </c>
      <c r="L34" s="6">
        <f>L215</f>
        <v>3996545.4023287683</v>
      </c>
      <c r="M34" s="6">
        <f>M215</f>
        <v>3889030.7847189521</v>
      </c>
      <c r="N34" s="6">
        <f>N215</f>
        <v>3882898.9195755953</v>
      </c>
      <c r="O34" s="6">
        <f>O215</f>
        <v>3676802.5</v>
      </c>
      <c r="P34" s="6">
        <f t="shared" ref="P34:Q34" si="52">P215</f>
        <v>3673600</v>
      </c>
      <c r="Q34" s="6">
        <f t="shared" si="52"/>
        <v>3676233</v>
      </c>
      <c r="R34" s="6">
        <f t="shared" ref="R34:S34" si="53">R215</f>
        <v>3589124.9881643699</v>
      </c>
      <c r="S34" s="6">
        <f t="shared" si="53"/>
        <v>3740366.40526705</v>
      </c>
      <c r="T34" s="46"/>
      <c r="U34" s="171" t="s">
        <v>202</v>
      </c>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row>
    <row r="35" spans="1:50">
      <c r="A35" s="373" t="s">
        <v>203</v>
      </c>
      <c r="B35" s="175" t="s">
        <v>204</v>
      </c>
      <c r="C35" s="289" t="s">
        <v>160</v>
      </c>
      <c r="D35" s="6">
        <f>D269</f>
        <v>48451137.546303652</v>
      </c>
      <c r="E35" s="6">
        <f t="shared" ref="E35:K35" si="54">E269</f>
        <v>47015701.144317053</v>
      </c>
      <c r="F35" s="6">
        <f t="shared" si="54"/>
        <v>46107853.98273956</v>
      </c>
      <c r="G35" s="6">
        <f t="shared" si="54"/>
        <v>47163690.985890336</v>
      </c>
      <c r="H35" s="6">
        <f t="shared" si="54"/>
        <v>47007115.693972796</v>
      </c>
      <c r="I35" s="6">
        <f t="shared" si="54"/>
        <v>47708226.9029506</v>
      </c>
      <c r="J35" s="6">
        <f t="shared" si="54"/>
        <v>48872347.993561625</v>
      </c>
      <c r="K35" s="6">
        <f t="shared" si="54"/>
        <v>49699448.266438492</v>
      </c>
      <c r="L35" s="6">
        <f>L269</f>
        <v>49611241.227945499</v>
      </c>
      <c r="M35" s="6">
        <f>M269</f>
        <v>50778348.943581596</v>
      </c>
      <c r="N35" s="6">
        <f>N269</f>
        <v>48775769.294932507</v>
      </c>
      <c r="O35" s="6">
        <f>O269</f>
        <v>39520480.090227872</v>
      </c>
      <c r="P35" s="6">
        <f t="shared" ref="P35:Q35" si="55">P269</f>
        <v>37785839</v>
      </c>
      <c r="Q35" s="6">
        <f t="shared" si="55"/>
        <v>43423640</v>
      </c>
      <c r="R35" s="6">
        <f t="shared" ref="R35:S35" si="56">R269</f>
        <v>43234907.831572399</v>
      </c>
      <c r="S35" s="6">
        <f t="shared" si="56"/>
        <v>46610590.122440301</v>
      </c>
      <c r="T35" s="46"/>
      <c r="U35" s="171" t="s">
        <v>205</v>
      </c>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row>
    <row r="36" spans="1:50">
      <c r="A36" s="375" t="s">
        <v>178</v>
      </c>
      <c r="C36" s="238"/>
      <c r="D36" s="7"/>
      <c r="E36" s="7"/>
      <c r="F36" s="7"/>
      <c r="G36" s="7"/>
      <c r="H36" s="7"/>
      <c r="I36" s="7"/>
      <c r="J36" s="7"/>
      <c r="K36" s="7"/>
      <c r="L36" s="7"/>
      <c r="M36" s="7"/>
      <c r="N36" s="7"/>
      <c r="O36" s="7"/>
      <c r="P36" s="7"/>
      <c r="Q36" s="7"/>
      <c r="T36" s="7"/>
      <c r="U36" s="171"/>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row>
    <row r="37" spans="1:50">
      <c r="A37" s="375" t="s">
        <v>178</v>
      </c>
      <c r="C37" s="238"/>
      <c r="D37" s="7"/>
      <c r="E37" s="7"/>
      <c r="F37" s="7"/>
      <c r="G37" s="7"/>
      <c r="H37" s="7"/>
      <c r="I37" s="7"/>
      <c r="J37" s="7"/>
      <c r="K37" s="7"/>
      <c r="L37" s="7"/>
      <c r="M37" s="7"/>
      <c r="N37" s="7"/>
      <c r="O37" s="7"/>
      <c r="P37" s="7"/>
      <c r="Q37" s="7"/>
      <c r="T37" s="7"/>
      <c r="U37" s="171"/>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row>
    <row r="38" spans="1:50">
      <c r="A38" s="375" t="s">
        <v>178</v>
      </c>
      <c r="C38" s="238"/>
      <c r="D38" s="7"/>
      <c r="E38" s="7"/>
      <c r="F38" s="7"/>
      <c r="G38" s="7"/>
      <c r="H38" s="7"/>
      <c r="I38" s="7"/>
      <c r="J38" s="7"/>
      <c r="K38" s="7"/>
      <c r="L38" s="7"/>
      <c r="M38" s="7"/>
      <c r="N38" s="7"/>
      <c r="O38" s="7"/>
      <c r="P38" s="7"/>
      <c r="Q38" s="7"/>
      <c r="T38" s="7"/>
      <c r="U38" s="171"/>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row>
    <row r="39" spans="1:50">
      <c r="A39" s="375" t="s">
        <v>178</v>
      </c>
      <c r="B39" s="9" t="s">
        <v>206</v>
      </c>
      <c r="C39" s="291"/>
      <c r="D39" s="7"/>
      <c r="E39" s="7"/>
      <c r="F39" s="7"/>
      <c r="G39" s="7"/>
      <c r="H39" s="7"/>
      <c r="I39" s="7"/>
      <c r="J39" s="7"/>
      <c r="K39" s="7"/>
      <c r="L39" s="7"/>
      <c r="M39" s="7"/>
      <c r="N39" s="7"/>
      <c r="O39" s="7"/>
      <c r="P39" s="7"/>
      <c r="Q39" s="7"/>
      <c r="T39" s="7"/>
      <c r="U39" s="171"/>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row>
    <row r="40" spans="1:50">
      <c r="A40" s="288" t="s">
        <v>178</v>
      </c>
      <c r="B40" s="163" t="s">
        <v>207</v>
      </c>
      <c r="C40" s="292" t="s">
        <v>152</v>
      </c>
      <c r="D40" s="26" t="str">
        <f>+D$14</f>
        <v>2010-11 RF</v>
      </c>
      <c r="E40" s="26" t="str">
        <f t="shared" ref="E40:O40" si="57">+E$14</f>
        <v>2011-12 RF</v>
      </c>
      <c r="F40" s="26" t="str">
        <f t="shared" si="57"/>
        <v>2012-13 RF</v>
      </c>
      <c r="G40" s="26" t="str">
        <f t="shared" si="57"/>
        <v>2013-14 RF</v>
      </c>
      <c r="H40" s="26" t="str">
        <f t="shared" si="57"/>
        <v>2014-15 RF</v>
      </c>
      <c r="I40" s="26" t="str">
        <f t="shared" si="57"/>
        <v>2015-16 RF</v>
      </c>
      <c r="J40" s="26" t="str">
        <f t="shared" si="57"/>
        <v>2016-17 RF</v>
      </c>
      <c r="K40" s="26" t="str">
        <f t="shared" si="57"/>
        <v>2017-18 RF</v>
      </c>
      <c r="L40" s="26" t="str">
        <f t="shared" si="57"/>
        <v>2018-19 RF</v>
      </c>
      <c r="M40" s="26" t="str">
        <f t="shared" si="57"/>
        <v>2019-20 month</v>
      </c>
      <c r="N40" s="26" t="str">
        <f t="shared" si="57"/>
        <v>2019-20 RF</v>
      </c>
      <c r="O40" s="26" t="str">
        <f t="shared" si="57"/>
        <v>2020-21 month</v>
      </c>
      <c r="P40" s="26" t="s">
        <v>18</v>
      </c>
      <c r="Q40" s="26" t="s">
        <v>155</v>
      </c>
      <c r="R40" s="26" t="s">
        <v>20</v>
      </c>
      <c r="S40" s="26" t="s">
        <v>156</v>
      </c>
      <c r="T40" s="7"/>
      <c r="U40" s="3" t="s">
        <v>157</v>
      </c>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row>
    <row r="41" spans="1:50">
      <c r="A41" s="376" t="s">
        <v>208</v>
      </c>
      <c r="B41" s="282" t="s">
        <v>209</v>
      </c>
      <c r="C41" s="293" t="s">
        <v>210</v>
      </c>
      <c r="D41" s="413">
        <v>24871.95598877619</v>
      </c>
      <c r="E41" s="11">
        <v>16761.737704918032</v>
      </c>
      <c r="F41" s="11">
        <v>17954.158904109616</v>
      </c>
      <c r="G41" s="11">
        <v>17147.865753424696</v>
      </c>
      <c r="H41" s="11">
        <v>16276.830136986302</v>
      </c>
      <c r="I41" s="11">
        <v>16090.259562841587</v>
      </c>
      <c r="J41" s="11">
        <v>16074.991780821891</v>
      </c>
      <c r="K41" s="11">
        <v>21545.47397260278</v>
      </c>
      <c r="L41" s="11">
        <f>+P2a!D23+P2a!D24+P2a!D25</f>
        <v>20531.496803652983</v>
      </c>
      <c r="M41" s="11">
        <f>+P2a!E23+P2a!E24+P2a!E25</f>
        <v>20342.763205828851</v>
      </c>
      <c r="N41" s="11">
        <f>+P2a!F23+P2a!F24+P2a!F25</f>
        <v>20032.567395264115</v>
      </c>
      <c r="O41" s="11">
        <v>20582.21369863001</v>
      </c>
      <c r="P41" s="11">
        <v>20247.23</v>
      </c>
      <c r="Q41" s="11">
        <v>21380.71</v>
      </c>
      <c r="R41" s="11">
        <v>21076.4164383561</v>
      </c>
      <c r="S41" s="11">
        <v>24541.709589040998</v>
      </c>
      <c r="T41" s="46"/>
      <c r="U41" s="185" t="s">
        <v>211</v>
      </c>
      <c r="V41" s="24"/>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row>
    <row r="42" spans="1:50">
      <c r="A42" s="373" t="s">
        <v>212</v>
      </c>
      <c r="B42" s="12" t="s">
        <v>213</v>
      </c>
      <c r="C42" s="293" t="s">
        <v>210</v>
      </c>
      <c r="D42" s="413">
        <v>317.48861438356005</v>
      </c>
      <c r="E42" s="11">
        <v>336.6639344262295</v>
      </c>
      <c r="F42" s="11">
        <v>319.64931506849291</v>
      </c>
      <c r="G42" s="11">
        <v>245.96164383561648</v>
      </c>
      <c r="H42" s="11">
        <v>201.07397260273976</v>
      </c>
      <c r="I42" s="11">
        <v>198.10109289617486</v>
      </c>
      <c r="J42" s="11">
        <v>197.83835616438358</v>
      </c>
      <c r="K42" s="11">
        <v>204.2767123287671</v>
      </c>
      <c r="L42" s="11">
        <f>+P2a!D26+P2a!D27+P2a!D28</f>
        <v>186.2045662100457</v>
      </c>
      <c r="M42" s="11">
        <f>+P2a!E26+P2a!E27+P2a!E28</f>
        <v>174.30418943533698</v>
      </c>
      <c r="N42" s="11">
        <f>+P2a!F26+P2a!F27+P2a!F28</f>
        <v>171.07377049180326</v>
      </c>
      <c r="O42" s="11" t="s">
        <v>57</v>
      </c>
      <c r="P42" s="11" t="s">
        <v>57</v>
      </c>
      <c r="Q42" s="11" t="s">
        <v>57</v>
      </c>
      <c r="R42" s="11" t="s">
        <v>57</v>
      </c>
      <c r="S42" s="11" t="s">
        <v>57</v>
      </c>
      <c r="T42" s="46"/>
      <c r="U42" s="185" t="s">
        <v>214</v>
      </c>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row>
    <row r="43" spans="1:50">
      <c r="A43" s="373" t="s">
        <v>215</v>
      </c>
      <c r="B43" s="12" t="s">
        <v>216</v>
      </c>
      <c r="C43" s="293" t="s">
        <v>210</v>
      </c>
      <c r="D43" s="413">
        <v>56.343302328767074</v>
      </c>
      <c r="E43" s="11">
        <v>66.625683060109296</v>
      </c>
      <c r="F43" s="11">
        <v>52.761643835616432</v>
      </c>
      <c r="G43" s="11">
        <v>29.002739726027396</v>
      </c>
      <c r="H43" s="11">
        <v>15.550684931506849</v>
      </c>
      <c r="I43" s="11">
        <v>18.210382513661202</v>
      </c>
      <c r="J43" s="11">
        <v>20.008219178082193</v>
      </c>
      <c r="K43" s="11">
        <v>15.076712328767123</v>
      </c>
      <c r="L43" s="11">
        <f>+P2a!D29+P2a!D30+P2a!D31</f>
        <v>19.602739726027398</v>
      </c>
      <c r="M43" s="11">
        <f>+P2a!E29+P2a!E30+P2a!E31</f>
        <v>21.067395264116573</v>
      </c>
      <c r="N43" s="11">
        <f>+P2a!F29+P2a!F30+P2a!F31</f>
        <v>21.173952641165759</v>
      </c>
      <c r="O43" s="11" t="s">
        <v>57</v>
      </c>
      <c r="P43" s="11" t="s">
        <v>57</v>
      </c>
      <c r="Q43" s="11" t="s">
        <v>57</v>
      </c>
      <c r="R43" s="11" t="s">
        <v>57</v>
      </c>
      <c r="S43" s="11" t="s">
        <v>57</v>
      </c>
      <c r="T43" s="46"/>
      <c r="U43" s="185" t="s">
        <v>217</v>
      </c>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row>
    <row r="44" spans="1:50">
      <c r="A44" s="373" t="s">
        <v>218</v>
      </c>
      <c r="B44" s="12" t="s">
        <v>219</v>
      </c>
      <c r="C44" s="293" t="s">
        <v>210</v>
      </c>
      <c r="D44" s="413">
        <v>41.495830410958874</v>
      </c>
      <c r="E44" s="11">
        <v>56.795081967213122</v>
      </c>
      <c r="F44" s="11">
        <v>45.150684931506866</v>
      </c>
      <c r="G44" s="11">
        <v>30.890410958904109</v>
      </c>
      <c r="H44" s="11">
        <v>21.205479452054796</v>
      </c>
      <c r="I44" s="11">
        <v>16.8224043715847</v>
      </c>
      <c r="J44" s="11">
        <v>12.224657534246575</v>
      </c>
      <c r="K44" s="11">
        <v>10.55890410958904</v>
      </c>
      <c r="L44" s="11">
        <f>+P2a!D32+P2a!D33+P2a!D34</f>
        <v>10.942465753424656</v>
      </c>
      <c r="M44" s="11">
        <f>+P2a!E32+P2a!E33+P2a!E34</f>
        <v>9.3597449908925316</v>
      </c>
      <c r="N44" s="11">
        <f>+P2a!F32+P2a!F33+P2a!F34</f>
        <v>11.111111111111111</v>
      </c>
      <c r="O44" s="11" t="s">
        <v>57</v>
      </c>
      <c r="P44" s="11" t="s">
        <v>57</v>
      </c>
      <c r="Q44" s="11" t="s">
        <v>57</v>
      </c>
      <c r="R44" s="11" t="s">
        <v>57</v>
      </c>
      <c r="S44" s="11" t="s">
        <v>57</v>
      </c>
      <c r="T44" s="46"/>
      <c r="U44" s="185" t="s">
        <v>220</v>
      </c>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row>
    <row r="45" spans="1:50">
      <c r="A45" s="373" t="s">
        <v>221</v>
      </c>
      <c r="B45" s="12" t="s">
        <v>222</v>
      </c>
      <c r="C45" s="293" t="s">
        <v>210</v>
      </c>
      <c r="D45" s="413">
        <v>1.7634669863013699</v>
      </c>
      <c r="E45" s="11">
        <v>0.86065573770491799</v>
      </c>
      <c r="F45" s="11">
        <v>0</v>
      </c>
      <c r="G45" s="11">
        <v>0</v>
      </c>
      <c r="H45" s="11">
        <v>0</v>
      </c>
      <c r="I45" s="11">
        <v>0</v>
      </c>
      <c r="J45" s="11">
        <v>0.43013698630136987</v>
      </c>
      <c r="K45" s="11">
        <v>0.14794520547945206</v>
      </c>
      <c r="L45" s="11">
        <f>+P2a!D35+P2a!D36+P2a!D37</f>
        <v>0</v>
      </c>
      <c r="M45" s="11">
        <f>+P2a!E35+P2a!E36+P2a!E37</f>
        <v>0</v>
      </c>
      <c r="N45" s="11">
        <f>+P2a!F35+P2a!F36+P2a!F37</f>
        <v>0</v>
      </c>
      <c r="O45" s="11" t="s">
        <v>57</v>
      </c>
      <c r="P45" s="11" t="s">
        <v>57</v>
      </c>
      <c r="Q45" s="11" t="s">
        <v>57</v>
      </c>
      <c r="R45" s="11" t="s">
        <v>57</v>
      </c>
      <c r="S45" s="11" t="s">
        <v>57</v>
      </c>
      <c r="T45" s="46"/>
      <c r="U45" s="185" t="s">
        <v>223</v>
      </c>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row>
    <row r="46" spans="1:50">
      <c r="A46" s="373" t="s">
        <v>224</v>
      </c>
      <c r="B46" s="12" t="s">
        <v>225</v>
      </c>
      <c r="C46" s="294" t="s">
        <v>160</v>
      </c>
      <c r="D46" s="13">
        <f>SUM(D41:D45)</f>
        <v>25289.047202885777</v>
      </c>
      <c r="E46" s="6">
        <f t="shared" ref="E46:K46" si="58">SUM(E41:E45)</f>
        <v>17222.683060109288</v>
      </c>
      <c r="F46" s="6">
        <f t="shared" si="58"/>
        <v>18371.720547945235</v>
      </c>
      <c r="G46" s="6">
        <f t="shared" si="58"/>
        <v>17453.720547945246</v>
      </c>
      <c r="H46" s="6">
        <f t="shared" si="58"/>
        <v>16514.660273972604</v>
      </c>
      <c r="I46" s="6">
        <f t="shared" si="58"/>
        <v>16323.39344262301</v>
      </c>
      <c r="J46" s="6">
        <f t="shared" si="58"/>
        <v>16305.493150684904</v>
      </c>
      <c r="K46" s="6">
        <f t="shared" si="58"/>
        <v>21775.534246575382</v>
      </c>
      <c r="L46" s="6">
        <f>SUM(L41:L45)</f>
        <v>20748.24657534248</v>
      </c>
      <c r="M46" s="6">
        <f>SUM(M41:M45)</f>
        <v>20547.494535519196</v>
      </c>
      <c r="N46" s="6">
        <f>SUM(N41:N45)</f>
        <v>20235.926229508194</v>
      </c>
      <c r="O46" s="6">
        <f>SUM(O41:O45)</f>
        <v>20582.21369863001</v>
      </c>
      <c r="P46" s="6">
        <f t="shared" ref="P46:Q46" si="59">SUM(P41:P45)</f>
        <v>20247.23</v>
      </c>
      <c r="Q46" s="6">
        <f t="shared" si="59"/>
        <v>21380.71</v>
      </c>
      <c r="R46" s="6">
        <f t="shared" ref="R46:S46" si="60">SUM(R41:R45)</f>
        <v>21076.4164383561</v>
      </c>
      <c r="S46" s="6">
        <f t="shared" si="60"/>
        <v>24541.709589040998</v>
      </c>
      <c r="T46" s="46"/>
      <c r="U46" s="185" t="s">
        <v>226</v>
      </c>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row>
    <row r="47" spans="1:50">
      <c r="A47" s="375" t="s">
        <v>178</v>
      </c>
      <c r="B47" s="15"/>
      <c r="C47" s="290"/>
      <c r="D47" s="8"/>
      <c r="E47" s="8"/>
      <c r="F47" s="8"/>
      <c r="G47" s="8"/>
      <c r="H47" s="8"/>
      <c r="I47" s="8"/>
      <c r="J47" s="8"/>
      <c r="K47" s="8"/>
      <c r="L47" s="8"/>
      <c r="M47" s="8"/>
      <c r="N47" s="8"/>
      <c r="O47" s="8"/>
      <c r="P47" s="8"/>
      <c r="Q47" s="8"/>
      <c r="R47" s="8"/>
      <c r="S47" s="8"/>
      <c r="T47" s="46"/>
      <c r="U47" s="185"/>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row>
    <row r="48" spans="1:50">
      <c r="A48" s="373" t="s">
        <v>227</v>
      </c>
      <c r="B48" s="12" t="s">
        <v>228</v>
      </c>
      <c r="C48" s="293" t="s">
        <v>210</v>
      </c>
      <c r="D48" s="413">
        <v>1</v>
      </c>
      <c r="E48" s="11">
        <v>1.2704918032786885</v>
      </c>
      <c r="F48" s="11">
        <v>1.9835616438356163</v>
      </c>
      <c r="G48" s="413">
        <v>1.3863013698630136</v>
      </c>
      <c r="H48" s="11">
        <v>44.079452054794537</v>
      </c>
      <c r="I48" s="11">
        <v>590.33333333333212</v>
      </c>
      <c r="J48" s="413">
        <v>1305.9506849315057</v>
      </c>
      <c r="K48" s="11">
        <v>1684.2739726027373</v>
      </c>
      <c r="L48" s="413">
        <v>2390.8273972603997</v>
      </c>
      <c r="M48" s="11">
        <v>2348.5928961748637</v>
      </c>
      <c r="N48" s="11">
        <f>2669.77868852447-N50</f>
        <v>2312.2431693987896</v>
      </c>
      <c r="O48" s="11">
        <v>2540.5315068493151</v>
      </c>
      <c r="P48" s="11">
        <v>2456</v>
      </c>
      <c r="Q48" s="11">
        <v>3351</v>
      </c>
      <c r="R48" s="11">
        <v>3299.3013698630102</v>
      </c>
      <c r="S48" s="11">
        <v>6203.0082191780803</v>
      </c>
      <c r="T48" s="46"/>
      <c r="U48" s="185" t="s">
        <v>229</v>
      </c>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row>
    <row r="49" spans="1:50">
      <c r="A49" s="373" t="s">
        <v>230</v>
      </c>
      <c r="B49" s="12" t="s">
        <v>231</v>
      </c>
      <c r="C49" s="293" t="s">
        <v>210</v>
      </c>
      <c r="D49" s="413">
        <v>15576.569863013739</v>
      </c>
      <c r="E49" s="11">
        <v>17434.860655737783</v>
      </c>
      <c r="F49" s="11">
        <v>14130.99452054832</v>
      </c>
      <c r="G49" s="413">
        <v>8097.4520547944339</v>
      </c>
      <c r="H49" s="11">
        <v>6733.2904109588981</v>
      </c>
      <c r="I49" s="11">
        <v>6240.8169398907157</v>
      </c>
      <c r="J49" s="413">
        <v>5614.2520547945078</v>
      </c>
      <c r="K49" s="11">
        <v>4059.9068493150594</v>
      </c>
      <c r="L49" s="413">
        <v>3928.9698630141274</v>
      </c>
      <c r="M49" s="11">
        <f>3769.47267759563-M50</f>
        <v>3405.9480874316955</v>
      </c>
      <c r="N49" s="11">
        <f>3633.9344262298-N50</f>
        <v>3276.3989071041196</v>
      </c>
      <c r="O49" s="11">
        <v>3512.7260273972597</v>
      </c>
      <c r="P49" s="11">
        <v>3562</v>
      </c>
      <c r="Q49" s="11">
        <v>3447</v>
      </c>
      <c r="R49" s="11">
        <v>3491.6383561643802</v>
      </c>
      <c r="S49" s="11">
        <v>3367.5178082191701</v>
      </c>
      <c r="T49" s="46"/>
      <c r="U49" s="185" t="s">
        <v>232</v>
      </c>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row>
    <row r="50" spans="1:50">
      <c r="A50" s="373" t="s">
        <v>233</v>
      </c>
      <c r="B50" s="12" t="s">
        <v>234</v>
      </c>
      <c r="C50" s="293" t="s">
        <v>210</v>
      </c>
      <c r="D50" s="413">
        <v>0</v>
      </c>
      <c r="E50" s="11">
        <v>0</v>
      </c>
      <c r="F50" s="11">
        <v>0</v>
      </c>
      <c r="G50" s="413">
        <v>2.7397260273972603E-3</v>
      </c>
      <c r="H50" s="11">
        <v>11.408219178082197</v>
      </c>
      <c r="I50" s="11">
        <v>154.19945355191265</v>
      </c>
      <c r="J50" s="413">
        <v>356.58630136986312</v>
      </c>
      <c r="K50" s="11">
        <v>431.00547945205506</v>
      </c>
      <c r="L50" s="413">
        <v>435.4849315068434</v>
      </c>
      <c r="M50" s="11">
        <v>363.52459016393442</v>
      </c>
      <c r="N50" s="11">
        <v>357.5355191256802</v>
      </c>
      <c r="O50" s="11">
        <v>392.86301369863014</v>
      </c>
      <c r="P50" s="11">
        <v>434</v>
      </c>
      <c r="Q50" s="11">
        <v>429</v>
      </c>
      <c r="R50" s="11">
        <v>422.57534246575301</v>
      </c>
      <c r="S50" s="11">
        <v>442.79178082191697</v>
      </c>
      <c r="T50" s="46"/>
      <c r="U50" s="185" t="s">
        <v>235</v>
      </c>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row>
    <row r="51" spans="1:50">
      <c r="A51" s="373" t="s">
        <v>236</v>
      </c>
      <c r="B51" s="12" t="s">
        <v>1749</v>
      </c>
      <c r="C51" s="293" t="s">
        <v>210</v>
      </c>
      <c r="D51" s="413">
        <v>95.36</v>
      </c>
      <c r="E51" s="413">
        <v>204.9</v>
      </c>
      <c r="F51" s="413">
        <v>494.3</v>
      </c>
      <c r="G51" s="413">
        <v>603</v>
      </c>
      <c r="H51" s="413">
        <v>17989.53</v>
      </c>
      <c r="I51" s="413">
        <v>219537.53</v>
      </c>
      <c r="J51" s="413">
        <v>516316.53</v>
      </c>
      <c r="K51" s="413">
        <v>554562.57999999996</v>
      </c>
      <c r="L51" s="413">
        <v>486636.73999999836</v>
      </c>
      <c r="M51" s="11">
        <v>440264.52</v>
      </c>
      <c r="N51" s="413">
        <v>428411.79630000057</v>
      </c>
      <c r="O51" s="413">
        <v>393693.5232000004</v>
      </c>
      <c r="P51" s="11">
        <v>377876</v>
      </c>
      <c r="Q51" s="11">
        <v>438728</v>
      </c>
      <c r="R51" s="11">
        <v>435402.98190000001</v>
      </c>
      <c r="S51" s="11">
        <v>713023.52740000002</v>
      </c>
      <c r="T51" s="46"/>
      <c r="U51" s="185" t="s">
        <v>1749</v>
      </c>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row>
    <row r="52" spans="1:50">
      <c r="A52" s="373" t="s">
        <v>238</v>
      </c>
      <c r="B52" s="12" t="s">
        <v>1750</v>
      </c>
      <c r="C52" s="293" t="s">
        <v>210</v>
      </c>
      <c r="D52" s="413">
        <v>0</v>
      </c>
      <c r="E52" s="413">
        <v>0</v>
      </c>
      <c r="F52" s="413">
        <v>0</v>
      </c>
      <c r="G52" s="413">
        <v>0</v>
      </c>
      <c r="H52" s="413">
        <v>0</v>
      </c>
      <c r="I52" s="413">
        <v>0</v>
      </c>
      <c r="J52" s="413">
        <v>0</v>
      </c>
      <c r="K52" s="413">
        <v>0</v>
      </c>
      <c r="L52" s="413">
        <v>0</v>
      </c>
      <c r="M52" s="413">
        <v>0</v>
      </c>
      <c r="N52" s="413">
        <v>0</v>
      </c>
      <c r="O52" s="413">
        <v>0</v>
      </c>
      <c r="P52" s="11">
        <v>0</v>
      </c>
      <c r="Q52" s="11">
        <v>0</v>
      </c>
      <c r="R52" s="11">
        <v>0</v>
      </c>
      <c r="S52" s="11">
        <v>0</v>
      </c>
      <c r="T52" s="46"/>
      <c r="U52" s="185" t="s">
        <v>1750</v>
      </c>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row>
    <row r="53" spans="1:50">
      <c r="A53" s="373" t="s">
        <v>240</v>
      </c>
      <c r="B53" s="12" t="s">
        <v>241</v>
      </c>
      <c r="C53" s="293" t="s">
        <v>210</v>
      </c>
      <c r="D53" s="414">
        <f t="shared" ref="D53:N53" si="61">+D51/D48</f>
        <v>95.36</v>
      </c>
      <c r="E53" s="414">
        <f t="shared" si="61"/>
        <v>161.27612903225807</v>
      </c>
      <c r="F53" s="414">
        <f t="shared" si="61"/>
        <v>249.19820441988952</v>
      </c>
      <c r="G53" s="414">
        <f t="shared" si="61"/>
        <v>434.97035573122537</v>
      </c>
      <c r="H53" s="414">
        <f t="shared" si="61"/>
        <v>408.11600783143746</v>
      </c>
      <c r="I53" s="414">
        <f t="shared" si="61"/>
        <v>371.88740259740337</v>
      </c>
      <c r="J53" s="414">
        <f t="shared" si="61"/>
        <v>395.35683541303069</v>
      </c>
      <c r="K53" s="414">
        <f t="shared" si="61"/>
        <v>329.2591282777023</v>
      </c>
      <c r="L53" s="414">
        <f t="shared" si="61"/>
        <v>203.54323384349095</v>
      </c>
      <c r="M53" s="414">
        <f t="shared" si="61"/>
        <v>187.45884853737559</v>
      </c>
      <c r="N53" s="414">
        <f t="shared" si="61"/>
        <v>185.27973267249078</v>
      </c>
      <c r="O53" s="414">
        <v>154.96502292476836</v>
      </c>
      <c r="P53" s="165">
        <v>153.85830618892507</v>
      </c>
      <c r="Q53" s="165">
        <v>130.92450014920919</v>
      </c>
      <c r="R53" s="165">
        <v>131.9682360263071</v>
      </c>
      <c r="S53" s="165">
        <v>114.94802234753094</v>
      </c>
      <c r="T53" s="46"/>
      <c r="U53" s="185" t="s">
        <v>241</v>
      </c>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row>
    <row r="54" spans="1:50">
      <c r="A54" s="375" t="s">
        <v>178</v>
      </c>
      <c r="C54" s="238"/>
      <c r="D54" s="7"/>
      <c r="E54" s="7"/>
      <c r="F54" s="7"/>
      <c r="G54" s="7"/>
      <c r="H54" s="7"/>
      <c r="I54" s="7"/>
      <c r="J54" s="7"/>
      <c r="K54" s="7"/>
      <c r="L54" s="7"/>
      <c r="M54" s="7"/>
      <c r="N54" s="7"/>
      <c r="O54" s="7"/>
      <c r="P54" s="7"/>
      <c r="Q54" s="7"/>
      <c r="T54" s="46"/>
      <c r="U54" s="185"/>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row>
    <row r="55" spans="1:50">
      <c r="A55" s="288" t="s">
        <v>178</v>
      </c>
      <c r="B55" s="163" t="s">
        <v>242</v>
      </c>
      <c r="C55" s="238"/>
      <c r="D55" s="7"/>
      <c r="E55" s="7"/>
      <c r="F55" s="7"/>
      <c r="G55" s="7"/>
      <c r="H55" s="7"/>
      <c r="I55" s="7"/>
      <c r="J55" s="7"/>
      <c r="K55" s="7"/>
      <c r="L55" s="7"/>
      <c r="M55" s="7"/>
      <c r="N55" s="7"/>
      <c r="O55" s="7"/>
      <c r="P55" s="7"/>
      <c r="Q55" s="7"/>
      <c r="T55" s="46"/>
      <c r="U55" s="185"/>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row>
    <row r="56" spans="1:50">
      <c r="A56" s="373" t="s">
        <v>243</v>
      </c>
      <c r="B56" s="12" t="s">
        <v>209</v>
      </c>
      <c r="C56" s="293" t="s">
        <v>210</v>
      </c>
      <c r="D56" s="413">
        <v>1335051.5845964018</v>
      </c>
      <c r="E56" s="11">
        <v>900593.33469945251</v>
      </c>
      <c r="F56" s="11">
        <v>932585.64219177573</v>
      </c>
      <c r="G56" s="11">
        <v>907948.6343835626</v>
      </c>
      <c r="H56" s="11">
        <v>854057.73191781051</v>
      </c>
      <c r="I56" s="11">
        <v>846475.05174863222</v>
      </c>
      <c r="J56" s="11">
        <v>851983.77890411089</v>
      </c>
      <c r="K56" s="11">
        <v>880812.87383561779</v>
      </c>
      <c r="L56" s="11">
        <f>+P2a!D41+P2a!D42+P2a!D43</f>
        <v>873424.7766210062</v>
      </c>
      <c r="M56" s="11">
        <f>+P2a!E41+P2a!E42+P2a!E43</f>
        <v>870277.21612331318</v>
      </c>
      <c r="N56" s="11">
        <f>+P2a!F41+P2a!F42+P2a!F43</f>
        <v>863872.85204189178</v>
      </c>
      <c r="O56" s="11">
        <v>1069453.4304362673</v>
      </c>
      <c r="P56" s="11">
        <v>866902</v>
      </c>
      <c r="Q56" s="11">
        <v>897579</v>
      </c>
      <c r="R56" s="11">
        <v>881099.29290684604</v>
      </c>
      <c r="S56" s="11">
        <v>990337.29467123398</v>
      </c>
      <c r="T56" s="46"/>
      <c r="U56" s="185" t="s">
        <v>244</v>
      </c>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row>
    <row r="57" spans="1:50">
      <c r="A57" s="373" t="s">
        <v>245</v>
      </c>
      <c r="B57" s="12" t="s">
        <v>246</v>
      </c>
      <c r="C57" s="293" t="s">
        <v>210</v>
      </c>
      <c r="D57" s="413">
        <v>322396.59366299608</v>
      </c>
      <c r="E57" s="11">
        <v>372373.51612021809</v>
      </c>
      <c r="F57" s="11">
        <v>315599.50232876663</v>
      </c>
      <c r="G57" s="11">
        <v>223092.49315068347</v>
      </c>
      <c r="H57" s="11">
        <v>164344.76712328778</v>
      </c>
      <c r="I57" s="11">
        <v>154654.26229508244</v>
      </c>
      <c r="J57" s="11">
        <v>148105.04109589034</v>
      </c>
      <c r="K57" s="11">
        <v>140120.71232876694</v>
      </c>
      <c r="L57" s="11">
        <f>+P2a!D56-L56</f>
        <v>135726.19178082189</v>
      </c>
      <c r="M57" s="11">
        <f>+P2a!E56-M56</f>
        <v>27912.112932604738</v>
      </c>
      <c r="N57" s="11">
        <f>+P2a!F56-N56</f>
        <v>130421.43897996342</v>
      </c>
      <c r="O57" s="11" t="s">
        <v>57</v>
      </c>
      <c r="P57" s="11" t="s">
        <v>57</v>
      </c>
      <c r="Q57" s="11" t="s">
        <v>57</v>
      </c>
      <c r="R57" s="11" t="s">
        <v>57</v>
      </c>
      <c r="S57" s="11" t="s">
        <v>57</v>
      </c>
      <c r="T57" s="46"/>
      <c r="U57" s="185" t="s">
        <v>247</v>
      </c>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row>
    <row r="58" spans="1:50">
      <c r="A58" s="373" t="s">
        <v>248</v>
      </c>
      <c r="B58" s="167" t="s">
        <v>225</v>
      </c>
      <c r="C58" s="294" t="s">
        <v>160</v>
      </c>
      <c r="D58" s="13">
        <f>SUM(D56:D57)</f>
        <v>1657448.1782593979</v>
      </c>
      <c r="E58" s="6">
        <f t="shared" ref="E58:K58" si="62">SUM(E56:E57)</f>
        <v>1272966.8508196706</v>
      </c>
      <c r="F58" s="6">
        <f t="shared" si="62"/>
        <v>1248185.1445205424</v>
      </c>
      <c r="G58" s="6">
        <f t="shared" si="62"/>
        <v>1131041.1275342461</v>
      </c>
      <c r="H58" s="6">
        <f t="shared" si="62"/>
        <v>1018402.4990410983</v>
      </c>
      <c r="I58" s="6">
        <f t="shared" si="62"/>
        <v>1001129.3140437147</v>
      </c>
      <c r="J58" s="6">
        <f t="shared" si="62"/>
        <v>1000088.8200000012</v>
      </c>
      <c r="K58" s="6">
        <f t="shared" si="62"/>
        <v>1020933.5861643847</v>
      </c>
      <c r="L58" s="6">
        <f>SUM(L56:L57)</f>
        <v>1009150.9684018281</v>
      </c>
      <c r="M58" s="6">
        <f>SUM(M56:M57)</f>
        <v>898189.32905591791</v>
      </c>
      <c r="N58" s="6">
        <f>SUM(N56:N57)</f>
        <v>994294.2910218552</v>
      </c>
      <c r="O58" s="6">
        <f>SUM(O56:O57)</f>
        <v>1069453.4304362673</v>
      </c>
      <c r="P58" s="6">
        <f t="shared" ref="P58:Q58" si="63">SUM(P56:P57)</f>
        <v>866902</v>
      </c>
      <c r="Q58" s="6">
        <f t="shared" si="63"/>
        <v>897579</v>
      </c>
      <c r="R58" s="6">
        <f t="shared" ref="R58:S58" si="64">SUM(R56:R57)</f>
        <v>881099.29290684604</v>
      </c>
      <c r="S58" s="6">
        <f t="shared" si="64"/>
        <v>990337.29467123398</v>
      </c>
      <c r="T58" s="46"/>
      <c r="U58" s="185" t="s">
        <v>249</v>
      </c>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row>
    <row r="59" spans="1:50">
      <c r="A59" s="375" t="s">
        <v>178</v>
      </c>
      <c r="B59" s="168"/>
      <c r="C59" s="290"/>
      <c r="D59" s="7"/>
      <c r="E59" s="7"/>
      <c r="F59" s="7"/>
      <c r="G59" s="7"/>
      <c r="H59" s="7"/>
      <c r="I59" s="7"/>
      <c r="J59" s="7"/>
      <c r="K59" s="7"/>
      <c r="L59" s="7"/>
      <c r="M59" s="7"/>
      <c r="N59" s="7"/>
      <c r="O59" s="7"/>
      <c r="P59" s="7"/>
      <c r="Q59" s="7"/>
      <c r="T59" s="46"/>
      <c r="U59" s="185"/>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row>
    <row r="60" spans="1:50">
      <c r="A60" s="442" t="s">
        <v>178</v>
      </c>
      <c r="B60" s="441" t="s">
        <v>250</v>
      </c>
      <c r="C60" s="295"/>
      <c r="D60" s="7"/>
      <c r="E60" s="7"/>
      <c r="F60" s="7"/>
      <c r="G60" s="7"/>
      <c r="H60" s="7"/>
      <c r="I60" s="7"/>
      <c r="J60" s="7"/>
      <c r="K60" s="7"/>
      <c r="L60" s="7"/>
      <c r="M60" s="7"/>
      <c r="N60" s="7"/>
      <c r="O60" s="7"/>
      <c r="P60" s="7"/>
      <c r="Q60" s="7"/>
      <c r="T60" s="46"/>
      <c r="U60" s="185"/>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row>
    <row r="61" spans="1:50">
      <c r="A61" s="376" t="s">
        <v>251</v>
      </c>
      <c r="B61" s="12" t="s">
        <v>252</v>
      </c>
      <c r="C61" s="293" t="s">
        <v>210</v>
      </c>
      <c r="D61" s="413">
        <v>1335051.5845964018</v>
      </c>
      <c r="E61" s="11">
        <v>900593.33469945251</v>
      </c>
      <c r="F61" s="11">
        <v>932585.64219177573</v>
      </c>
      <c r="G61" s="11">
        <v>1027660.5754769375</v>
      </c>
      <c r="H61" s="11">
        <v>854057.73191781051</v>
      </c>
      <c r="I61" s="11">
        <v>846475.05174863222</v>
      </c>
      <c r="J61" s="11">
        <v>851983.77890411089</v>
      </c>
      <c r="K61" s="11">
        <v>880812.87383561779</v>
      </c>
      <c r="L61" s="11">
        <f>+P2a!D59+P2a!D67+P2a!D75</f>
        <v>873424.7766210062</v>
      </c>
      <c r="M61" s="11">
        <f>+P2a!E59+P2a!E67+P2a!E75</f>
        <v>3256704.1672420492</v>
      </c>
      <c r="N61" s="11">
        <f>+P2a!F59+P2a!F67+P2a!F75</f>
        <v>863872.85204189178</v>
      </c>
      <c r="O61" s="11">
        <v>1069453.4304362673</v>
      </c>
      <c r="P61" s="11">
        <v>866902</v>
      </c>
      <c r="Q61" s="11">
        <v>897579</v>
      </c>
      <c r="R61" s="11">
        <v>881099.29290684604</v>
      </c>
      <c r="S61" s="11">
        <v>990337.29467123398</v>
      </c>
      <c r="T61" s="46"/>
      <c r="U61" s="185" t="s">
        <v>253</v>
      </c>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row>
    <row r="62" spans="1:50">
      <c r="A62" s="373" t="s">
        <v>254</v>
      </c>
      <c r="B62" s="12" t="s">
        <v>255</v>
      </c>
      <c r="C62" s="293" t="s">
        <v>210</v>
      </c>
      <c r="D62" s="413">
        <v>4216883.1139809806</v>
      </c>
      <c r="E62" s="11">
        <v>3052830.532950812</v>
      </c>
      <c r="F62" s="11">
        <v>3072131.745342433</v>
      </c>
      <c r="G62" s="11">
        <v>3420829.2783607221</v>
      </c>
      <c r="H62" s="11">
        <v>2759696.814794525</v>
      </c>
      <c r="I62" s="11">
        <v>2678457.7549180314</v>
      </c>
      <c r="J62" s="11">
        <v>2677890.5263013705</v>
      </c>
      <c r="K62" s="11">
        <v>2653455.6013698624</v>
      </c>
      <c r="L62" s="11">
        <f>+P2a!D60+P2a!D68+P2a!D76</f>
        <v>2563366.7189497673</v>
      </c>
      <c r="M62" s="11">
        <f>+P2a!E60+P2a!E68+P2a!E76</f>
        <v>147274.25839617485</v>
      </c>
      <c r="N62" s="11">
        <f>+P2a!F60+P2a!F68+P2a!F76</f>
        <v>2514605.5878777821</v>
      </c>
      <c r="O62" s="11">
        <v>3557993.1918267459</v>
      </c>
      <c r="P62" s="11">
        <v>3336723.01134934</v>
      </c>
      <c r="Q62" s="11">
        <v>3306830.25</v>
      </c>
      <c r="R62" s="11">
        <v>3221003.1157520702</v>
      </c>
      <c r="S62" s="11">
        <v>3325632.51118625</v>
      </c>
      <c r="T62" s="46"/>
      <c r="U62" s="185" t="s">
        <v>256</v>
      </c>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row>
    <row r="63" spans="1:50">
      <c r="A63" s="373" t="s">
        <v>257</v>
      </c>
      <c r="B63" s="12" t="s">
        <v>1739</v>
      </c>
      <c r="C63" s="293" t="s">
        <v>210</v>
      </c>
      <c r="D63" s="413">
        <v>2478560.1334492071</v>
      </c>
      <c r="E63" s="11">
        <v>2863913.1628961754</v>
      </c>
      <c r="F63" s="11">
        <v>2321327.2871233579</v>
      </c>
      <c r="G63" s="11">
        <v>2346927.4296525568</v>
      </c>
      <c r="H63" s="11">
        <v>1276692.7972602742</v>
      </c>
      <c r="I63" s="11">
        <v>1210575.1324043721</v>
      </c>
      <c r="J63" s="11">
        <v>1203714.2826027407</v>
      </c>
      <c r="K63" s="11">
        <v>1086829.9045205237</v>
      </c>
      <c r="L63" s="11">
        <f>+P2a!D61+P2a!D69+P2a!D77</f>
        <v>1029363.3812328763</v>
      </c>
      <c r="M63" s="11">
        <f>+P2a!E61+P2a!E69+P2a!E77</f>
        <v>985548.80537285993</v>
      </c>
      <c r="N63" s="11">
        <f>+P2a!F61+P2a!F69+P2a!F77</f>
        <v>1018280.6276484516</v>
      </c>
      <c r="O63" s="11" t="s">
        <v>57</v>
      </c>
      <c r="P63" s="11" t="s">
        <v>57</v>
      </c>
      <c r="Q63" s="11" t="s">
        <v>57</v>
      </c>
      <c r="R63" s="11" t="s">
        <v>57</v>
      </c>
      <c r="S63" s="11" t="s">
        <v>57</v>
      </c>
      <c r="T63" s="46"/>
      <c r="U63" s="185" t="s">
        <v>258</v>
      </c>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row>
    <row r="64" spans="1:50">
      <c r="A64" s="373" t="s">
        <v>259</v>
      </c>
      <c r="B64" s="12" t="s">
        <v>1740</v>
      </c>
      <c r="C64" s="293" t="s">
        <v>210</v>
      </c>
      <c r="D64" s="413">
        <v>0</v>
      </c>
      <c r="E64" s="11">
        <v>0</v>
      </c>
      <c r="F64" s="11"/>
      <c r="G64" s="11">
        <v>0</v>
      </c>
      <c r="H64" s="11">
        <v>0</v>
      </c>
      <c r="I64" s="11">
        <v>0</v>
      </c>
      <c r="J64" s="11">
        <v>0</v>
      </c>
      <c r="K64" s="11"/>
      <c r="L64" s="11">
        <f>+P2a!D62+P2a!D70+P2a!D78</f>
        <v>0</v>
      </c>
      <c r="M64" s="11">
        <f>+P2a!E62+P2a!E70+P2a!E78</f>
        <v>0</v>
      </c>
      <c r="N64" s="11">
        <f>+P2a!F62+P2a!F70+P2a!F78</f>
        <v>0</v>
      </c>
      <c r="O64" s="11" t="s">
        <v>57</v>
      </c>
      <c r="P64" s="11" t="s">
        <v>57</v>
      </c>
      <c r="Q64" s="11" t="s">
        <v>57</v>
      </c>
      <c r="R64" s="11" t="s">
        <v>57</v>
      </c>
      <c r="S64" s="11" t="s">
        <v>57</v>
      </c>
      <c r="T64" s="46"/>
      <c r="U64" s="185" t="s">
        <v>260</v>
      </c>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row>
    <row r="65" spans="1:50">
      <c r="A65" s="373" t="s">
        <v>261</v>
      </c>
      <c r="B65" s="12" t="s">
        <v>262</v>
      </c>
      <c r="C65" s="293" t="s">
        <v>210</v>
      </c>
      <c r="D65" s="413">
        <v>0</v>
      </c>
      <c r="E65" s="11">
        <v>0</v>
      </c>
      <c r="F65" s="11"/>
      <c r="G65" s="11">
        <v>0</v>
      </c>
      <c r="H65" s="11">
        <v>0</v>
      </c>
      <c r="I65" s="11">
        <v>0</v>
      </c>
      <c r="J65" s="11">
        <v>0</v>
      </c>
      <c r="K65" s="11">
        <v>0</v>
      </c>
      <c r="L65" s="11">
        <f>+P2a!D63+P2a!D71+P2a!D79</f>
        <v>0</v>
      </c>
      <c r="M65" s="11">
        <f>+P2a!E63+P2a!E71+P2a!E79</f>
        <v>0</v>
      </c>
      <c r="N65" s="11">
        <f>+P2a!F63+P2a!F71+P2a!F79</f>
        <v>0</v>
      </c>
      <c r="O65" s="11" t="s">
        <v>57</v>
      </c>
      <c r="P65" s="11" t="s">
        <v>57</v>
      </c>
      <c r="Q65" s="11" t="s">
        <v>57</v>
      </c>
      <c r="R65" s="11" t="s">
        <v>57</v>
      </c>
      <c r="S65" s="11" t="s">
        <v>57</v>
      </c>
      <c r="T65" s="46"/>
      <c r="U65" s="185" t="s">
        <v>263</v>
      </c>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row>
    <row r="66" spans="1:50">
      <c r="A66" s="373" t="s">
        <v>264</v>
      </c>
      <c r="B66" s="16" t="s">
        <v>265</v>
      </c>
      <c r="C66" s="294" t="s">
        <v>160</v>
      </c>
      <c r="D66" s="13">
        <f t="shared" ref="D66:M66" si="65">SUM(D61:D65)</f>
        <v>8030494.8320265897</v>
      </c>
      <c r="E66" s="6">
        <f t="shared" si="65"/>
        <v>6817337.0305464398</v>
      </c>
      <c r="F66" s="6">
        <f t="shared" si="65"/>
        <v>6326044.6746575665</v>
      </c>
      <c r="G66" s="6">
        <f t="shared" si="65"/>
        <v>6795417.2834902164</v>
      </c>
      <c r="H66" s="6">
        <f t="shared" si="65"/>
        <v>4890447.3439726103</v>
      </c>
      <c r="I66" s="6">
        <f t="shared" si="65"/>
        <v>4735507.9390710359</v>
      </c>
      <c r="J66" s="6">
        <f t="shared" si="65"/>
        <v>4733588.5878082216</v>
      </c>
      <c r="K66" s="6">
        <f t="shared" si="65"/>
        <v>4621098.3797260039</v>
      </c>
      <c r="L66" s="6">
        <f t="shared" si="65"/>
        <v>4466154.8768036496</v>
      </c>
      <c r="M66" s="6">
        <f t="shared" si="65"/>
        <v>4389527.2310110843</v>
      </c>
      <c r="N66" s="6">
        <f t="shared" ref="N66" si="66">SUM(N61:N65)</f>
        <v>4396759.0675681252</v>
      </c>
      <c r="O66" s="6">
        <f t="shared" ref="O66:Q66" si="67">SUM(O61:O65)</f>
        <v>4627446.6222630134</v>
      </c>
      <c r="P66" s="6">
        <f t="shared" si="67"/>
        <v>4203625.01134934</v>
      </c>
      <c r="Q66" s="6">
        <f t="shared" si="67"/>
        <v>4204409.25</v>
      </c>
      <c r="R66" s="6">
        <f t="shared" ref="R66:S66" si="68">SUM(R61:R65)</f>
        <v>4102102.4086589161</v>
      </c>
      <c r="S66" s="6">
        <f t="shared" si="68"/>
        <v>4315969.8058574842</v>
      </c>
      <c r="T66" s="46"/>
      <c r="U66" s="185" t="s">
        <v>266</v>
      </c>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row>
    <row r="67" spans="1:50">
      <c r="A67" s="375" t="s">
        <v>178</v>
      </c>
      <c r="C67" s="238"/>
      <c r="D67" s="7"/>
      <c r="E67" s="7"/>
      <c r="F67" s="7"/>
      <c r="G67" s="7"/>
      <c r="H67" s="7"/>
      <c r="I67" s="7"/>
      <c r="J67" s="7"/>
      <c r="K67" s="7"/>
      <c r="L67" s="7"/>
      <c r="M67" s="7"/>
      <c r="N67" s="7"/>
      <c r="O67" s="7"/>
      <c r="P67" s="7"/>
      <c r="Q67" s="7"/>
      <c r="T67" s="46"/>
      <c r="U67" s="171"/>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row>
    <row r="68" spans="1:50" s="1" customFormat="1">
      <c r="A68" s="442" t="s">
        <v>178</v>
      </c>
      <c r="B68" s="284" t="s">
        <v>267</v>
      </c>
      <c r="C68" s="295"/>
      <c r="D68" s="7"/>
      <c r="E68" s="7"/>
      <c r="F68" s="7"/>
      <c r="G68" s="7"/>
      <c r="H68" s="7"/>
      <c r="I68" s="415"/>
      <c r="J68" s="415"/>
      <c r="K68" s="415"/>
      <c r="L68" s="17"/>
      <c r="M68" s="17"/>
      <c r="N68" s="17"/>
      <c r="O68" s="17"/>
      <c r="P68" s="17"/>
      <c r="Q68" s="17"/>
      <c r="R68" s="17"/>
      <c r="S68" s="17"/>
      <c r="T68" s="46"/>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row>
    <row r="69" spans="1:50" s="1" customFormat="1">
      <c r="A69" s="376" t="s">
        <v>268</v>
      </c>
      <c r="B69" s="5" t="s">
        <v>209</v>
      </c>
      <c r="C69" s="293" t="s">
        <v>210</v>
      </c>
      <c r="D69" s="413">
        <v>67</v>
      </c>
      <c r="E69" s="11">
        <v>65</v>
      </c>
      <c r="F69" s="11">
        <v>66</v>
      </c>
      <c r="G69" s="11">
        <v>66</v>
      </c>
      <c r="H69" s="11">
        <v>65</v>
      </c>
      <c r="I69" s="11">
        <v>66</v>
      </c>
      <c r="J69" s="11">
        <v>66</v>
      </c>
      <c r="K69" s="11">
        <v>66</v>
      </c>
      <c r="L69" s="11">
        <f>+P2a!D83</f>
        <v>67</v>
      </c>
      <c r="M69" s="11">
        <f>+P2a!E83</f>
        <v>68</v>
      </c>
      <c r="N69" s="11">
        <f>+P2a!F83</f>
        <v>68</v>
      </c>
      <c r="O69" s="11">
        <v>69</v>
      </c>
      <c r="P69" s="11">
        <v>69</v>
      </c>
      <c r="Q69" s="11">
        <v>71</v>
      </c>
      <c r="R69" s="11">
        <v>71</v>
      </c>
      <c r="S69" s="11">
        <v>74</v>
      </c>
      <c r="T69" s="46"/>
      <c r="U69" s="21" t="s">
        <v>269</v>
      </c>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row>
    <row r="70" spans="1:50" s="1" customFormat="1">
      <c r="A70" s="373" t="s">
        <v>270</v>
      </c>
      <c r="B70" s="5" t="s">
        <v>213</v>
      </c>
      <c r="C70" s="293" t="s">
        <v>210</v>
      </c>
      <c r="D70" s="413">
        <v>130</v>
      </c>
      <c r="E70" s="11">
        <v>127</v>
      </c>
      <c r="F70" s="11">
        <v>130</v>
      </c>
      <c r="G70" s="11">
        <v>130</v>
      </c>
      <c r="H70" s="11">
        <v>129</v>
      </c>
      <c r="I70" s="11">
        <v>130</v>
      </c>
      <c r="J70" s="11">
        <v>129</v>
      </c>
      <c r="K70" s="11">
        <v>130</v>
      </c>
      <c r="L70" s="11">
        <f>+P2a!D86</f>
        <v>133</v>
      </c>
      <c r="M70" s="11">
        <f>+P2a!E86</f>
        <v>136</v>
      </c>
      <c r="N70" s="11">
        <f>+P2a!F86</f>
        <v>136</v>
      </c>
      <c r="O70" s="11" t="s">
        <v>57</v>
      </c>
      <c r="P70" s="11" t="s">
        <v>57</v>
      </c>
      <c r="Q70" s="11" t="s">
        <v>57</v>
      </c>
      <c r="R70" s="11" t="s">
        <v>57</v>
      </c>
      <c r="S70" s="11" t="s">
        <v>57</v>
      </c>
      <c r="T70" s="46"/>
      <c r="U70" s="21" t="s">
        <v>271</v>
      </c>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row>
    <row r="71" spans="1:50" s="1" customFormat="1">
      <c r="A71" s="373" t="s">
        <v>272</v>
      </c>
      <c r="B71" s="5" t="s">
        <v>216</v>
      </c>
      <c r="C71" s="293" t="s">
        <v>210</v>
      </c>
      <c r="D71" s="413">
        <v>512</v>
      </c>
      <c r="E71" s="11">
        <v>500</v>
      </c>
      <c r="F71" s="11">
        <v>512</v>
      </c>
      <c r="G71" s="11">
        <v>513</v>
      </c>
      <c r="H71" s="11">
        <v>510</v>
      </c>
      <c r="I71" s="11">
        <v>515</v>
      </c>
      <c r="J71" s="11">
        <v>513</v>
      </c>
      <c r="K71" s="11">
        <v>516</v>
      </c>
      <c r="L71" s="11">
        <f>+P2a!D89</f>
        <v>526</v>
      </c>
      <c r="M71" s="11">
        <f>+P2a!E89</f>
        <v>537</v>
      </c>
      <c r="N71" s="11">
        <f>+P2a!F89</f>
        <v>537</v>
      </c>
      <c r="O71" s="11" t="s">
        <v>57</v>
      </c>
      <c r="P71" s="11" t="s">
        <v>57</v>
      </c>
      <c r="Q71" s="11" t="s">
        <v>57</v>
      </c>
      <c r="R71" s="11" t="s">
        <v>57</v>
      </c>
      <c r="S71" s="11" t="s">
        <v>57</v>
      </c>
      <c r="T71" s="46"/>
      <c r="U71" s="21" t="s">
        <v>273</v>
      </c>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row>
    <row r="72" spans="1:50" s="1" customFormat="1">
      <c r="A72" s="373" t="s">
        <v>274</v>
      </c>
      <c r="B72" s="5" t="s">
        <v>219</v>
      </c>
      <c r="C72" s="293" t="s">
        <v>210</v>
      </c>
      <c r="D72" s="413">
        <v>925</v>
      </c>
      <c r="E72" s="11">
        <v>903</v>
      </c>
      <c r="F72" s="11">
        <v>924</v>
      </c>
      <c r="G72" s="11">
        <v>925</v>
      </c>
      <c r="H72" s="11">
        <v>920</v>
      </c>
      <c r="I72" s="11">
        <v>929</v>
      </c>
      <c r="J72" s="11">
        <v>925</v>
      </c>
      <c r="K72" s="11">
        <v>931</v>
      </c>
      <c r="L72" s="11">
        <f>+P2a!D92</f>
        <v>950</v>
      </c>
      <c r="M72" s="11">
        <f>+P2a!E92</f>
        <v>969</v>
      </c>
      <c r="N72" s="11">
        <f>+P2a!F92</f>
        <v>969</v>
      </c>
      <c r="O72" s="11" t="s">
        <v>57</v>
      </c>
      <c r="P72" s="11" t="s">
        <v>57</v>
      </c>
      <c r="Q72" s="11" t="s">
        <v>57</v>
      </c>
      <c r="R72" s="11" t="s">
        <v>57</v>
      </c>
      <c r="S72" s="11" t="s">
        <v>57</v>
      </c>
      <c r="T72" s="46"/>
      <c r="U72" s="21" t="s">
        <v>275</v>
      </c>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row>
    <row r="73" spans="1:50" s="1" customFormat="1">
      <c r="A73" s="373" t="s">
        <v>276</v>
      </c>
      <c r="B73" s="5" t="s">
        <v>222</v>
      </c>
      <c r="C73" s="293" t="s">
        <v>210</v>
      </c>
      <c r="D73" s="413">
        <v>1797</v>
      </c>
      <c r="E73" s="11">
        <v>1755</v>
      </c>
      <c r="F73" s="11">
        <v>1796</v>
      </c>
      <c r="G73" s="11">
        <v>1799</v>
      </c>
      <c r="H73" s="11">
        <v>1790</v>
      </c>
      <c r="I73" s="11">
        <v>1808</v>
      </c>
      <c r="J73" s="11">
        <v>1801</v>
      </c>
      <c r="K73" s="11">
        <v>1812</v>
      </c>
      <c r="L73" s="11">
        <f>+P2a!D95</f>
        <v>1848</v>
      </c>
      <c r="M73" s="11">
        <f>+P2a!E95</f>
        <v>1855</v>
      </c>
      <c r="N73" s="11">
        <f>+P2a!F95</f>
        <v>1855</v>
      </c>
      <c r="O73" s="11" t="s">
        <v>57</v>
      </c>
      <c r="P73" s="11" t="s">
        <v>57</v>
      </c>
      <c r="Q73" s="11" t="s">
        <v>57</v>
      </c>
      <c r="R73" s="11" t="s">
        <v>57</v>
      </c>
      <c r="S73" s="11" t="s">
        <v>57</v>
      </c>
      <c r="T73" s="46"/>
      <c r="U73" s="21" t="s">
        <v>277</v>
      </c>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row>
    <row r="74" spans="1:50" s="1" customFormat="1">
      <c r="A74" s="375" t="s">
        <v>178</v>
      </c>
      <c r="B74" s="18"/>
      <c r="C74" s="296"/>
      <c r="D74" s="7"/>
      <c r="E74" s="7"/>
      <c r="F74" s="7"/>
      <c r="G74" s="7"/>
      <c r="H74" s="7"/>
      <c r="I74" s="7"/>
      <c r="J74" s="7"/>
      <c r="K74" s="7"/>
      <c r="L74" s="7"/>
      <c r="M74" s="7"/>
      <c r="N74" s="7"/>
      <c r="O74" s="7"/>
      <c r="P74" s="7"/>
      <c r="Q74" s="7"/>
      <c r="R74" s="7"/>
      <c r="S74" s="7"/>
      <c r="T74" s="46"/>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row>
    <row r="75" spans="1:50">
      <c r="A75" s="442" t="s">
        <v>178</v>
      </c>
      <c r="B75" s="284" t="s">
        <v>278</v>
      </c>
      <c r="C75" s="295"/>
      <c r="D75" s="7"/>
      <c r="E75" s="7"/>
      <c r="F75" s="7"/>
      <c r="G75" s="7"/>
      <c r="H75" s="7"/>
      <c r="I75" s="7"/>
      <c r="J75" s="7"/>
      <c r="K75" s="7"/>
      <c r="L75" s="7"/>
      <c r="M75" s="7"/>
      <c r="N75" s="7"/>
      <c r="O75" s="7"/>
      <c r="P75" s="7"/>
      <c r="Q75" s="7"/>
      <c r="T75" s="46"/>
      <c r="U75" s="171"/>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row>
    <row r="76" spans="1:50">
      <c r="A76" s="376" t="s">
        <v>279</v>
      </c>
      <c r="B76" s="5" t="s">
        <v>280</v>
      </c>
      <c r="C76" s="293" t="s">
        <v>210</v>
      </c>
      <c r="D76" s="413">
        <v>0.73621140000000007</v>
      </c>
      <c r="E76" s="11">
        <v>0.67809279999999994</v>
      </c>
      <c r="F76" s="11">
        <v>0.66530359999999988</v>
      </c>
      <c r="G76" s="11">
        <v>0.63806759999999996</v>
      </c>
      <c r="H76" s="11">
        <v>0.61618760000000006</v>
      </c>
      <c r="I76" s="11">
        <v>0.50760000000000005</v>
      </c>
      <c r="J76" s="11">
        <v>0.50560000000000005</v>
      </c>
      <c r="K76" s="11">
        <v>0.50860000000000005</v>
      </c>
      <c r="L76" s="11">
        <f>+P2a!D100</f>
        <v>0.51880000000000004</v>
      </c>
      <c r="M76" s="11">
        <f>+P2a!E100</f>
        <v>0.5292</v>
      </c>
      <c r="N76" s="11">
        <f>+P2a!F100</f>
        <v>0.5292</v>
      </c>
      <c r="O76" s="11">
        <v>0.53979999999999995</v>
      </c>
      <c r="P76" s="11">
        <v>0.53979999999999995</v>
      </c>
      <c r="Q76" s="11">
        <v>0.55130000000000001</v>
      </c>
      <c r="R76" s="11">
        <v>0.55130000000000001</v>
      </c>
      <c r="S76" s="11">
        <v>0.57450000000000001</v>
      </c>
      <c r="T76" s="46"/>
      <c r="U76" s="171" t="s">
        <v>281</v>
      </c>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row>
    <row r="77" spans="1:50">
      <c r="A77" s="373" t="s">
        <v>282</v>
      </c>
      <c r="B77" s="5" t="s">
        <v>283</v>
      </c>
      <c r="C77" s="293" t="s">
        <v>210</v>
      </c>
      <c r="D77" s="413">
        <v>0.50460000000000005</v>
      </c>
      <c r="E77" s="11">
        <v>0.49280000000000002</v>
      </c>
      <c r="F77" s="11">
        <v>0.50439999999999996</v>
      </c>
      <c r="G77" s="11">
        <v>0.50519999999999998</v>
      </c>
      <c r="H77" s="11">
        <v>0.50260000000000005</v>
      </c>
      <c r="I77" s="11">
        <v>0.50760000000000005</v>
      </c>
      <c r="J77" s="11">
        <v>0.50560000000000005</v>
      </c>
      <c r="K77" s="11">
        <v>0.50860000000000005</v>
      </c>
      <c r="L77" s="11">
        <f>+P2a!D101</f>
        <v>0.51880000000000004</v>
      </c>
      <c r="M77" s="11">
        <f>+P2a!E101</f>
        <v>0.5292</v>
      </c>
      <c r="N77" s="11">
        <f>+P2a!F101</f>
        <v>0.5292</v>
      </c>
      <c r="O77" s="11">
        <v>0.53979999999999995</v>
      </c>
      <c r="P77" s="11">
        <v>0.53979999999999995</v>
      </c>
      <c r="Q77" s="11">
        <v>0.55130000000000001</v>
      </c>
      <c r="R77" s="11">
        <v>0.55130000000000001</v>
      </c>
      <c r="S77" s="11">
        <v>0.57450000000000001</v>
      </c>
      <c r="T77" s="46"/>
      <c r="U77" s="171" t="s">
        <v>284</v>
      </c>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row>
    <row r="78" spans="1:50">
      <c r="A78" s="375" t="s">
        <v>178</v>
      </c>
      <c r="B78" s="15"/>
      <c r="C78" s="290"/>
      <c r="D78" s="7"/>
      <c r="E78" s="7"/>
      <c r="F78" s="7"/>
      <c r="G78" s="7"/>
      <c r="H78" s="7"/>
      <c r="I78" s="7"/>
      <c r="J78" s="7"/>
      <c r="K78" s="7"/>
      <c r="L78" s="7"/>
      <c r="M78" s="7"/>
      <c r="N78" s="7"/>
      <c r="O78" s="7"/>
      <c r="P78" s="7"/>
      <c r="Q78" s="7"/>
      <c r="T78" s="46"/>
      <c r="U78" s="171"/>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row>
    <row r="79" spans="1:50">
      <c r="A79" s="442" t="s">
        <v>178</v>
      </c>
      <c r="B79" s="284" t="s">
        <v>285</v>
      </c>
      <c r="C79" s="295"/>
      <c r="D79" s="7"/>
      <c r="E79" s="7"/>
      <c r="F79" s="7"/>
      <c r="G79" s="7"/>
      <c r="H79" s="7"/>
      <c r="I79" s="7"/>
      <c r="J79" s="7"/>
      <c r="K79" s="7"/>
      <c r="L79" s="7"/>
      <c r="M79" s="7"/>
      <c r="N79" s="7"/>
      <c r="O79" s="7"/>
      <c r="P79" s="7"/>
      <c r="Q79" s="7"/>
      <c r="T79" s="46"/>
      <c r="U79" s="171"/>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row>
    <row r="80" spans="1:50">
      <c r="A80" s="376" t="s">
        <v>286</v>
      </c>
      <c r="B80" s="5" t="s">
        <v>252</v>
      </c>
      <c r="C80" s="293" t="s">
        <v>210</v>
      </c>
      <c r="D80" s="11">
        <v>1.0014576000000002</v>
      </c>
      <c r="E80" s="11">
        <v>0.92233279999999995</v>
      </c>
      <c r="F80" s="11">
        <v>0.90496589999999999</v>
      </c>
      <c r="G80" s="11">
        <v>0.86780729999999995</v>
      </c>
      <c r="H80" s="11">
        <v>0.83809359999999999</v>
      </c>
      <c r="I80" s="11">
        <v>0.69040000000000001</v>
      </c>
      <c r="J80" s="11">
        <v>0.68730000000000002</v>
      </c>
      <c r="K80" s="11">
        <v>0.69140000000000001</v>
      </c>
      <c r="L80" s="11">
        <f>+P2a!D106</f>
        <v>0.70520000000000005</v>
      </c>
      <c r="M80" s="11">
        <f>+P2a!E106</f>
        <v>0.71930000000000005</v>
      </c>
      <c r="N80" s="11">
        <f>+P2a!F106</f>
        <v>0.71930000000000005</v>
      </c>
      <c r="O80" s="11">
        <v>0.73370000000000002</v>
      </c>
      <c r="P80" s="11">
        <v>0.73370000000000002</v>
      </c>
      <c r="Q80" s="11">
        <v>0.752</v>
      </c>
      <c r="R80" s="11">
        <v>0.752</v>
      </c>
      <c r="S80" s="11">
        <v>0.78359999999999996</v>
      </c>
      <c r="T80" s="46"/>
      <c r="U80" s="171" t="s">
        <v>287</v>
      </c>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row>
    <row r="81" spans="1:50">
      <c r="A81" s="373" t="s">
        <v>288</v>
      </c>
      <c r="B81" s="5" t="s">
        <v>255</v>
      </c>
      <c r="C81" s="293" t="s">
        <v>210</v>
      </c>
      <c r="D81" s="11">
        <v>0.68640000000000001</v>
      </c>
      <c r="E81" s="11">
        <v>0.67030000000000001</v>
      </c>
      <c r="F81" s="11">
        <v>0.68610000000000004</v>
      </c>
      <c r="G81" s="11">
        <v>0.68710000000000004</v>
      </c>
      <c r="H81" s="11">
        <v>0.68359999999999999</v>
      </c>
      <c r="I81" s="11">
        <v>0.69040000000000001</v>
      </c>
      <c r="J81" s="11">
        <v>0.68730000000000002</v>
      </c>
      <c r="K81" s="11">
        <v>0.69140000000000001</v>
      </c>
      <c r="L81" s="11">
        <f>+P2a!D107</f>
        <v>0.70520000000000005</v>
      </c>
      <c r="M81" s="11">
        <f>+P2a!E107</f>
        <v>0.71930000000000005</v>
      </c>
      <c r="N81" s="11">
        <f>+P2a!F107</f>
        <v>0.71930000000000005</v>
      </c>
      <c r="O81" s="11">
        <v>0.73370000000000002</v>
      </c>
      <c r="P81" s="11">
        <v>0.73370000000000002</v>
      </c>
      <c r="Q81" s="11">
        <v>0.752</v>
      </c>
      <c r="R81" s="11">
        <v>0.752</v>
      </c>
      <c r="S81" s="11">
        <v>0.78359999999999996</v>
      </c>
      <c r="T81" s="46"/>
      <c r="U81" s="171" t="s">
        <v>289</v>
      </c>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row>
    <row r="82" spans="1:50">
      <c r="A82" s="373" t="s">
        <v>290</v>
      </c>
      <c r="B82" s="5" t="s">
        <v>1739</v>
      </c>
      <c r="C82" s="293" t="s">
        <v>210</v>
      </c>
      <c r="D82" s="11">
        <v>0.68640000000000001</v>
      </c>
      <c r="E82" s="11">
        <v>0.67030000000000001</v>
      </c>
      <c r="F82" s="11">
        <v>0.68610000000000004</v>
      </c>
      <c r="G82" s="11">
        <v>0.68710000000000004</v>
      </c>
      <c r="H82" s="11">
        <v>0.68359999999999999</v>
      </c>
      <c r="I82" s="11">
        <v>0.69040000000000001</v>
      </c>
      <c r="J82" s="11">
        <v>0.68730000000000002</v>
      </c>
      <c r="K82" s="11">
        <v>0.69140000000000001</v>
      </c>
      <c r="L82" s="11">
        <f>+P2a!D108</f>
        <v>0.70520000000000005</v>
      </c>
      <c r="M82" s="11">
        <f>+P2a!E108</f>
        <v>0.71930000000000005</v>
      </c>
      <c r="N82" s="11">
        <f>+P2a!F108</f>
        <v>0.71930000000000005</v>
      </c>
      <c r="O82" s="11" t="s">
        <v>57</v>
      </c>
      <c r="P82" s="11" t="s">
        <v>57</v>
      </c>
      <c r="Q82" s="11" t="s">
        <v>57</v>
      </c>
      <c r="R82" s="11" t="s">
        <v>57</v>
      </c>
      <c r="S82" s="11" t="s">
        <v>57</v>
      </c>
      <c r="T82" s="46"/>
      <c r="U82" s="171" t="s">
        <v>291</v>
      </c>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row>
    <row r="83" spans="1:50">
      <c r="A83" s="373" t="s">
        <v>292</v>
      </c>
      <c r="B83" s="5" t="s">
        <v>1740</v>
      </c>
      <c r="C83" s="293" t="s">
        <v>210</v>
      </c>
      <c r="D83" s="11">
        <v>0.5796</v>
      </c>
      <c r="E83" s="11">
        <v>0.56599999999999995</v>
      </c>
      <c r="F83" s="11">
        <v>0.57930000000000004</v>
      </c>
      <c r="G83" s="11">
        <v>0.58020000000000005</v>
      </c>
      <c r="H83" s="11">
        <v>0.57720000000000005</v>
      </c>
      <c r="I83" s="11">
        <v>0.58299999999999996</v>
      </c>
      <c r="J83" s="11">
        <v>0.58069999999999999</v>
      </c>
      <c r="K83" s="11">
        <v>0.58420000000000005</v>
      </c>
      <c r="L83" s="11">
        <f>+P2a!D109</f>
        <v>0.59589999999999999</v>
      </c>
      <c r="M83" s="11">
        <f>+P2a!E109</f>
        <v>0.60780000000000001</v>
      </c>
      <c r="N83" s="11">
        <f>+P2a!F109</f>
        <v>0.60780000000000001</v>
      </c>
      <c r="O83" s="11" t="s">
        <v>57</v>
      </c>
      <c r="P83" s="11" t="s">
        <v>57</v>
      </c>
      <c r="Q83" s="11" t="s">
        <v>57</v>
      </c>
      <c r="R83" s="11" t="s">
        <v>57</v>
      </c>
      <c r="S83" s="11" t="s">
        <v>57</v>
      </c>
      <c r="T83" s="46"/>
      <c r="U83" s="171" t="s">
        <v>293</v>
      </c>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row>
    <row r="84" spans="1:50">
      <c r="A84" s="373" t="s">
        <v>294</v>
      </c>
      <c r="B84" s="5" t="s">
        <v>262</v>
      </c>
      <c r="C84" s="293" t="s">
        <v>210</v>
      </c>
      <c r="D84" s="11">
        <v>0.35570000000000002</v>
      </c>
      <c r="E84" s="11">
        <v>0.34739999999999999</v>
      </c>
      <c r="F84" s="11">
        <v>0.35560000000000003</v>
      </c>
      <c r="G84" s="11">
        <v>0.35610000000000003</v>
      </c>
      <c r="H84" s="11">
        <v>0.3543</v>
      </c>
      <c r="I84" s="11">
        <v>0.35780000000000001</v>
      </c>
      <c r="J84" s="11">
        <v>0.35639999999999999</v>
      </c>
      <c r="K84" s="11">
        <v>0.35849999999999999</v>
      </c>
      <c r="L84" s="11">
        <f>+P2a!D110</f>
        <v>0.36570000000000003</v>
      </c>
      <c r="M84" s="11">
        <f>+P2a!E110</f>
        <v>0.373</v>
      </c>
      <c r="N84" s="11">
        <f>+P2a!F110</f>
        <v>0.373</v>
      </c>
      <c r="O84" s="11" t="s">
        <v>57</v>
      </c>
      <c r="P84" s="11" t="s">
        <v>57</v>
      </c>
      <c r="Q84" s="11" t="s">
        <v>57</v>
      </c>
      <c r="R84" s="11" t="s">
        <v>57</v>
      </c>
      <c r="S84" s="11" t="s">
        <v>57</v>
      </c>
      <c r="T84" s="46"/>
      <c r="U84" s="171" t="s">
        <v>295</v>
      </c>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row>
    <row r="85" spans="1:50">
      <c r="A85" s="375" t="s">
        <v>178</v>
      </c>
      <c r="C85" s="238"/>
      <c r="D85" s="7"/>
      <c r="E85" s="7"/>
      <c r="F85" s="7"/>
      <c r="G85" s="7"/>
      <c r="H85" s="7"/>
      <c r="I85" s="7"/>
      <c r="J85" s="7"/>
      <c r="K85" s="7"/>
      <c r="L85" s="7"/>
      <c r="M85" s="7"/>
      <c r="N85" s="7"/>
      <c r="O85" s="7"/>
      <c r="P85" s="7"/>
      <c r="Q85" s="7"/>
      <c r="T85" s="46"/>
      <c r="U85" s="171"/>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row>
    <row r="86" spans="1:50">
      <c r="A86" s="442" t="s">
        <v>178</v>
      </c>
      <c r="B86" s="284" t="s">
        <v>296</v>
      </c>
      <c r="C86" s="295"/>
      <c r="D86" s="7"/>
      <c r="E86" s="7"/>
      <c r="F86" s="7"/>
      <c r="G86" s="7"/>
      <c r="H86" s="7"/>
      <c r="I86" s="7"/>
      <c r="J86" s="7"/>
      <c r="K86" s="7"/>
      <c r="L86" s="7"/>
      <c r="M86" s="7"/>
      <c r="N86" s="7"/>
      <c r="O86" s="7"/>
      <c r="P86" s="7"/>
      <c r="Q86" s="7"/>
      <c r="T86" s="46"/>
      <c r="U86" s="171"/>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row>
    <row r="87" spans="1:50">
      <c r="A87" s="376" t="s">
        <v>297</v>
      </c>
      <c r="B87" s="176" t="s">
        <v>298</v>
      </c>
      <c r="C87" s="293" t="s">
        <v>210</v>
      </c>
      <c r="D87" s="11">
        <v>5787</v>
      </c>
      <c r="E87" s="11">
        <v>5904</v>
      </c>
      <c r="F87" s="11">
        <v>6023</v>
      </c>
      <c r="G87" s="11">
        <v>6114</v>
      </c>
      <c r="H87" s="11">
        <v>6123</v>
      </c>
      <c r="I87" s="11">
        <v>7367</v>
      </c>
      <c r="J87" s="11">
        <v>7519</v>
      </c>
      <c r="K87" s="11">
        <v>6039</v>
      </c>
      <c r="L87" s="11">
        <f>+P2a!D127</f>
        <v>6279</v>
      </c>
      <c r="M87" s="11">
        <f>+P2a!E127</f>
        <v>6077</v>
      </c>
      <c r="N87" s="11">
        <f>+P2a!F127</f>
        <v>6263.5839312038988</v>
      </c>
      <c r="O87" s="11">
        <v>5490.8145762713002</v>
      </c>
      <c r="P87" s="11">
        <v>6165.21</v>
      </c>
      <c r="Q87" s="11">
        <v>6044.12</v>
      </c>
      <c r="R87" s="11">
        <v>6256.5808219177998</v>
      </c>
      <c r="S87" s="11">
        <v>6084.2438356164303</v>
      </c>
      <c r="T87" s="46"/>
      <c r="U87" s="171" t="s">
        <v>299</v>
      </c>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row>
    <row r="88" spans="1:50">
      <c r="A88" s="373" t="s">
        <v>300</v>
      </c>
      <c r="B88" s="176" t="s">
        <v>301</v>
      </c>
      <c r="C88" s="293" t="s">
        <v>210</v>
      </c>
      <c r="D88" s="11">
        <v>-15.23</v>
      </c>
      <c r="E88" s="11">
        <v>-14.87</v>
      </c>
      <c r="F88" s="11">
        <v>-15.22</v>
      </c>
      <c r="G88" s="11">
        <v>-15.24</v>
      </c>
      <c r="H88" s="11">
        <v>-15.16</v>
      </c>
      <c r="I88" s="11">
        <v>-15.36</v>
      </c>
      <c r="J88" s="11">
        <v>-15.3</v>
      </c>
      <c r="K88" s="11">
        <v>-15.44</v>
      </c>
      <c r="L88" s="11">
        <f>+P2a!D128</f>
        <v>-15.9</v>
      </c>
      <c r="M88" s="11">
        <f>+P2a!E128</f>
        <v>-16.235199999999999</v>
      </c>
      <c r="N88" s="11">
        <f>+P2a!F128</f>
        <v>-16.235199999999999</v>
      </c>
      <c r="O88" s="11">
        <v>-16.52</v>
      </c>
      <c r="P88" s="11">
        <v>-16.52</v>
      </c>
      <c r="Q88" s="11">
        <v>-16.64</v>
      </c>
      <c r="R88" s="11">
        <v>-16.64</v>
      </c>
      <c r="S88" s="11">
        <v>-17.34</v>
      </c>
      <c r="T88" s="46"/>
      <c r="U88" s="171" t="s">
        <v>302</v>
      </c>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row>
    <row r="89" spans="1:50">
      <c r="A89" s="375" t="s">
        <v>178</v>
      </c>
      <c r="C89" s="238"/>
      <c r="D89" s="7"/>
      <c r="E89" s="7"/>
      <c r="F89" s="7"/>
      <c r="G89" s="7"/>
      <c r="H89" s="7"/>
      <c r="I89" s="7"/>
      <c r="J89" s="7"/>
      <c r="K89" s="7"/>
      <c r="L89" s="7"/>
      <c r="M89" s="7"/>
      <c r="N89" s="7"/>
      <c r="O89" s="7"/>
      <c r="P89" s="7"/>
      <c r="Q89" s="7"/>
      <c r="T89" s="46"/>
      <c r="U89" s="171"/>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row>
    <row r="90" spans="1:50">
      <c r="A90" s="442" t="s">
        <v>178</v>
      </c>
      <c r="B90" s="284" t="s">
        <v>303</v>
      </c>
      <c r="C90" s="295"/>
      <c r="D90" s="7"/>
      <c r="E90" s="7"/>
      <c r="F90" s="7"/>
      <c r="G90" s="7"/>
      <c r="H90" s="7"/>
      <c r="I90" s="7"/>
      <c r="J90" s="7"/>
      <c r="K90" s="7"/>
      <c r="L90" s="7"/>
      <c r="M90" s="7"/>
      <c r="N90" s="7"/>
      <c r="O90" s="7"/>
      <c r="P90" s="7"/>
      <c r="Q90" s="7"/>
      <c r="T90" s="46"/>
      <c r="U90" s="171"/>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row>
    <row r="91" spans="1:50">
      <c r="A91" s="376" t="s">
        <v>304</v>
      </c>
      <c r="B91" s="177" t="s">
        <v>305</v>
      </c>
      <c r="C91" s="289" t="s">
        <v>160</v>
      </c>
      <c r="D91" s="6">
        <f>SUMPRODUCT(D41:D45,D69:D73)</f>
        <v>1778094.9352147167</v>
      </c>
      <c r="E91" s="6">
        <f t="shared" ref="E91:K91" si="69">SUMPRODUCT(E41:E45,E69:E73)</f>
        <v>1218378.5218579234</v>
      </c>
      <c r="F91" s="6">
        <f t="shared" si="69"/>
        <v>1295262.0931506867</v>
      </c>
      <c r="G91" s="6">
        <f t="shared" si="69"/>
        <v>1207186.1890410983</v>
      </c>
      <c r="H91" s="6">
        <f t="shared" si="69"/>
        <v>1111372.3917808218</v>
      </c>
      <c r="I91" s="6">
        <f t="shared" si="69"/>
        <v>1112716.6338797854</v>
      </c>
      <c r="J91" s="6">
        <f t="shared" si="69"/>
        <v>1108817.3068493132</v>
      </c>
      <c r="K91" s="6">
        <f t="shared" si="69"/>
        <v>1466435.2547945229</v>
      </c>
      <c r="L91" s="6">
        <f>+P2a!D131</f>
        <v>1421224.6712328778</v>
      </c>
      <c r="M91" s="6">
        <f>+P2a!E131</f>
        <v>1427495.2531876187</v>
      </c>
      <c r="N91" s="6">
        <f>+P2a!F131</f>
        <v>1407713.6921675771</v>
      </c>
      <c r="O91" s="6">
        <f t="shared" ref="O91:Q91" si="70">SUMPRODUCT(O41:O45,O69:O73)</f>
        <v>1420172.7452054706</v>
      </c>
      <c r="P91" s="6">
        <f t="shared" si="70"/>
        <v>1397058.8699999999</v>
      </c>
      <c r="Q91" s="6">
        <f t="shared" si="70"/>
        <v>1518030.41</v>
      </c>
      <c r="R91" s="6">
        <f t="shared" ref="R91:S91" si="71">SUMPRODUCT(R41:R45,R69:R73)</f>
        <v>1496425.5671232832</v>
      </c>
      <c r="S91" s="6">
        <f t="shared" si="71"/>
        <v>1816086.5095890339</v>
      </c>
      <c r="T91" s="46"/>
      <c r="U91" s="171" t="s">
        <v>306</v>
      </c>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row>
    <row r="92" spans="1:50">
      <c r="A92" s="373" t="s">
        <v>307</v>
      </c>
      <c r="B92" s="175" t="s">
        <v>308</v>
      </c>
      <c r="C92" s="289" t="s">
        <v>160</v>
      </c>
      <c r="D92" s="6">
        <f>(D56*D76)+(D77*D57)</f>
        <v>1145561.5173302833</v>
      </c>
      <c r="E92" s="6">
        <f t="shared" ref="E92:K92" si="72">(E56*E76)+(E77*SUM(E57:E57))</f>
        <v>794191.52473173232</v>
      </c>
      <c r="F92" s="6">
        <f t="shared" si="72"/>
        <v>779640.9740331301</v>
      </c>
      <c r="G92" s="6">
        <f t="shared" si="72"/>
        <v>692038.93360412261</v>
      </c>
      <c r="H92" s="6">
        <f t="shared" si="72"/>
        <v>608859.46404804359</v>
      </c>
      <c r="I92" s="6">
        <f t="shared" si="72"/>
        <v>508173.23980858957</v>
      </c>
      <c r="J92" s="6">
        <f t="shared" si="72"/>
        <v>505644.90739200066</v>
      </c>
      <c r="K92" s="6">
        <f t="shared" si="72"/>
        <v>519246.82192320609</v>
      </c>
      <c r="L92" s="6">
        <f>+P2a!D132</f>
        <v>524235.14061204647</v>
      </c>
      <c r="M92" s="6">
        <f>+P2a!E132</f>
        <v>475831.87655466254</v>
      </c>
      <c r="N92" s="6">
        <f>+P2a!F132</f>
        <v>526782.83657300647</v>
      </c>
      <c r="O92" s="6">
        <f t="shared" ref="O92:Q92" si="73">(O56*O76)+(O77*SUM(O57:O57))</f>
        <v>577290.96174949699</v>
      </c>
      <c r="P92" s="6">
        <f t="shared" si="73"/>
        <v>467953.69959999993</v>
      </c>
      <c r="Q92" s="6">
        <f t="shared" si="73"/>
        <v>494835.3027</v>
      </c>
      <c r="R92" s="6">
        <f t="shared" ref="R92:S92" si="74">(R56*R76)+(R77*SUM(R57:R57))</f>
        <v>485750.04017954424</v>
      </c>
      <c r="S92" s="6">
        <f t="shared" si="74"/>
        <v>568948.77578862396</v>
      </c>
      <c r="T92" s="46"/>
      <c r="U92" s="171" t="s">
        <v>309</v>
      </c>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row>
    <row r="93" spans="1:50">
      <c r="A93" s="373" t="s">
        <v>310</v>
      </c>
      <c r="B93" s="178" t="s">
        <v>311</v>
      </c>
      <c r="C93" s="289" t="s">
        <v>160</v>
      </c>
      <c r="D93" s="6">
        <f t="shared" ref="D93:K93" si="75">SUMPRODUCT(D61:D65,D80:D84)</f>
        <v>5932749.8008221909</v>
      </c>
      <c r="E93" s="6">
        <f t="shared" si="75"/>
        <v>4796640.0713809188</v>
      </c>
      <c r="F93" s="6">
        <f t="shared" si="75"/>
        <v>4544410.4471879378</v>
      </c>
      <c r="G93" s="6">
        <f t="shared" si="75"/>
        <v>4854836.9833970116</v>
      </c>
      <c r="H93" s="6">
        <f t="shared" si="75"/>
        <v>3475056.2579514934</v>
      </c>
      <c r="I93" s="6">
        <f t="shared" si="75"/>
        <v>3269394.681134643</v>
      </c>
      <c r="J93" s="6">
        <f t="shared" si="75"/>
        <v>3253395.4364005909</v>
      </c>
      <c r="K93" s="6">
        <f t="shared" si="75"/>
        <v>3195027.4197425591</v>
      </c>
      <c r="L93" s="6">
        <f>+P2a!D133</f>
        <v>3153711.4353914</v>
      </c>
      <c r="M93" s="6">
        <f>+P2a!E133</f>
        <v>3160582.8165229848</v>
      </c>
      <c r="N93" s="6">
        <f>+P2a!F133</f>
        <v>3165591.8995242296</v>
      </c>
      <c r="O93" s="6">
        <f t="shared" ref="O93:Q93" si="76">SUMPRODUCT(O61:O65,O80:O84)</f>
        <v>3395157.5867543728</v>
      </c>
      <c r="P93" s="6">
        <f t="shared" si="76"/>
        <v>3084199.6708270106</v>
      </c>
      <c r="Q93" s="6">
        <f t="shared" si="76"/>
        <v>3161715.7560000001</v>
      </c>
      <c r="R93" s="6">
        <f t="shared" ref="R93:S93" si="77">SUMPRODUCT(R61:R65,R80:R84)</f>
        <v>3084781.011311505</v>
      </c>
      <c r="S93" s="6">
        <f t="shared" si="77"/>
        <v>3381993.9398699244</v>
      </c>
      <c r="T93" s="46"/>
      <c r="U93" s="171" t="s">
        <v>312</v>
      </c>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row>
    <row r="94" spans="1:50">
      <c r="A94" s="373" t="s">
        <v>313</v>
      </c>
      <c r="B94" s="176" t="s">
        <v>314</v>
      </c>
      <c r="C94" s="289" t="s">
        <v>160</v>
      </c>
      <c r="D94" s="6">
        <f t="shared" ref="D94:K94" si="78">D87*D88</f>
        <v>-88136.010000000009</v>
      </c>
      <c r="E94" s="6">
        <f t="shared" si="78"/>
        <v>-87792.48</v>
      </c>
      <c r="F94" s="6">
        <f t="shared" si="78"/>
        <v>-91670.06</v>
      </c>
      <c r="G94" s="6">
        <f t="shared" si="78"/>
        <v>-93177.36</v>
      </c>
      <c r="H94" s="6">
        <f t="shared" si="78"/>
        <v>-92824.680000000008</v>
      </c>
      <c r="I94" s="6">
        <f t="shared" si="78"/>
        <v>-113157.12</v>
      </c>
      <c r="J94" s="6">
        <f t="shared" si="78"/>
        <v>-115040.70000000001</v>
      </c>
      <c r="K94" s="6">
        <f t="shared" si="78"/>
        <v>-93242.16</v>
      </c>
      <c r="L94" s="6">
        <f>+P2a!D134</f>
        <v>-99836.1</v>
      </c>
      <c r="M94" s="6">
        <f>+P2a!E134</f>
        <v>-98661.310399999988</v>
      </c>
      <c r="N94" s="6">
        <f>+P2a!F134</f>
        <v>-101690.53783988154</v>
      </c>
      <c r="O94" s="6">
        <f t="shared" ref="O94:Q94" si="79">O87*O88</f>
        <v>-90708.25680000188</v>
      </c>
      <c r="P94" s="6">
        <f t="shared" si="79"/>
        <v>-101849.2692</v>
      </c>
      <c r="Q94" s="6">
        <f t="shared" si="79"/>
        <v>-100574.1568</v>
      </c>
      <c r="R94" s="6">
        <f t="shared" ref="R94:S94" si="80">R87*R88</f>
        <v>-104109.50487671219</v>
      </c>
      <c r="S94" s="6">
        <f t="shared" si="80"/>
        <v>-105500.7881095889</v>
      </c>
      <c r="T94" s="46"/>
      <c r="U94" s="171" t="s">
        <v>315</v>
      </c>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row>
    <row r="95" spans="1:50">
      <c r="A95" s="373" t="s">
        <v>316</v>
      </c>
      <c r="B95" s="176" t="s">
        <v>317</v>
      </c>
      <c r="C95" s="289" t="s">
        <v>160</v>
      </c>
      <c r="D95" s="6">
        <f t="shared" ref="D95:K95" si="81">SUM(D91:D94)</f>
        <v>8768270.2433671914</v>
      </c>
      <c r="E95" s="6">
        <f t="shared" si="81"/>
        <v>6721417.6379705742</v>
      </c>
      <c r="F95" s="6">
        <f t="shared" si="81"/>
        <v>6527643.454371755</v>
      </c>
      <c r="G95" s="6">
        <f t="shared" si="81"/>
        <v>6660884.746042232</v>
      </c>
      <c r="H95" s="6">
        <f t="shared" si="81"/>
        <v>5102463.4337803591</v>
      </c>
      <c r="I95" s="6">
        <f t="shared" si="81"/>
        <v>4777127.4348230185</v>
      </c>
      <c r="J95" s="6">
        <f t="shared" si="81"/>
        <v>4752816.950641905</v>
      </c>
      <c r="K95" s="6">
        <f t="shared" si="81"/>
        <v>5087467.3364602877</v>
      </c>
      <c r="L95" s="6">
        <f>+P2a!D135</f>
        <v>4999335.1472363248</v>
      </c>
      <c r="M95" s="6">
        <f>+P2a!E135</f>
        <v>4965248.6358652664</v>
      </c>
      <c r="N95" s="6">
        <f>+P2a!F135</f>
        <v>4998397.8904249324</v>
      </c>
      <c r="O95" s="6">
        <f t="shared" ref="O95:Q95" si="82">SUM(O91:O94)</f>
        <v>5301913.036909339</v>
      </c>
      <c r="P95" s="6">
        <f t="shared" si="82"/>
        <v>4847362.9712270107</v>
      </c>
      <c r="Q95" s="6">
        <f t="shared" si="82"/>
        <v>5074007.3119000001</v>
      </c>
      <c r="R95" s="6">
        <f t="shared" ref="R95:S95" si="83">SUM(R91:R94)</f>
        <v>4962847.1137376204</v>
      </c>
      <c r="S95" s="6">
        <f t="shared" si="83"/>
        <v>5661528.4371379931</v>
      </c>
      <c r="T95" s="46"/>
      <c r="U95" s="374" t="s">
        <v>161</v>
      </c>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row>
    <row r="96" spans="1:50">
      <c r="A96" s="375" t="s">
        <v>178</v>
      </c>
      <c r="C96" s="290"/>
      <c r="D96" s="8"/>
      <c r="E96" s="8"/>
      <c r="F96" s="8"/>
      <c r="G96" s="8"/>
      <c r="H96" s="8"/>
      <c r="I96" s="8"/>
      <c r="J96" s="8"/>
      <c r="K96" s="8"/>
      <c r="L96" s="8"/>
      <c r="M96" s="8"/>
      <c r="N96" s="8"/>
      <c r="O96" s="8"/>
      <c r="P96" s="8"/>
      <c r="Q96" s="8"/>
      <c r="R96" s="8"/>
      <c r="S96" s="8"/>
      <c r="T96" s="46"/>
      <c r="U96" s="171"/>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row>
    <row r="97" spans="1:50">
      <c r="A97" s="442" t="s">
        <v>178</v>
      </c>
      <c r="B97" s="443" t="s">
        <v>318</v>
      </c>
      <c r="C97" s="290"/>
      <c r="D97" s="8"/>
      <c r="E97" s="8"/>
      <c r="F97" s="8"/>
      <c r="G97" s="8"/>
      <c r="H97" s="8"/>
      <c r="I97" s="8"/>
      <c r="J97" s="8"/>
      <c r="K97" s="8"/>
      <c r="L97" s="8"/>
      <c r="M97" s="8"/>
      <c r="N97" s="8"/>
      <c r="O97" s="8"/>
      <c r="P97" s="8"/>
      <c r="Q97" s="8"/>
      <c r="R97" s="8"/>
      <c r="S97" s="8"/>
      <c r="T97" s="46"/>
      <c r="U97" s="171"/>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row>
    <row r="98" spans="1:50">
      <c r="A98" s="376" t="s">
        <v>319</v>
      </c>
      <c r="B98" s="169" t="s">
        <v>320</v>
      </c>
      <c r="C98" s="293" t="s">
        <v>210</v>
      </c>
      <c r="D98" s="11">
        <v>65.323700000000002</v>
      </c>
      <c r="E98" s="11">
        <v>107.50480000000002</v>
      </c>
      <c r="F98" s="11">
        <v>397.1782</v>
      </c>
      <c r="G98" s="11">
        <v>575.73329999999999</v>
      </c>
      <c r="H98" s="11">
        <v>17115.075499999999</v>
      </c>
      <c r="I98" s="11">
        <v>206789.48170000003</v>
      </c>
      <c r="J98" s="11">
        <v>476596.28899999987</v>
      </c>
      <c r="K98" s="11">
        <v>534127.51379999903</v>
      </c>
      <c r="L98" s="11">
        <f>+P2a!D138-L102</f>
        <v>507440.97039999964</v>
      </c>
      <c r="M98" s="11">
        <f>+P2a!E138</f>
        <v>504763.90789999889</v>
      </c>
      <c r="N98" s="11">
        <f>+P2a!F138-N102</f>
        <v>492913.92100000125</v>
      </c>
      <c r="O98" s="11">
        <v>481544.82620000624</v>
      </c>
      <c r="P98" s="11">
        <v>469295</v>
      </c>
      <c r="Q98" s="11">
        <v>595219</v>
      </c>
      <c r="R98" s="11">
        <v>589003.41019999899</v>
      </c>
      <c r="S98" s="11">
        <v>1063011.4964999999</v>
      </c>
      <c r="T98" s="46"/>
      <c r="U98" s="171" t="s">
        <v>321</v>
      </c>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row>
    <row r="99" spans="1:50" s="36" customFormat="1">
      <c r="A99" s="373" t="s">
        <v>322</v>
      </c>
      <c r="B99" s="170" t="s">
        <v>323</v>
      </c>
      <c r="C99" s="294" t="s">
        <v>160</v>
      </c>
      <c r="D99" s="35">
        <f>D98/D95</f>
        <v>7.4500098864327876E-6</v>
      </c>
      <c r="E99" s="35">
        <f>E98/E95</f>
        <v>1.5994363955705539E-5</v>
      </c>
      <c r="F99" s="35">
        <f t="shared" ref="F99:K99" si="84">F98/F95</f>
        <v>6.0845572031664513E-5</v>
      </c>
      <c r="G99" s="35">
        <f t="shared" si="84"/>
        <v>8.6434959010826527E-5</v>
      </c>
      <c r="H99" s="35">
        <f t="shared" si="84"/>
        <v>3.3542769531068697E-3</v>
      </c>
      <c r="I99" s="35">
        <f t="shared" si="84"/>
        <v>4.3287411634155226E-2</v>
      </c>
      <c r="J99" s="35">
        <f t="shared" si="84"/>
        <v>0.10027659258697767</v>
      </c>
      <c r="K99" s="35">
        <f t="shared" si="84"/>
        <v>0.10498888316630048</v>
      </c>
      <c r="L99" s="35">
        <f>L98/L95</f>
        <v>0.10150169081593126</v>
      </c>
      <c r="M99" s="35">
        <f>M98/M95</f>
        <v>0.10165934174050409</v>
      </c>
      <c r="N99" s="35">
        <f>N98/N95</f>
        <v>9.8614382409259696E-2</v>
      </c>
      <c r="O99" s="35">
        <f>O98/O95</f>
        <v>9.0824731157928371E-2</v>
      </c>
      <c r="P99" s="35">
        <f t="shared" ref="P99:S99" si="85">P98/P95</f>
        <v>9.6814495383498705E-2</v>
      </c>
      <c r="Q99" s="35">
        <f t="shared" si="85"/>
        <v>0.11730747778073575</v>
      </c>
      <c r="R99" s="35">
        <f t="shared" si="85"/>
        <v>0.11868256198535374</v>
      </c>
      <c r="S99" s="35">
        <f t="shared" si="85"/>
        <v>0.18776051525714349</v>
      </c>
      <c r="T99" s="46"/>
      <c r="U99" s="377" t="s">
        <v>324</v>
      </c>
      <c r="V99" s="378"/>
      <c r="W99" s="378"/>
      <c r="X99" s="378"/>
      <c r="Y99" s="378"/>
      <c r="Z99" s="378"/>
      <c r="AA99" s="378"/>
      <c r="AB99" s="378"/>
      <c r="AC99" s="378"/>
      <c r="AD99" s="378"/>
      <c r="AE99" s="378"/>
      <c r="AF99" s="378"/>
      <c r="AG99" s="378"/>
      <c r="AH99" s="378"/>
      <c r="AI99" s="378"/>
      <c r="AJ99" s="378"/>
      <c r="AK99" s="378"/>
      <c r="AL99" s="378"/>
      <c r="AM99" s="378"/>
      <c r="AN99" s="378"/>
      <c r="AO99" s="378"/>
      <c r="AP99" s="378"/>
      <c r="AQ99" s="378"/>
      <c r="AR99" s="378"/>
      <c r="AS99" s="378"/>
      <c r="AT99" s="378"/>
      <c r="AU99" s="378"/>
      <c r="AV99" s="378"/>
      <c r="AW99" s="378"/>
      <c r="AX99" s="378"/>
    </row>
    <row r="100" spans="1:50">
      <c r="A100" s="373" t="s">
        <v>325</v>
      </c>
      <c r="B100" s="169" t="s">
        <v>326</v>
      </c>
      <c r="C100" s="293" t="s">
        <v>210</v>
      </c>
      <c r="D100" s="11"/>
      <c r="E100" s="11"/>
      <c r="F100" s="11"/>
      <c r="G100" s="11"/>
      <c r="H100" s="11">
        <v>0</v>
      </c>
      <c r="I100" s="11">
        <v>0</v>
      </c>
      <c r="J100" s="11">
        <v>0</v>
      </c>
      <c r="K100" s="11">
        <v>267953.8504</v>
      </c>
      <c r="L100" s="11">
        <f>+P2a!D140-L102</f>
        <v>234063.48030000064</v>
      </c>
      <c r="M100" s="11">
        <f>+P2a!E140-M102</f>
        <v>231605.79630000002</v>
      </c>
      <c r="N100" s="11">
        <f>+P2a!F140-N102</f>
        <v>222793.3393000013</v>
      </c>
      <c r="O100" s="11">
        <f>269274.256300011-O102</f>
        <v>242267.92090001106</v>
      </c>
      <c r="P100" s="11">
        <v>245807.8658</v>
      </c>
      <c r="Q100" s="11">
        <v>244728.187799999</v>
      </c>
      <c r="R100" s="11">
        <v>247942.44809999899</v>
      </c>
      <c r="S100" s="11">
        <v>249227.80590000001</v>
      </c>
      <c r="T100" s="46"/>
      <c r="U100" s="171" t="s">
        <v>327</v>
      </c>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row>
    <row r="101" spans="1:50" s="36" customFormat="1">
      <c r="A101" s="373" t="s">
        <v>328</v>
      </c>
      <c r="B101" s="170" t="s">
        <v>329</v>
      </c>
      <c r="C101" s="294" t="s">
        <v>160</v>
      </c>
      <c r="D101" s="35">
        <f>D100/D95</f>
        <v>0</v>
      </c>
      <c r="E101" s="35">
        <f t="shared" ref="E101:K101" si="86">E100/E95</f>
        <v>0</v>
      </c>
      <c r="F101" s="35">
        <f t="shared" si="86"/>
        <v>0</v>
      </c>
      <c r="G101" s="35">
        <f t="shared" si="86"/>
        <v>0</v>
      </c>
      <c r="H101" s="35">
        <f t="shared" si="86"/>
        <v>0</v>
      </c>
      <c r="I101" s="35">
        <f t="shared" si="86"/>
        <v>0</v>
      </c>
      <c r="J101" s="35">
        <f t="shared" si="86"/>
        <v>0</v>
      </c>
      <c r="K101" s="35">
        <f t="shared" si="86"/>
        <v>5.266939965975969E-2</v>
      </c>
      <c r="L101" s="35">
        <f>L100/L95</f>
        <v>4.6818921597883457E-2</v>
      </c>
      <c r="M101" s="35">
        <f>M100/M95</f>
        <v>4.6645357218780922E-2</v>
      </c>
      <c r="N101" s="35">
        <f>N100/N95</f>
        <v>4.4572950010000265E-2</v>
      </c>
      <c r="O101" s="35">
        <f>O100/O95</f>
        <v>4.5694435048907758E-2</v>
      </c>
      <c r="P101" s="35">
        <f t="shared" ref="P101:S101" si="87">P100/P95</f>
        <v>5.0709605874176729E-2</v>
      </c>
      <c r="Q101" s="35">
        <f t="shared" si="87"/>
        <v>4.8231737314615476E-2</v>
      </c>
      <c r="R101" s="35">
        <f t="shared" si="87"/>
        <v>4.9959719172825483E-2</v>
      </c>
      <c r="S101" s="35">
        <f t="shared" si="87"/>
        <v>4.4021293660760845E-2</v>
      </c>
      <c r="T101" s="46"/>
      <c r="U101" s="377" t="s">
        <v>330</v>
      </c>
      <c r="V101" s="378"/>
      <c r="W101" s="378"/>
      <c r="X101" s="378"/>
      <c r="Y101" s="378"/>
      <c r="Z101" s="378"/>
      <c r="AA101" s="378"/>
      <c r="AB101" s="378"/>
      <c r="AC101" s="378"/>
      <c r="AD101" s="378"/>
      <c r="AE101" s="378"/>
      <c r="AF101" s="378"/>
      <c r="AG101" s="378"/>
      <c r="AH101" s="378"/>
      <c r="AI101" s="378"/>
      <c r="AJ101" s="378"/>
      <c r="AK101" s="378"/>
      <c r="AL101" s="378"/>
      <c r="AM101" s="378"/>
      <c r="AN101" s="378"/>
      <c r="AO101" s="378"/>
      <c r="AP101" s="378"/>
      <c r="AQ101" s="378"/>
      <c r="AR101" s="378"/>
      <c r="AS101" s="378"/>
      <c r="AT101" s="378"/>
      <c r="AU101" s="378"/>
      <c r="AV101" s="378"/>
      <c r="AW101" s="378"/>
      <c r="AX101" s="378"/>
    </row>
    <row r="102" spans="1:50">
      <c r="A102" s="373" t="s">
        <v>331</v>
      </c>
      <c r="B102" s="169" t="s">
        <v>332</v>
      </c>
      <c r="C102" s="293" t="s">
        <v>210</v>
      </c>
      <c r="D102" s="11"/>
      <c r="E102" s="11"/>
      <c r="F102" s="11"/>
      <c r="G102" s="11"/>
      <c r="H102" s="11">
        <v>0</v>
      </c>
      <c r="I102" s="11">
        <v>0</v>
      </c>
      <c r="J102" s="11">
        <v>0</v>
      </c>
      <c r="K102" s="11">
        <v>28446.3606</v>
      </c>
      <c r="L102" s="11">
        <f>+P2a!D142</f>
        <v>29177.489000000063</v>
      </c>
      <c r="M102" s="11">
        <f>+P2a!E142</f>
        <v>24719.813699999962</v>
      </c>
      <c r="N102" s="11">
        <f>+P2a!F142</f>
        <v>24312.415100000006</v>
      </c>
      <c r="O102" s="11">
        <v>27006.335399999942</v>
      </c>
      <c r="P102" s="11">
        <v>29942</v>
      </c>
      <c r="Q102" s="11">
        <v>30444</v>
      </c>
      <c r="R102" s="11">
        <v>30010.6505</v>
      </c>
      <c r="S102" s="11">
        <v>32766.505099999998</v>
      </c>
      <c r="T102" s="46"/>
      <c r="U102" s="171" t="s">
        <v>333</v>
      </c>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row>
    <row r="103" spans="1:50">
      <c r="A103" s="373" t="s">
        <v>334</v>
      </c>
      <c r="B103" s="169" t="s">
        <v>335</v>
      </c>
      <c r="C103" s="294" t="s">
        <v>160</v>
      </c>
      <c r="D103" s="35">
        <f>D102/D95</f>
        <v>0</v>
      </c>
      <c r="E103" s="35">
        <f t="shared" ref="E103:K103" si="88">E102/E95</f>
        <v>0</v>
      </c>
      <c r="F103" s="35">
        <f t="shared" si="88"/>
        <v>0</v>
      </c>
      <c r="G103" s="35">
        <f t="shared" si="88"/>
        <v>0</v>
      </c>
      <c r="H103" s="35">
        <f t="shared" si="88"/>
        <v>0</v>
      </c>
      <c r="I103" s="35">
        <f t="shared" si="88"/>
        <v>0</v>
      </c>
      <c r="J103" s="35">
        <f t="shared" si="88"/>
        <v>0</v>
      </c>
      <c r="K103" s="35">
        <f t="shared" si="88"/>
        <v>5.5914581300864239E-3</v>
      </c>
      <c r="L103" s="35">
        <f>L102/L95</f>
        <v>5.836273852560101E-3</v>
      </c>
      <c r="M103" s="35">
        <f>M102/M95</f>
        <v>4.9785651259118017E-3</v>
      </c>
      <c r="N103" s="35">
        <f>N102/N95</f>
        <v>4.864041565513128E-3</v>
      </c>
      <c r="O103" s="35">
        <f>O102/O95</f>
        <v>5.0936964095780095E-3</v>
      </c>
      <c r="P103" s="35">
        <f t="shared" ref="P103:S103" si="89">P102/P95</f>
        <v>6.1769667709494413E-3</v>
      </c>
      <c r="Q103" s="35">
        <f t="shared" si="89"/>
        <v>5.9999913536979152E-3</v>
      </c>
      <c r="R103" s="35">
        <f t="shared" si="89"/>
        <v>6.0470632707841712E-3</v>
      </c>
      <c r="S103" s="35">
        <f t="shared" si="89"/>
        <v>5.7875722896773207E-3</v>
      </c>
      <c r="T103" s="46"/>
      <c r="U103" s="171"/>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row>
    <row r="104" spans="1:50">
      <c r="A104" s="375" t="s">
        <v>178</v>
      </c>
      <c r="C104" s="238"/>
      <c r="D104" s="7"/>
      <c r="E104" s="7"/>
      <c r="F104" s="7"/>
      <c r="G104" s="7"/>
      <c r="H104" s="7"/>
      <c r="I104" s="7"/>
      <c r="J104" s="7"/>
      <c r="K104" s="7"/>
      <c r="L104" s="7"/>
      <c r="M104" s="7"/>
      <c r="N104" s="7"/>
      <c r="O104" s="7"/>
      <c r="P104" s="7"/>
      <c r="Q104" s="7"/>
      <c r="T104" s="46"/>
      <c r="U104" s="171"/>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row>
    <row r="105" spans="1:50">
      <c r="A105" s="375" t="s">
        <v>178</v>
      </c>
      <c r="C105" s="238"/>
      <c r="D105" s="7"/>
      <c r="E105" s="7"/>
      <c r="F105" s="7"/>
      <c r="G105" s="7"/>
      <c r="H105" s="7"/>
      <c r="I105" s="7"/>
      <c r="J105" s="7"/>
      <c r="K105" s="7"/>
      <c r="L105" s="7"/>
      <c r="M105" s="7"/>
      <c r="N105" s="7"/>
      <c r="O105" s="7"/>
      <c r="P105" s="7"/>
      <c r="Q105" s="7"/>
      <c r="T105" s="46"/>
      <c r="U105" s="171"/>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row>
    <row r="106" spans="1:50">
      <c r="A106" s="375" t="s">
        <v>178</v>
      </c>
      <c r="C106" s="238"/>
      <c r="D106" s="7"/>
      <c r="E106" s="7"/>
      <c r="F106" s="7"/>
      <c r="G106" s="7"/>
      <c r="H106" s="7"/>
      <c r="I106" s="7"/>
      <c r="J106" s="7"/>
      <c r="K106" s="7"/>
      <c r="L106" s="7"/>
      <c r="M106" s="7"/>
      <c r="N106" s="7"/>
      <c r="O106" s="7"/>
      <c r="P106" s="7"/>
      <c r="Q106" s="7"/>
      <c r="T106" s="46"/>
      <c r="U106" s="171"/>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row>
    <row r="107" spans="1:50">
      <c r="A107" s="375" t="s">
        <v>178</v>
      </c>
      <c r="B107" s="9" t="s">
        <v>336</v>
      </c>
      <c r="C107" s="291"/>
      <c r="D107" s="7"/>
      <c r="E107" s="7"/>
      <c r="F107" s="7"/>
      <c r="G107" s="7"/>
      <c r="H107" s="7"/>
      <c r="I107" s="7"/>
      <c r="J107" s="7"/>
      <c r="K107" s="7"/>
      <c r="L107" s="7"/>
      <c r="M107" s="7"/>
      <c r="N107" s="7"/>
      <c r="O107" s="7"/>
      <c r="P107" s="7"/>
      <c r="Q107" s="7"/>
      <c r="T107" s="46"/>
      <c r="U107" s="171"/>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row>
    <row r="108" spans="1:50">
      <c r="A108" s="442" t="s">
        <v>178</v>
      </c>
      <c r="B108" s="163" t="s">
        <v>337</v>
      </c>
      <c r="C108" s="26" t="s">
        <v>152</v>
      </c>
      <c r="D108" s="26" t="str">
        <f>+D$14</f>
        <v>2010-11 RF</v>
      </c>
      <c r="E108" s="26" t="str">
        <f t="shared" ref="E108:O108" si="90">+E$14</f>
        <v>2011-12 RF</v>
      </c>
      <c r="F108" s="26" t="str">
        <f t="shared" si="90"/>
        <v>2012-13 RF</v>
      </c>
      <c r="G108" s="26" t="str">
        <f t="shared" si="90"/>
        <v>2013-14 RF</v>
      </c>
      <c r="H108" s="26" t="str">
        <f t="shared" si="90"/>
        <v>2014-15 RF</v>
      </c>
      <c r="I108" s="26" t="str">
        <f t="shared" si="90"/>
        <v>2015-16 RF</v>
      </c>
      <c r="J108" s="26" t="str">
        <f t="shared" si="90"/>
        <v>2016-17 RF</v>
      </c>
      <c r="K108" s="26" t="str">
        <f t="shared" si="90"/>
        <v>2017-18 RF</v>
      </c>
      <c r="L108" s="26" t="str">
        <f t="shared" si="90"/>
        <v>2018-19 RF</v>
      </c>
      <c r="M108" s="26" t="str">
        <f t="shared" si="90"/>
        <v>2019-20 month</v>
      </c>
      <c r="N108" s="26" t="str">
        <f t="shared" si="90"/>
        <v>2019-20 RF</v>
      </c>
      <c r="O108" s="26" t="str">
        <f t="shared" si="90"/>
        <v>2020-21 month</v>
      </c>
      <c r="P108" s="440" t="s">
        <v>18</v>
      </c>
      <c r="Q108" s="440" t="s">
        <v>155</v>
      </c>
      <c r="R108" s="26" t="s">
        <v>20</v>
      </c>
      <c r="S108" s="26" t="s">
        <v>156</v>
      </c>
      <c r="T108" s="46"/>
      <c r="U108" s="171"/>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row>
    <row r="109" spans="1:50">
      <c r="A109" s="376" t="s">
        <v>338</v>
      </c>
      <c r="B109" s="10" t="s">
        <v>209</v>
      </c>
      <c r="C109" s="293" t="s">
        <v>210</v>
      </c>
      <c r="D109" s="413">
        <v>86604.214518712193</v>
      </c>
      <c r="E109" s="11">
        <v>97424.669398907281</v>
      </c>
      <c r="F109" s="11">
        <v>99428.665753424124</v>
      </c>
      <c r="G109" s="11">
        <v>100253.35890410915</v>
      </c>
      <c r="H109" s="11">
        <v>100917.53150685129</v>
      </c>
      <c r="I109" s="11">
        <v>102790.84699453606</v>
      </c>
      <c r="J109" s="11">
        <v>104937.47945205835</v>
      </c>
      <c r="K109" s="11">
        <v>116153.44383561645</v>
      </c>
      <c r="L109" s="11">
        <f>+P2a!D147</f>
        <v>117504.79452054796</v>
      </c>
      <c r="M109" s="11">
        <f>+P2a!E147</f>
        <v>119903.69398907076</v>
      </c>
      <c r="N109" s="11">
        <f>+P2a!F147</f>
        <v>119176.05737703929</v>
      </c>
      <c r="O109" s="11">
        <v>120263.7863013693</v>
      </c>
      <c r="P109" s="11">
        <v>119779.82</v>
      </c>
      <c r="Q109" s="11">
        <v>121014.48</v>
      </c>
      <c r="R109" s="11">
        <v>120798.769863012</v>
      </c>
      <c r="S109" s="11">
        <v>122004.02191779501</v>
      </c>
      <c r="T109" s="46"/>
      <c r="U109" s="171" t="s">
        <v>339</v>
      </c>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row>
    <row r="110" spans="1:50">
      <c r="A110" s="373" t="s">
        <v>340</v>
      </c>
      <c r="B110" s="12" t="s">
        <v>213</v>
      </c>
      <c r="C110" s="293" t="s">
        <v>210</v>
      </c>
      <c r="D110" s="413">
        <v>8737.5650281369544</v>
      </c>
      <c r="E110" s="11">
        <v>8651.7021857923501</v>
      </c>
      <c r="F110" s="11">
        <v>8467.9424657534364</v>
      </c>
      <c r="G110" s="11">
        <v>8212.2931506849309</v>
      </c>
      <c r="H110" s="11">
        <v>8234.4657534246508</v>
      </c>
      <c r="I110" s="11">
        <v>8391.0000000000018</v>
      </c>
      <c r="J110" s="11">
        <v>8355.6136986301408</v>
      </c>
      <c r="K110" s="11">
        <v>8915.7506849315141</v>
      </c>
      <c r="L110" s="11">
        <f>+P2a!D148</f>
        <v>8644.5095890411194</v>
      </c>
      <c r="M110" s="11">
        <f>+P2a!E148</f>
        <v>8596.2295081967204</v>
      </c>
      <c r="N110" s="11">
        <f>+P2a!F148</f>
        <v>8528.8360655738288</v>
      </c>
      <c r="O110" s="11">
        <v>8451.7972602739774</v>
      </c>
      <c r="P110" s="11">
        <v>8420.59</v>
      </c>
      <c r="Q110" s="11">
        <v>8357.27</v>
      </c>
      <c r="R110" s="11">
        <v>8332.1945205479406</v>
      </c>
      <c r="S110" s="11">
        <v>8306.1780821918892</v>
      </c>
      <c r="T110" s="46"/>
      <c r="U110" s="171" t="s">
        <v>341</v>
      </c>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row>
    <row r="111" spans="1:50">
      <c r="A111" s="373" t="s">
        <v>342</v>
      </c>
      <c r="B111" s="12" t="s">
        <v>216</v>
      </c>
      <c r="C111" s="293" t="s">
        <v>210</v>
      </c>
      <c r="D111" s="413">
        <v>1443.0090337534257</v>
      </c>
      <c r="E111" s="11">
        <v>1519.1775956284157</v>
      </c>
      <c r="F111" s="11">
        <v>1603.1369863013715</v>
      </c>
      <c r="G111" s="11">
        <v>1637.3671232876709</v>
      </c>
      <c r="H111" s="11">
        <v>1680.9232876712322</v>
      </c>
      <c r="I111" s="11">
        <v>1667.1967213114754</v>
      </c>
      <c r="J111" s="11">
        <v>1664.0465753424653</v>
      </c>
      <c r="K111" s="11">
        <v>1767.95616438356</v>
      </c>
      <c r="L111" s="11">
        <f>+P2a!D149</f>
        <v>1743.1123287671235</v>
      </c>
      <c r="M111" s="11">
        <f>+P2a!E149</f>
        <v>1775.4754098360659</v>
      </c>
      <c r="N111" s="11">
        <f>+P2a!F149</f>
        <v>1762.9972677595626</v>
      </c>
      <c r="O111" s="11">
        <v>1795.4821917808219</v>
      </c>
      <c r="P111" s="11">
        <v>1784.08</v>
      </c>
      <c r="Q111" s="11">
        <v>1819.82</v>
      </c>
      <c r="R111" s="11">
        <v>1819.61643835616</v>
      </c>
      <c r="S111" s="11">
        <v>1845.9232876712099</v>
      </c>
      <c r="T111" s="46"/>
      <c r="U111" s="171" t="s">
        <v>343</v>
      </c>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row>
    <row r="112" spans="1:50">
      <c r="A112" s="373" t="s">
        <v>344</v>
      </c>
      <c r="B112" s="12" t="s">
        <v>219</v>
      </c>
      <c r="C112" s="293" t="s">
        <v>210</v>
      </c>
      <c r="D112" s="413">
        <v>1191.1278305479448</v>
      </c>
      <c r="E112" s="11">
        <v>1285.9617486338789</v>
      </c>
      <c r="F112" s="11">
        <v>1304.7178082191776</v>
      </c>
      <c r="G112" s="11">
        <v>1324.9315068493145</v>
      </c>
      <c r="H112" s="11">
        <v>1330.378082191781</v>
      </c>
      <c r="I112" s="11">
        <v>1297.021857923497</v>
      </c>
      <c r="J112" s="11">
        <v>1260.5397260273978</v>
      </c>
      <c r="K112" s="11">
        <v>1287.9260273972598</v>
      </c>
      <c r="L112" s="11">
        <f>+P2a!D150</f>
        <v>1262.3835616438355</v>
      </c>
      <c r="M112" s="11">
        <f>+P2a!E150</f>
        <v>1252.3469945355191</v>
      </c>
      <c r="N112" s="11">
        <f>+P2a!F150</f>
        <v>1238.6229508196734</v>
      </c>
      <c r="O112" s="11">
        <v>1231.2821917808217</v>
      </c>
      <c r="P112" s="11">
        <v>1225.1600000000001</v>
      </c>
      <c r="Q112" s="11">
        <v>1218.8499999999999</v>
      </c>
      <c r="R112" s="11">
        <v>1212.25753424657</v>
      </c>
      <c r="S112" s="11">
        <v>1209.96438356164</v>
      </c>
      <c r="T112" s="46"/>
      <c r="U112" s="171" t="s">
        <v>345</v>
      </c>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row>
    <row r="113" spans="1:50">
      <c r="A113" s="373" t="s">
        <v>346</v>
      </c>
      <c r="B113" s="12" t="s">
        <v>222</v>
      </c>
      <c r="C113" s="293" t="s">
        <v>210</v>
      </c>
      <c r="D113" s="413">
        <v>387.895888410959</v>
      </c>
      <c r="E113" s="11">
        <v>356.58196721311486</v>
      </c>
      <c r="F113" s="11">
        <v>354.03013698630093</v>
      </c>
      <c r="G113" s="11">
        <v>281.17260273972607</v>
      </c>
      <c r="H113" s="11">
        <v>269.16712328767119</v>
      </c>
      <c r="I113" s="11">
        <v>270.33333333333337</v>
      </c>
      <c r="J113" s="11">
        <v>267.24657534246569</v>
      </c>
      <c r="K113" s="11">
        <v>312.55890410958898</v>
      </c>
      <c r="L113" s="11">
        <f>+P2a!D151</f>
        <v>304.15068493150687</v>
      </c>
      <c r="M113" s="11">
        <f>+P2a!E151</f>
        <v>302.72404371584702</v>
      </c>
      <c r="N113" s="11">
        <f>+P2a!F151</f>
        <v>297.37158469945359</v>
      </c>
      <c r="O113" s="11">
        <v>300.42465753424653</v>
      </c>
      <c r="P113" s="11">
        <v>293.75</v>
      </c>
      <c r="Q113" s="11">
        <v>284.08</v>
      </c>
      <c r="R113" s="11">
        <v>280.34246575342399</v>
      </c>
      <c r="S113" s="11">
        <v>282.25753424657501</v>
      </c>
      <c r="T113" s="46"/>
      <c r="U113" s="171" t="s">
        <v>347</v>
      </c>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row>
    <row r="114" spans="1:50">
      <c r="A114" s="373" t="s">
        <v>348</v>
      </c>
      <c r="B114" s="12" t="s">
        <v>349</v>
      </c>
      <c r="C114" s="293" t="s">
        <v>210</v>
      </c>
      <c r="D114" s="413">
        <v>80.77260273972604</v>
      </c>
      <c r="E114" s="11">
        <v>80.565573770491795</v>
      </c>
      <c r="F114" s="11">
        <v>76.095890410958901</v>
      </c>
      <c r="G114" s="11">
        <v>78.580821917808208</v>
      </c>
      <c r="H114" s="11">
        <v>79.868493150684927</v>
      </c>
      <c r="I114" s="11">
        <v>73.571038251366119</v>
      </c>
      <c r="J114" s="11">
        <v>68.805479452054797</v>
      </c>
      <c r="K114" s="11">
        <v>71.586301369863008</v>
      </c>
      <c r="L114" s="11">
        <f>+P2a!D152</f>
        <v>69.715068493150682</v>
      </c>
      <c r="M114" s="11">
        <f>+P2a!E152</f>
        <v>69</v>
      </c>
      <c r="N114" s="11">
        <f>+P2a!F152</f>
        <v>68</v>
      </c>
      <c r="O114" s="11">
        <v>67.512328767123293</v>
      </c>
      <c r="P114" s="11">
        <v>67.56</v>
      </c>
      <c r="Q114" s="11">
        <v>64.08</v>
      </c>
      <c r="R114" s="11">
        <v>62.986301369863</v>
      </c>
      <c r="S114" s="11">
        <v>63.087671232876701</v>
      </c>
      <c r="T114" s="46"/>
      <c r="U114" s="171" t="s">
        <v>350</v>
      </c>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row>
    <row r="115" spans="1:50">
      <c r="A115" s="373" t="s">
        <v>351</v>
      </c>
      <c r="B115" s="12" t="s">
        <v>352</v>
      </c>
      <c r="C115" s="293" t="s">
        <v>210</v>
      </c>
      <c r="D115" s="413">
        <v>15.328767123287671</v>
      </c>
      <c r="E115" s="11">
        <v>16.412568306010929</v>
      </c>
      <c r="F115" s="11">
        <v>19.05753424657534</v>
      </c>
      <c r="G115" s="11">
        <v>19.610958904109587</v>
      </c>
      <c r="H115" s="11">
        <v>20.271232876712329</v>
      </c>
      <c r="I115" s="11">
        <v>21.841530054644807</v>
      </c>
      <c r="J115" s="11">
        <v>20.065753424657537</v>
      </c>
      <c r="K115" s="11">
        <v>20.356164383561644</v>
      </c>
      <c r="L115" s="11">
        <f>+P2a!D153</f>
        <v>21.578082191780823</v>
      </c>
      <c r="M115" s="11">
        <f>+P2a!E153</f>
        <v>21</v>
      </c>
      <c r="N115" s="11">
        <f>+P2a!F153</f>
        <v>21</v>
      </c>
      <c r="O115" s="11">
        <v>20.873972602739727</v>
      </c>
      <c r="P115" s="11">
        <v>20</v>
      </c>
      <c r="Q115" s="11">
        <v>19.48</v>
      </c>
      <c r="R115" s="11">
        <v>19.4767123287671</v>
      </c>
      <c r="S115" s="11">
        <v>19</v>
      </c>
      <c r="T115" s="46"/>
      <c r="U115" s="171" t="s">
        <v>353</v>
      </c>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row>
    <row r="116" spans="1:50">
      <c r="A116" s="373" t="s">
        <v>354</v>
      </c>
      <c r="B116" s="12" t="s">
        <v>355</v>
      </c>
      <c r="C116" s="293" t="s">
        <v>210</v>
      </c>
      <c r="D116" s="413">
        <v>5.205479452054794</v>
      </c>
      <c r="E116" s="11">
        <v>5</v>
      </c>
      <c r="F116" s="11">
        <v>4.2821917808219183</v>
      </c>
      <c r="G116" s="11">
        <v>3.0849315068493151</v>
      </c>
      <c r="H116" s="11">
        <v>3</v>
      </c>
      <c r="I116" s="11">
        <v>2.2841530054644807</v>
      </c>
      <c r="J116" s="11">
        <v>0.14246575342465753</v>
      </c>
      <c r="K116" s="11">
        <v>0</v>
      </c>
      <c r="L116" s="11">
        <f>+P2a!D154</f>
        <v>0</v>
      </c>
      <c r="M116" s="11">
        <f>+P2a!E154</f>
        <v>0</v>
      </c>
      <c r="N116" s="11">
        <f>+P2a!F154</f>
        <v>0</v>
      </c>
      <c r="O116" s="11">
        <v>0</v>
      </c>
      <c r="P116" s="11">
        <v>0</v>
      </c>
      <c r="Q116" s="11">
        <v>0</v>
      </c>
      <c r="R116" s="11">
        <v>0</v>
      </c>
      <c r="S116" s="11">
        <v>0</v>
      </c>
      <c r="T116" s="46"/>
      <c r="U116" s="171" t="s">
        <v>356</v>
      </c>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row>
    <row r="117" spans="1:50">
      <c r="A117" s="373" t="s">
        <v>357</v>
      </c>
      <c r="B117" s="12" t="s">
        <v>358</v>
      </c>
      <c r="C117" s="293" t="s">
        <v>210</v>
      </c>
      <c r="D117" s="413">
        <v>2</v>
      </c>
      <c r="E117" s="11">
        <v>2</v>
      </c>
      <c r="F117" s="11">
        <v>2</v>
      </c>
      <c r="G117" s="11">
        <v>2</v>
      </c>
      <c r="H117" s="11">
        <v>2</v>
      </c>
      <c r="I117" s="11">
        <v>2</v>
      </c>
      <c r="J117" s="11">
        <v>1.0931506849315069</v>
      </c>
      <c r="K117" s="11">
        <v>1</v>
      </c>
      <c r="L117" s="11">
        <f>+P2a!D155</f>
        <v>1</v>
      </c>
      <c r="M117" s="11">
        <f>+P2a!E155</f>
        <v>1</v>
      </c>
      <c r="N117" s="11">
        <f>+P2a!F155</f>
        <v>1</v>
      </c>
      <c r="O117" s="11">
        <v>1</v>
      </c>
      <c r="P117" s="11">
        <v>1</v>
      </c>
      <c r="Q117" s="11">
        <v>1.17</v>
      </c>
      <c r="R117" s="11">
        <v>1</v>
      </c>
      <c r="S117" s="11">
        <v>1</v>
      </c>
      <c r="T117" s="46"/>
      <c r="U117" s="171" t="s">
        <v>359</v>
      </c>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row>
    <row r="118" spans="1:50">
      <c r="A118" s="373" t="s">
        <v>360</v>
      </c>
      <c r="B118" s="12" t="s">
        <v>361</v>
      </c>
      <c r="C118" s="293" t="s">
        <v>210</v>
      </c>
      <c r="D118" s="413">
        <v>2</v>
      </c>
      <c r="E118" s="11">
        <v>2</v>
      </c>
      <c r="F118" s="11">
        <v>2</v>
      </c>
      <c r="G118" s="11">
        <v>2.0027397260273974</v>
      </c>
      <c r="H118" s="11">
        <v>2</v>
      </c>
      <c r="I118" s="11">
        <v>2</v>
      </c>
      <c r="J118" s="11">
        <v>2</v>
      </c>
      <c r="K118" s="11">
        <v>2</v>
      </c>
      <c r="L118" s="11">
        <f>+P2a!D156</f>
        <v>2</v>
      </c>
      <c r="M118" s="11">
        <f>+P2a!E156</f>
        <v>2</v>
      </c>
      <c r="N118" s="11">
        <f>+P2a!F156</f>
        <v>2</v>
      </c>
      <c r="O118" s="11">
        <v>2</v>
      </c>
      <c r="P118" s="11">
        <v>2</v>
      </c>
      <c r="Q118" s="11">
        <v>2</v>
      </c>
      <c r="R118" s="11">
        <v>2</v>
      </c>
      <c r="S118" s="11">
        <v>2</v>
      </c>
      <c r="T118" s="46"/>
      <c r="U118" s="171" t="s">
        <v>362</v>
      </c>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row>
    <row r="119" spans="1:50">
      <c r="A119" s="373" t="s">
        <v>363</v>
      </c>
      <c r="B119" s="16" t="s">
        <v>225</v>
      </c>
      <c r="C119" s="294" t="s">
        <v>160</v>
      </c>
      <c r="D119" s="6">
        <f>SUM(D109:D118)</f>
        <v>98469.119148876547</v>
      </c>
      <c r="E119" s="6">
        <f t="shared" ref="E119:K119" si="91">SUM(E109:E118)</f>
        <v>109344.07103825155</v>
      </c>
      <c r="F119" s="6">
        <f t="shared" si="91"/>
        <v>111261.92876712276</v>
      </c>
      <c r="G119" s="6">
        <f t="shared" si="91"/>
        <v>111814.40273972558</v>
      </c>
      <c r="H119" s="6">
        <f t="shared" si="91"/>
        <v>112539.60547945401</v>
      </c>
      <c r="I119" s="6">
        <f t="shared" si="91"/>
        <v>114518.09562841582</v>
      </c>
      <c r="J119" s="6">
        <f t="shared" si="91"/>
        <v>116577.03287671589</v>
      </c>
      <c r="K119" s="6">
        <f t="shared" si="91"/>
        <v>128532.5780821918</v>
      </c>
      <c r="L119" s="6">
        <f>SUM(L109:L118)</f>
        <v>129553.24383561648</v>
      </c>
      <c r="M119" s="6">
        <f>SUM(M109:M118)</f>
        <v>131923.46994535491</v>
      </c>
      <c r="N119" s="6">
        <f>SUM(N109:N118)</f>
        <v>131095.88524589181</v>
      </c>
      <c r="O119" s="6">
        <f>SUM(O109:O118)</f>
        <v>132134.15890410903</v>
      </c>
      <c r="P119" s="6">
        <f t="shared" ref="P119:Q119" si="92">SUM(P109:P118)</f>
        <v>131593.96</v>
      </c>
      <c r="Q119" s="6">
        <f t="shared" si="92"/>
        <v>132781.23000000001</v>
      </c>
      <c r="R119" s="6">
        <f t="shared" ref="R119:S119" si="93">SUM(R109:R118)</f>
        <v>132528.6438356147</v>
      </c>
      <c r="S119" s="6">
        <f t="shared" si="93"/>
        <v>133733.4328766992</v>
      </c>
      <c r="T119" s="46"/>
      <c r="U119" s="171" t="s">
        <v>364</v>
      </c>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row>
    <row r="120" spans="1:50">
      <c r="A120" s="375" t="s">
        <v>178</v>
      </c>
      <c r="B120" s="21"/>
      <c r="C120" s="22"/>
      <c r="D120" s="21"/>
      <c r="E120" s="21"/>
      <c r="F120" s="21"/>
      <c r="G120" s="21"/>
      <c r="H120" s="21"/>
      <c r="I120" s="21"/>
      <c r="J120" s="21"/>
      <c r="K120" s="21"/>
      <c r="L120" s="21"/>
      <c r="M120" s="21"/>
      <c r="N120" s="21"/>
      <c r="O120" s="21"/>
      <c r="P120" s="21"/>
      <c r="Q120" s="21"/>
      <c r="R120" s="21"/>
      <c r="S120" s="21"/>
      <c r="T120" s="46"/>
      <c r="U120" s="21"/>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row>
    <row r="121" spans="1:50">
      <c r="A121" s="373" t="s">
        <v>365</v>
      </c>
      <c r="B121" s="12" t="s">
        <v>366</v>
      </c>
      <c r="C121" s="293" t="s">
        <v>210</v>
      </c>
      <c r="D121" s="413">
        <v>2</v>
      </c>
      <c r="E121" s="11">
        <v>2</v>
      </c>
      <c r="F121" s="11">
        <v>2</v>
      </c>
      <c r="G121" s="413">
        <v>3.493150684931507</v>
      </c>
      <c r="H121" s="11">
        <v>319.11232876712342</v>
      </c>
      <c r="I121" s="11">
        <v>2747.2322404371512</v>
      </c>
      <c r="J121" s="413">
        <v>4822.6438356164381</v>
      </c>
      <c r="K121" s="11">
        <v>6268.4164383561647</v>
      </c>
      <c r="L121" s="413">
        <v>7905.6054794520333</v>
      </c>
      <c r="M121" s="11">
        <v>8744.7650273224044</v>
      </c>
      <c r="N121" s="11">
        <v>8654.4617486339139</v>
      </c>
      <c r="O121" s="11">
        <v>8985.5616438356155</v>
      </c>
      <c r="P121" s="11">
        <v>9011</v>
      </c>
      <c r="Q121" s="11">
        <v>9956</v>
      </c>
      <c r="R121" s="11">
        <v>9877.0493150684906</v>
      </c>
      <c r="S121" s="11">
        <v>10843.454794520499</v>
      </c>
      <c r="T121" s="46"/>
      <c r="U121" s="185" t="s">
        <v>367</v>
      </c>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row>
    <row r="122" spans="1:50">
      <c r="A122" s="373" t="s">
        <v>368</v>
      </c>
      <c r="B122" s="12" t="s">
        <v>369</v>
      </c>
      <c r="C122" s="293" t="s">
        <v>210</v>
      </c>
      <c r="D122" s="413">
        <v>13482.712328767102</v>
      </c>
      <c r="E122" s="11">
        <v>12905.39344262293</v>
      </c>
      <c r="F122" s="11">
        <v>11383.361643835613</v>
      </c>
      <c r="G122" s="413">
        <v>10261.413698630116</v>
      </c>
      <c r="H122" s="11">
        <v>10108.73424657511</v>
      </c>
      <c r="I122" s="11">
        <v>10201.090163934485</v>
      </c>
      <c r="J122" s="413">
        <v>10078.923287671179</v>
      </c>
      <c r="K122" s="11">
        <v>8328.654794520522</v>
      </c>
      <c r="L122" s="413">
        <v>8377.2986301369474</v>
      </c>
      <c r="M122" s="11">
        <f>8878.75956284153-M123</f>
        <v>8326.3688524590161</v>
      </c>
      <c r="N122" s="11">
        <v>8173.1775956283054</v>
      </c>
      <c r="O122" s="11">
        <f>14271.3424657534-O123</f>
        <v>13440.887671232851</v>
      </c>
      <c r="P122" s="11">
        <v>9834</v>
      </c>
      <c r="Q122" s="11">
        <v>9151</v>
      </c>
      <c r="R122" s="11">
        <v>9289.1452054794499</v>
      </c>
      <c r="S122" s="11">
        <v>9201.1397260273898</v>
      </c>
      <c r="T122" s="46"/>
      <c r="U122" s="185" t="s">
        <v>370</v>
      </c>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row>
    <row r="123" spans="1:50">
      <c r="A123" s="373" t="s">
        <v>371</v>
      </c>
      <c r="B123" s="12" t="s">
        <v>372</v>
      </c>
      <c r="C123" s="293" t="s">
        <v>210</v>
      </c>
      <c r="D123" s="413">
        <v>0</v>
      </c>
      <c r="E123" s="11">
        <v>0</v>
      </c>
      <c r="F123" s="11">
        <v>0</v>
      </c>
      <c r="G123" s="413">
        <v>6.8493150684931503E-2</v>
      </c>
      <c r="H123" s="11">
        <v>40.624657534246559</v>
      </c>
      <c r="I123" s="11">
        <v>239.13387978142055</v>
      </c>
      <c r="J123" s="413">
        <v>357.11780821917813</v>
      </c>
      <c r="K123" s="11">
        <v>498.34246575342485</v>
      </c>
      <c r="L123" s="413">
        <v>551.44109589041057</v>
      </c>
      <c r="M123" s="11">
        <v>552.3907103825137</v>
      </c>
      <c r="N123" s="11">
        <v>543.12021857923526</v>
      </c>
      <c r="O123" s="11">
        <v>830.45479452054792</v>
      </c>
      <c r="P123" s="11">
        <v>680</v>
      </c>
      <c r="Q123" s="11">
        <v>582</v>
      </c>
      <c r="R123" s="11">
        <v>580.78630136986305</v>
      </c>
      <c r="S123" s="11">
        <v>564.45479452054701</v>
      </c>
      <c r="T123" s="46"/>
      <c r="U123" s="185" t="s">
        <v>373</v>
      </c>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row>
    <row r="124" spans="1:50">
      <c r="A124" s="373" t="s">
        <v>374</v>
      </c>
      <c r="B124" s="12" t="s">
        <v>237</v>
      </c>
      <c r="C124" s="293" t="s">
        <v>210</v>
      </c>
      <c r="D124" s="413">
        <v>2929.17</v>
      </c>
      <c r="E124" s="413">
        <v>333.43</v>
      </c>
      <c r="F124" s="413">
        <v>264.01</v>
      </c>
      <c r="G124" s="413">
        <v>681.3</v>
      </c>
      <c r="H124" s="413">
        <v>122894.84</v>
      </c>
      <c r="I124" s="413">
        <v>979152.04</v>
      </c>
      <c r="J124" s="413">
        <v>1343244.58</v>
      </c>
      <c r="K124" s="413">
        <v>1715354.94</v>
      </c>
      <c r="L124" s="413">
        <v>1703733.4500000027</v>
      </c>
      <c r="M124" s="413">
        <v>1930450.218699998</v>
      </c>
      <c r="N124" s="413">
        <v>1818216.9719</v>
      </c>
      <c r="O124" s="413">
        <f>1684157.8585-O125</f>
        <v>1660560.0820000002</v>
      </c>
      <c r="P124" s="11">
        <v>1612153.5142000001</v>
      </c>
      <c r="Q124" s="11">
        <v>2016428.5112999899</v>
      </c>
      <c r="R124" s="11">
        <v>1929820.6543999901</v>
      </c>
      <c r="S124" s="11">
        <v>2307776.3763000001</v>
      </c>
      <c r="T124" s="46"/>
      <c r="U124" s="185" t="s">
        <v>237</v>
      </c>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row>
    <row r="125" spans="1:50">
      <c r="A125" s="373" t="s">
        <v>375</v>
      </c>
      <c r="B125" s="12" t="s">
        <v>239</v>
      </c>
      <c r="C125" s="293" t="s">
        <v>210</v>
      </c>
      <c r="D125" s="413">
        <v>0</v>
      </c>
      <c r="E125" s="413">
        <v>0</v>
      </c>
      <c r="F125" s="413">
        <v>0</v>
      </c>
      <c r="G125" s="413">
        <v>0</v>
      </c>
      <c r="H125" s="413">
        <v>0</v>
      </c>
      <c r="I125" s="413">
        <v>0</v>
      </c>
      <c r="J125" s="413">
        <v>0</v>
      </c>
      <c r="K125" s="413">
        <v>26988.78</v>
      </c>
      <c r="L125" s="413">
        <v>40922.23000000001</v>
      </c>
      <c r="M125" s="413">
        <v>22803.253099999998</v>
      </c>
      <c r="N125" s="413">
        <v>45046.04</v>
      </c>
      <c r="O125" s="413">
        <v>23597.7765</v>
      </c>
      <c r="P125" s="11">
        <v>37368</v>
      </c>
      <c r="Q125" s="11">
        <v>18518</v>
      </c>
      <c r="R125" s="11">
        <v>42818.763399999902</v>
      </c>
      <c r="S125" s="11">
        <v>18244.090899999999</v>
      </c>
      <c r="T125" s="46"/>
      <c r="U125" s="185" t="s">
        <v>239</v>
      </c>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row>
    <row r="126" spans="1:50">
      <c r="A126" s="373" t="s">
        <v>376</v>
      </c>
      <c r="B126" s="12" t="s">
        <v>241</v>
      </c>
      <c r="C126" s="293" t="s">
        <v>210</v>
      </c>
      <c r="D126" s="413">
        <f>+D124/D121</f>
        <v>1464.585</v>
      </c>
      <c r="E126" s="413">
        <f t="shared" ref="E126:M126" si="94">+E124/E121</f>
        <v>166.715</v>
      </c>
      <c r="F126" s="413">
        <f t="shared" si="94"/>
        <v>132.005</v>
      </c>
      <c r="G126" s="413">
        <f t="shared" si="94"/>
        <v>195.03882352941173</v>
      </c>
      <c r="H126" s="413">
        <f t="shared" si="94"/>
        <v>385.11467255056817</v>
      </c>
      <c r="I126" s="413">
        <f t="shared" si="94"/>
        <v>356.41400300550976</v>
      </c>
      <c r="J126" s="413">
        <f t="shared" si="94"/>
        <v>278.52867136482297</v>
      </c>
      <c r="K126" s="413">
        <f t="shared" si="94"/>
        <v>273.65044375543056</v>
      </c>
      <c r="L126" s="413">
        <f t="shared" si="94"/>
        <v>215.50954628690815</v>
      </c>
      <c r="M126" s="413">
        <f t="shared" si="94"/>
        <v>220.75495598434512</v>
      </c>
      <c r="N126" s="413">
        <v>210.09012746367517</v>
      </c>
      <c r="O126" s="413">
        <f>+O124/O121</f>
        <v>184.80314840855806</v>
      </c>
      <c r="P126" s="423">
        <f t="shared" ref="P126:S126" si="95">+P124/P121</f>
        <v>178.90950107646211</v>
      </c>
      <c r="Q126" s="423">
        <f t="shared" si="95"/>
        <v>202.53400073322518</v>
      </c>
      <c r="R126" s="423">
        <f>+R124/R121</f>
        <v>195.38432914937897</v>
      </c>
      <c r="S126" s="423">
        <f t="shared" si="95"/>
        <v>212.82667010021419</v>
      </c>
      <c r="T126" s="46"/>
      <c r="U126" s="185" t="s">
        <v>241</v>
      </c>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row>
    <row r="127" spans="1:50">
      <c r="A127" s="375" t="s">
        <v>178</v>
      </c>
      <c r="B127" s="21"/>
      <c r="C127" s="22"/>
      <c r="D127" s="21"/>
      <c r="E127" s="21"/>
      <c r="F127" s="21"/>
      <c r="G127" s="21"/>
      <c r="H127" s="21"/>
      <c r="I127" s="21"/>
      <c r="J127" s="21"/>
      <c r="K127" s="21"/>
      <c r="L127" s="21"/>
      <c r="M127" s="21"/>
      <c r="N127" s="21"/>
      <c r="O127" s="21"/>
      <c r="P127" s="424"/>
      <c r="Q127" s="21"/>
      <c r="R127" s="21"/>
      <c r="S127" s="425"/>
      <c r="T127" s="46"/>
      <c r="U127" s="21"/>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row>
    <row r="128" spans="1:50">
      <c r="A128" s="442" t="s">
        <v>178</v>
      </c>
      <c r="B128" s="284" t="s">
        <v>377</v>
      </c>
      <c r="C128" s="295"/>
      <c r="D128" s="21"/>
      <c r="E128" s="21"/>
      <c r="F128" s="21"/>
      <c r="G128" s="21"/>
      <c r="H128" s="21"/>
      <c r="I128" s="21"/>
      <c r="J128" s="21"/>
      <c r="K128" s="21"/>
      <c r="L128" s="21"/>
      <c r="M128" s="21"/>
      <c r="N128" s="21"/>
      <c r="O128" s="21"/>
      <c r="P128" s="425"/>
      <c r="Q128" s="425"/>
      <c r="R128" s="425"/>
      <c r="S128" s="21"/>
      <c r="T128" s="46"/>
      <c r="U128" s="171"/>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row>
    <row r="129" spans="1:50">
      <c r="A129" s="376" t="s">
        <v>378</v>
      </c>
      <c r="B129" s="10" t="s">
        <v>379</v>
      </c>
      <c r="C129" s="293" t="s">
        <v>210</v>
      </c>
      <c r="D129" s="413">
        <v>4259474.7505625421</v>
      </c>
      <c r="E129" s="11">
        <v>4497904.9165573493</v>
      </c>
      <c r="F129" s="11">
        <v>4456941.6776711978</v>
      </c>
      <c r="G129" s="11">
        <v>4904550.9473216571</v>
      </c>
      <c r="H129" s="11">
        <v>4501028.2184931524</v>
      </c>
      <c r="I129" s="11">
        <v>4574916.2906556949</v>
      </c>
      <c r="J129" s="11">
        <v>4669944.898904087</v>
      </c>
      <c r="K129" s="11">
        <v>4870333.5238355612</v>
      </c>
      <c r="L129" s="11">
        <f>+P2a!D160</f>
        <v>4933957.4689040724</v>
      </c>
      <c r="M129" s="11">
        <f>+P2a!E160</f>
        <v>5210208.5575304898</v>
      </c>
      <c r="N129" s="11">
        <f>+P2a!F160</f>
        <v>4887356.0982049303</v>
      </c>
      <c r="O129" s="11">
        <v>4563801.6466112575</v>
      </c>
      <c r="P129" s="11">
        <v>4517330</v>
      </c>
      <c r="Q129" s="11">
        <v>4825111</v>
      </c>
      <c r="R129" s="11">
        <v>4898679.7693027202</v>
      </c>
      <c r="S129" s="11">
        <v>4945064.2665958703</v>
      </c>
      <c r="T129" s="46"/>
      <c r="U129" s="171" t="s">
        <v>380</v>
      </c>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row>
    <row r="130" spans="1:50">
      <c r="A130" s="373" t="s">
        <v>381</v>
      </c>
      <c r="B130" s="10" t="s">
        <v>246</v>
      </c>
      <c r="C130" s="293" t="s">
        <v>210</v>
      </c>
      <c r="D130" s="413">
        <v>12541304.101150151</v>
      </c>
      <c r="E130" s="11">
        <v>12142631.564098353</v>
      </c>
      <c r="F130" s="11">
        <v>12214653.750273954</v>
      </c>
      <c r="G130" s="11">
        <v>13085158.055674471</v>
      </c>
      <c r="H130" s="11">
        <v>12097211.856164379</v>
      </c>
      <c r="I130" s="11">
        <v>11823309.684590152</v>
      </c>
      <c r="J130" s="11">
        <v>11358817.383150671</v>
      </c>
      <c r="K130" s="11">
        <v>11358815.123424683</v>
      </c>
      <c r="L130" s="11">
        <f>+P2a!D161</f>
        <v>11478990.199041102</v>
      </c>
      <c r="M130" s="11">
        <f>+P2a!E161</f>
        <v>12133116.673703548</v>
      </c>
      <c r="N130" s="11">
        <f>+P2a!F161</f>
        <v>10845204.764118925</v>
      </c>
      <c r="O130" s="11">
        <v>11408113.268823829</v>
      </c>
      <c r="P130" s="11">
        <v>10749001</v>
      </c>
      <c r="Q130" s="11">
        <v>10885739</v>
      </c>
      <c r="R130" s="11">
        <v>10846638.288632801</v>
      </c>
      <c r="S130" s="11">
        <v>10895979.675698601</v>
      </c>
      <c r="T130" s="46"/>
      <c r="U130" s="171" t="s">
        <v>382</v>
      </c>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row>
    <row r="131" spans="1:50">
      <c r="A131" s="373" t="s">
        <v>383</v>
      </c>
      <c r="B131" s="16" t="s">
        <v>225</v>
      </c>
      <c r="C131" s="294" t="s">
        <v>160</v>
      </c>
      <c r="D131" s="6">
        <f t="shared" ref="D131:K131" si="96">SUM(D129:D130)</f>
        <v>16800778.851712693</v>
      </c>
      <c r="E131" s="6">
        <f t="shared" si="96"/>
        <v>16640536.480655702</v>
      </c>
      <c r="F131" s="6">
        <f t="shared" si="96"/>
        <v>16671595.427945152</v>
      </c>
      <c r="G131" s="6">
        <f t="shared" si="96"/>
        <v>17989709.002996128</v>
      </c>
      <c r="H131" s="6">
        <f t="shared" si="96"/>
        <v>16598240.074657531</v>
      </c>
      <c r="I131" s="6">
        <f t="shared" si="96"/>
        <v>16398225.975245846</v>
      </c>
      <c r="J131" s="6">
        <f t="shared" si="96"/>
        <v>16028762.282054758</v>
      </c>
      <c r="K131" s="6">
        <f t="shared" si="96"/>
        <v>16229148.647260245</v>
      </c>
      <c r="L131" s="6">
        <f>SUM(L129:L130)</f>
        <v>16412947.667945175</v>
      </c>
      <c r="M131" s="6">
        <f>SUM(M129:M130)</f>
        <v>17343325.231234036</v>
      </c>
      <c r="N131" s="6">
        <f>SUM(N129:N130)</f>
        <v>15732560.862323854</v>
      </c>
      <c r="O131" s="6">
        <f>SUM(O129:O130)</f>
        <v>15971914.915435087</v>
      </c>
      <c r="P131" s="6">
        <f t="shared" ref="P131:Q131" si="97">SUM(P129:P130)</f>
        <v>15266331</v>
      </c>
      <c r="Q131" s="6">
        <f t="shared" si="97"/>
        <v>15710850</v>
      </c>
      <c r="R131" s="6">
        <f t="shared" ref="R131:S131" si="98">SUM(R129:R130)</f>
        <v>15745318.057935521</v>
      </c>
      <c r="S131" s="6">
        <f t="shared" si="98"/>
        <v>15841043.942294471</v>
      </c>
      <c r="T131" s="46"/>
      <c r="U131" s="171" t="s">
        <v>384</v>
      </c>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row>
    <row r="132" spans="1:50">
      <c r="A132" s="375" t="s">
        <v>178</v>
      </c>
      <c r="B132" s="21"/>
      <c r="C132" s="22"/>
      <c r="D132" s="21"/>
      <c r="E132" s="21"/>
      <c r="F132" s="21"/>
      <c r="G132" s="21"/>
      <c r="H132" s="21"/>
      <c r="I132" s="21"/>
      <c r="J132" s="21"/>
      <c r="K132" s="21"/>
      <c r="L132" s="21"/>
      <c r="M132" s="21"/>
      <c r="N132" s="21"/>
      <c r="O132" s="21"/>
      <c r="P132" s="21"/>
      <c r="Q132" s="21"/>
      <c r="R132" s="21"/>
      <c r="S132" s="21"/>
      <c r="T132" s="46"/>
      <c r="U132" s="21"/>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row>
    <row r="133" spans="1:50">
      <c r="A133" s="444"/>
      <c r="B133" s="284" t="s">
        <v>385</v>
      </c>
      <c r="C133" s="295"/>
      <c r="D133" s="21"/>
      <c r="E133" s="21"/>
      <c r="F133" s="21"/>
      <c r="G133" s="21"/>
      <c r="H133" s="21"/>
      <c r="I133" s="21"/>
      <c r="J133" s="21"/>
      <c r="K133" s="21"/>
      <c r="L133" s="21"/>
      <c r="M133" s="21"/>
      <c r="N133" s="21"/>
      <c r="O133" s="21"/>
      <c r="P133" s="21"/>
      <c r="Q133" s="21"/>
      <c r="R133" s="21"/>
      <c r="S133" s="21"/>
      <c r="T133" s="46"/>
      <c r="U133" s="171"/>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row>
    <row r="134" spans="1:50">
      <c r="A134" s="376" t="s">
        <v>386</v>
      </c>
      <c r="B134" s="12" t="s">
        <v>387</v>
      </c>
      <c r="C134" s="293" t="s">
        <v>210</v>
      </c>
      <c r="D134" s="413">
        <v>4259474.7505625421</v>
      </c>
      <c r="E134" s="11">
        <v>4497904.9165573493</v>
      </c>
      <c r="F134" s="11">
        <v>4456941.6776711978</v>
      </c>
      <c r="G134" s="11">
        <v>4491623.4856163934</v>
      </c>
      <c r="H134" s="11">
        <v>4501028.2184931524</v>
      </c>
      <c r="I134" s="11">
        <v>4574916.2906556949</v>
      </c>
      <c r="J134" s="11">
        <v>4669944.898904087</v>
      </c>
      <c r="K134" s="11">
        <v>4870333.5238355612</v>
      </c>
      <c r="L134" s="11">
        <f>+P2a!D165</f>
        <v>4933957.4689040724</v>
      </c>
      <c r="M134" s="11">
        <f>+P2a!E165</f>
        <v>5157504.5851894971</v>
      </c>
      <c r="N134" s="11">
        <f>+P2a!F165</f>
        <v>4887356.0982049303</v>
      </c>
      <c r="O134" s="11">
        <v>4390628.5046578422</v>
      </c>
      <c r="P134" s="11">
        <v>4517330</v>
      </c>
      <c r="Q134" s="11">
        <v>4825111</v>
      </c>
      <c r="R134" s="11">
        <v>4898679.7693027202</v>
      </c>
      <c r="S134" s="11">
        <v>4945064.2665958703</v>
      </c>
      <c r="T134" s="46"/>
      <c r="U134" s="171" t="s">
        <v>380</v>
      </c>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row>
    <row r="135" spans="1:50">
      <c r="A135" s="373" t="s">
        <v>388</v>
      </c>
      <c r="B135" s="12" t="s">
        <v>389</v>
      </c>
      <c r="C135" s="293" t="s">
        <v>210</v>
      </c>
      <c r="D135" s="413">
        <v>32551140.754516393</v>
      </c>
      <c r="E135" s="11">
        <v>30752537.110109445</v>
      </c>
      <c r="F135" s="11">
        <v>29857636.788219452</v>
      </c>
      <c r="G135" s="11">
        <v>30051274.063835584</v>
      </c>
      <c r="H135" s="11">
        <v>30369335.774931706</v>
      </c>
      <c r="I135" s="11">
        <v>30442418.894262441</v>
      </c>
      <c r="J135" s="11">
        <v>31322183.892191846</v>
      </c>
      <c r="K135" s="11">
        <v>32553209.274520669</v>
      </c>
      <c r="L135" s="11">
        <f>+P2a!D166</f>
        <v>33245115.97904091</v>
      </c>
      <c r="M135" s="11">
        <f>+P2a!E166</f>
        <v>34697277.345373467</v>
      </c>
      <c r="N135" s="11">
        <f>+P2a!F166</f>
        <v>32257631.55817711</v>
      </c>
      <c r="O135" s="11">
        <v>29387932.657468382</v>
      </c>
      <c r="P135" s="11">
        <v>29654932</v>
      </c>
      <c r="Q135" s="11">
        <v>32586641</v>
      </c>
      <c r="R135" s="11">
        <v>33201083.505010601</v>
      </c>
      <c r="S135" s="11">
        <v>34572491.335454904</v>
      </c>
      <c r="T135" s="46"/>
      <c r="U135" s="171" t="s">
        <v>390</v>
      </c>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row>
    <row r="136" spans="1:50">
      <c r="A136" s="373" t="s">
        <v>391</v>
      </c>
      <c r="B136" s="12" t="s">
        <v>1741</v>
      </c>
      <c r="C136" s="293" t="s">
        <v>210</v>
      </c>
      <c r="D136" s="413">
        <v>44891859.507711969</v>
      </c>
      <c r="E136" s="11">
        <v>45853142.346557312</v>
      </c>
      <c r="F136" s="11">
        <v>44065467.645753197</v>
      </c>
      <c r="G136" s="11">
        <v>42141311.480958864</v>
      </c>
      <c r="H136" s="11">
        <v>45674576.701918058</v>
      </c>
      <c r="I136" s="11">
        <v>45687470.2827323</v>
      </c>
      <c r="J136" s="11">
        <v>45701296.02041062</v>
      </c>
      <c r="K136" s="11">
        <v>46124214.909726292</v>
      </c>
      <c r="L136" s="11">
        <f>+P2a!D167</f>
        <v>45948388.373425059</v>
      </c>
      <c r="M136" s="11">
        <f>+P2a!E167</f>
        <v>45011073.074992612</v>
      </c>
      <c r="N136" s="11">
        <f>+P2a!F167</f>
        <v>45283438.922063738</v>
      </c>
      <c r="O136" s="11">
        <v>37223485.316393666</v>
      </c>
      <c r="P136" s="11">
        <v>47979887</v>
      </c>
      <c r="Q136" s="11">
        <v>52075379</v>
      </c>
      <c r="R136" s="11">
        <v>52708017.272386096</v>
      </c>
      <c r="S136" s="11">
        <v>55030622.491745196</v>
      </c>
      <c r="T136" s="46"/>
      <c r="U136" s="171" t="s">
        <v>393</v>
      </c>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row>
    <row r="137" spans="1:50">
      <c r="A137" s="373" t="s">
        <v>394</v>
      </c>
      <c r="B137" s="12" t="s">
        <v>1742</v>
      </c>
      <c r="C137" s="293" t="s">
        <v>210</v>
      </c>
      <c r="D137" s="413">
        <v>1239930.0006849663</v>
      </c>
      <c r="E137" s="11">
        <v>455120.88032786921</v>
      </c>
      <c r="F137" s="11">
        <v>526260.04999999888</v>
      </c>
      <c r="G137" s="11">
        <v>2871413.3253424</v>
      </c>
      <c r="H137" s="11">
        <v>540915.87808219157</v>
      </c>
      <c r="I137" s="11">
        <v>518346.43999999948</v>
      </c>
      <c r="J137" s="11">
        <v>1004394.4199999999</v>
      </c>
      <c r="K137" s="11">
        <v>668565.5382191781</v>
      </c>
      <c r="L137" s="11">
        <f>+P2a!D168</f>
        <v>697387.46</v>
      </c>
      <c r="M137" s="11">
        <f>+P2a!E168</f>
        <v>541358.95669999998</v>
      </c>
      <c r="N137" s="11">
        <f>+P2a!F168</f>
        <v>492050.90969535522</v>
      </c>
      <c r="O137" s="11">
        <v>354684.19722328766</v>
      </c>
      <c r="P137" s="11">
        <v>6858855</v>
      </c>
      <c r="Q137" s="11">
        <v>7424934</v>
      </c>
      <c r="R137" s="11">
        <v>7362441.1742794504</v>
      </c>
      <c r="S137" s="11">
        <v>7253593.4945</v>
      </c>
      <c r="T137" s="46"/>
      <c r="U137" s="171" t="s">
        <v>396</v>
      </c>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row>
    <row r="138" spans="1:50">
      <c r="A138" s="373" t="s">
        <v>397</v>
      </c>
      <c r="B138" s="12" t="s">
        <v>398</v>
      </c>
      <c r="C138" s="293" t="s">
        <v>210</v>
      </c>
      <c r="D138" s="413">
        <v>411352.9299999997</v>
      </c>
      <c r="E138" s="11">
        <v>4225.7595628425479</v>
      </c>
      <c r="F138" s="11">
        <v>0</v>
      </c>
      <c r="G138" s="11">
        <v>605136.71191780642</v>
      </c>
      <c r="H138" s="11">
        <v>5014.5858904123306</v>
      </c>
      <c r="I138" s="11">
        <v>0</v>
      </c>
      <c r="J138" s="11">
        <v>0</v>
      </c>
      <c r="K138" s="11">
        <v>0</v>
      </c>
      <c r="L138" s="11">
        <f>+P2a!D169</f>
        <v>0</v>
      </c>
      <c r="M138" s="11">
        <f>+P2a!E169</f>
        <v>0</v>
      </c>
      <c r="N138" s="11">
        <f>+P2a!F169</f>
        <v>0</v>
      </c>
      <c r="O138" s="11">
        <v>0</v>
      </c>
      <c r="P138" s="11">
        <v>8526781</v>
      </c>
      <c r="Q138" s="11">
        <v>7287735</v>
      </c>
      <c r="R138" s="11">
        <v>7442367.5114000002</v>
      </c>
      <c r="S138" s="11">
        <v>8170666.0799000002</v>
      </c>
      <c r="T138" s="46"/>
      <c r="U138" s="171" t="s">
        <v>399</v>
      </c>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row>
    <row r="139" spans="1:50">
      <c r="A139" s="373" t="s">
        <v>400</v>
      </c>
      <c r="B139" s="12" t="s">
        <v>401</v>
      </c>
      <c r="C139" s="293" t="s">
        <v>210</v>
      </c>
      <c r="D139" s="413">
        <v>7138.15</v>
      </c>
      <c r="E139" s="11">
        <v>5426.5866120218579</v>
      </c>
      <c r="F139" s="11">
        <v>4924.6550684931508</v>
      </c>
      <c r="G139" s="11">
        <v>4672.1384931506855</v>
      </c>
      <c r="H139" s="11">
        <v>4604.0235616438358</v>
      </c>
      <c r="I139" s="11">
        <v>4819.0683060109295</v>
      </c>
      <c r="J139" s="11">
        <v>4667.0712328767122</v>
      </c>
      <c r="K139" s="11">
        <v>4743.333424657535</v>
      </c>
      <c r="L139" s="11">
        <f>+P2a!D170</f>
        <v>2331.2382191780821</v>
      </c>
      <c r="M139" s="11">
        <f>+P2a!E170</f>
        <v>4231.2423136612024</v>
      </c>
      <c r="N139" s="11">
        <f>+P2a!F170</f>
        <v>2231.8075382513662</v>
      </c>
      <c r="O139" s="11">
        <v>3631.7901342465757</v>
      </c>
      <c r="P139" s="11" t="s">
        <v>57</v>
      </c>
      <c r="Q139" s="11" t="s">
        <v>57</v>
      </c>
      <c r="R139" s="11" t="s">
        <v>57</v>
      </c>
      <c r="S139" s="11" t="s">
        <v>57</v>
      </c>
      <c r="T139" s="46"/>
      <c r="U139" s="171" t="s">
        <v>402</v>
      </c>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row>
    <row r="140" spans="1:50">
      <c r="A140" s="373" t="s">
        <v>403</v>
      </c>
      <c r="B140" s="12" t="s">
        <v>404</v>
      </c>
      <c r="C140" s="293" t="s">
        <v>210</v>
      </c>
      <c r="D140" s="413">
        <v>105839.2187671233</v>
      </c>
      <c r="E140" s="11">
        <v>294018.73076502734</v>
      </c>
      <c r="F140" s="11">
        <v>296874.39616438368</v>
      </c>
      <c r="G140" s="11">
        <v>294573.20438356162</v>
      </c>
      <c r="H140" s="11">
        <v>260899.25945205474</v>
      </c>
      <c r="I140" s="11">
        <v>231398.61808743165</v>
      </c>
      <c r="J140" s="11">
        <v>254889.84602739726</v>
      </c>
      <c r="K140" s="11">
        <v>109017.42287671231</v>
      </c>
      <c r="L140" s="11">
        <f>+P2a!D171</f>
        <v>224546.69027397261</v>
      </c>
      <c r="M140" s="11">
        <f>+P2a!E171</f>
        <v>264900.0568169399</v>
      </c>
      <c r="N140" s="11">
        <f>+P2a!F171</f>
        <v>211409.19127595628</v>
      </c>
      <c r="O140" s="11">
        <v>214244.49280410956</v>
      </c>
      <c r="P140" s="11" t="s">
        <v>57</v>
      </c>
      <c r="Q140" s="11" t="s">
        <v>57</v>
      </c>
      <c r="R140" s="11" t="s">
        <v>57</v>
      </c>
      <c r="S140" s="11" t="s">
        <v>57</v>
      </c>
      <c r="T140" s="46"/>
      <c r="U140" s="171" t="s">
        <v>405</v>
      </c>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row>
    <row r="141" spans="1:50">
      <c r="A141" s="373" t="s">
        <v>406</v>
      </c>
      <c r="B141" s="12" t="s">
        <v>1743</v>
      </c>
      <c r="C141" s="293" t="s">
        <v>210</v>
      </c>
      <c r="D141" s="413">
        <v>10011043.195479451</v>
      </c>
      <c r="E141" s="11">
        <v>8841443.0988524575</v>
      </c>
      <c r="F141" s="11">
        <v>8574647.7205479462</v>
      </c>
      <c r="G141" s="11">
        <v>8110784.7147945222</v>
      </c>
      <c r="H141" s="11">
        <v>8135493.2636986291</v>
      </c>
      <c r="I141" s="11">
        <v>7872415.9920765022</v>
      </c>
      <c r="J141" s="11">
        <v>7542948.1697260272</v>
      </c>
      <c r="K141" s="11">
        <v>7489673.5500000007</v>
      </c>
      <c r="L141" s="11">
        <f>+P2a!D172</f>
        <v>7744529.5313698631</v>
      </c>
      <c r="M141" s="11">
        <f>+P2a!E172</f>
        <v>7223367.8908311483</v>
      </c>
      <c r="N141" s="11">
        <f>+P2a!F172</f>
        <v>7280759.1530683031</v>
      </c>
      <c r="O141" s="11">
        <v>6818053.789324658</v>
      </c>
      <c r="P141" s="11" t="s">
        <v>57</v>
      </c>
      <c r="Q141" s="11" t="s">
        <v>57</v>
      </c>
      <c r="R141" s="11" t="s">
        <v>57</v>
      </c>
      <c r="S141" s="11" t="s">
        <v>57</v>
      </c>
      <c r="T141" s="46"/>
      <c r="U141" s="171" t="s">
        <v>407</v>
      </c>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row>
    <row r="142" spans="1:50">
      <c r="A142" s="373" t="s">
        <v>408</v>
      </c>
      <c r="B142" s="12" t="s">
        <v>1744</v>
      </c>
      <c r="C142" s="293" t="s">
        <v>210</v>
      </c>
      <c r="D142" s="413">
        <v>7143686.8580821911</v>
      </c>
      <c r="E142" s="11">
        <v>6960874.1363934418</v>
      </c>
      <c r="F142" s="11">
        <v>6618897.9361643856</v>
      </c>
      <c r="G142" s="11">
        <v>6343244.0257534236</v>
      </c>
      <c r="H142" s="11">
        <v>6567884.1091780812</v>
      </c>
      <c r="I142" s="11">
        <v>6103768.7598907109</v>
      </c>
      <c r="J142" s="11">
        <v>5931986.2328767115</v>
      </c>
      <c r="K142" s="11">
        <v>6980268.3965753429</v>
      </c>
      <c r="L142" s="11">
        <f>+P2a!D173</f>
        <v>5918097.2454794515</v>
      </c>
      <c r="M142" s="11">
        <f>+P2a!E173</f>
        <v>4950762.2843021853</v>
      </c>
      <c r="N142" s="11">
        <f>+P2a!F173</f>
        <v>5159258.9699057369</v>
      </c>
      <c r="O142" s="11">
        <v>4846771.937243836</v>
      </c>
      <c r="P142" s="11" t="s">
        <v>57</v>
      </c>
      <c r="Q142" s="11" t="s">
        <v>57</v>
      </c>
      <c r="R142" s="11" t="s">
        <v>57</v>
      </c>
      <c r="S142" s="11" t="s">
        <v>57</v>
      </c>
      <c r="T142" s="46"/>
      <c r="U142" s="171" t="s">
        <v>409</v>
      </c>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row>
    <row r="143" spans="1:50">
      <c r="A143" s="373" t="s">
        <v>410</v>
      </c>
      <c r="B143" s="12" t="s">
        <v>1745</v>
      </c>
      <c r="C143" s="293" t="s">
        <v>210</v>
      </c>
      <c r="D143" s="413">
        <v>10129962.251369862</v>
      </c>
      <c r="E143" s="11">
        <v>9749594.5899999999</v>
      </c>
      <c r="F143" s="11">
        <v>9762264.2130137011</v>
      </c>
      <c r="G143" s="11">
        <v>9025734.540000001</v>
      </c>
      <c r="H143" s="11">
        <v>7245303.1500000004</v>
      </c>
      <c r="I143" s="11">
        <v>6877933.1101092901</v>
      </c>
      <c r="J143" s="11">
        <v>6058750.18369863</v>
      </c>
      <c r="K143" s="11">
        <v>5462095.4345205482</v>
      </c>
      <c r="L143" s="11">
        <f>+P2a!D174</f>
        <v>6532639.9964383561</v>
      </c>
      <c r="M143" s="11">
        <f>+P2a!E174</f>
        <v>6661784.9300721306</v>
      </c>
      <c r="N143" s="11">
        <f>+P2a!F174</f>
        <v>6723210.2269781418</v>
      </c>
      <c r="O143" s="11">
        <v>6251426.2751424657</v>
      </c>
      <c r="P143" s="11" t="s">
        <v>57</v>
      </c>
      <c r="Q143" s="11" t="s">
        <v>57</v>
      </c>
      <c r="R143" s="11" t="s">
        <v>57</v>
      </c>
      <c r="S143" s="11" t="s">
        <v>57</v>
      </c>
      <c r="T143" s="46"/>
      <c r="U143" s="171" t="s">
        <v>411</v>
      </c>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row>
    <row r="144" spans="1:50">
      <c r="A144" s="373" t="s">
        <v>412</v>
      </c>
      <c r="B144" s="12" t="s">
        <v>413</v>
      </c>
      <c r="C144" s="293" t="s">
        <v>210</v>
      </c>
      <c r="D144" s="413">
        <v>11148037.773150684</v>
      </c>
      <c r="E144" s="11">
        <v>11143066.43</v>
      </c>
      <c r="F144" s="11">
        <v>10029523.014383562</v>
      </c>
      <c r="G144" s="11">
        <v>9694243.6899999995</v>
      </c>
      <c r="H144" s="11">
        <v>10070810.640000001</v>
      </c>
      <c r="I144" s="11">
        <v>10758737.960000001</v>
      </c>
      <c r="J144" s="11">
        <v>7906441.3250684924</v>
      </c>
      <c r="K144" s="11">
        <v>7392834.8216438349</v>
      </c>
      <c r="L144" s="11">
        <f>+P2a!D175</f>
        <v>8717377.9299999997</v>
      </c>
      <c r="M144" s="11">
        <f>+P2a!E175</f>
        <v>6002116.3587999986</v>
      </c>
      <c r="N144" s="11">
        <f>+P2a!F175</f>
        <v>6628154.1018497255</v>
      </c>
      <c r="O144" s="11">
        <v>8610559.9627000019</v>
      </c>
      <c r="P144" s="11" t="s">
        <v>57</v>
      </c>
      <c r="Q144" s="11" t="s">
        <v>57</v>
      </c>
      <c r="R144" s="11" t="s">
        <v>57</v>
      </c>
      <c r="S144" s="11" t="s">
        <v>57</v>
      </c>
      <c r="T144" s="46"/>
      <c r="U144" s="171" t="s">
        <v>414</v>
      </c>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row>
    <row r="145" spans="1:50">
      <c r="A145" s="373" t="s">
        <v>415</v>
      </c>
      <c r="B145" s="10" t="s">
        <v>225</v>
      </c>
      <c r="C145" s="294" t="s">
        <v>160</v>
      </c>
      <c r="D145" s="6">
        <f>SUM(D134:D144)</f>
        <v>121899465.39032519</v>
      </c>
      <c r="E145" s="6">
        <f t="shared" ref="E145:K145" si="99">SUM(E134:E144)</f>
        <v>118557354.58573776</v>
      </c>
      <c r="F145" s="6">
        <f t="shared" si="99"/>
        <v>114193438.09698629</v>
      </c>
      <c r="G145" s="6">
        <f t="shared" si="99"/>
        <v>113634011.38109571</v>
      </c>
      <c r="H145" s="6">
        <f t="shared" si="99"/>
        <v>113375865.60520594</v>
      </c>
      <c r="I145" s="6">
        <f t="shared" si="99"/>
        <v>113072225.41612038</v>
      </c>
      <c r="J145" s="6">
        <f t="shared" si="99"/>
        <v>110397502.06013669</v>
      </c>
      <c r="K145" s="6">
        <f t="shared" si="99"/>
        <v>111654956.2053428</v>
      </c>
      <c r="L145" s="6">
        <f>SUM(L134:L144)</f>
        <v>113964371.91315085</v>
      </c>
      <c r="M145" s="6">
        <f>SUM(M134:M144)</f>
        <v>110514376.72539163</v>
      </c>
      <c r="N145" s="6">
        <f>SUM(N134:N144)</f>
        <v>108925500.93875724</v>
      </c>
      <c r="O145" s="6">
        <f>SUM(O134:O144)</f>
        <v>98101418.923092484</v>
      </c>
      <c r="P145" s="6">
        <f t="shared" ref="P145:Q145" si="100">SUM(P134:P144)</f>
        <v>97537785</v>
      </c>
      <c r="Q145" s="6">
        <f t="shared" si="100"/>
        <v>104199800</v>
      </c>
      <c r="R145" s="6">
        <f t="shared" ref="R145:S145" si="101">SUM(R134:R144)</f>
        <v>105612589.23237887</v>
      </c>
      <c r="S145" s="6">
        <f t="shared" si="101"/>
        <v>109972437.66819596</v>
      </c>
      <c r="T145" s="46"/>
      <c r="U145" s="171" t="s">
        <v>416</v>
      </c>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row>
    <row r="146" spans="1:50">
      <c r="A146" s="375" t="s">
        <v>178</v>
      </c>
      <c r="B146" s="21"/>
      <c r="C146" s="22"/>
      <c r="D146" s="21"/>
      <c r="E146" s="21"/>
      <c r="F146" s="21"/>
      <c r="G146" s="21"/>
      <c r="H146" s="21"/>
      <c r="I146" s="21"/>
      <c r="J146" s="21"/>
      <c r="K146" s="21"/>
      <c r="L146" s="21"/>
      <c r="M146" s="44"/>
      <c r="N146" s="44"/>
      <c r="O146" s="44"/>
      <c r="P146" s="44"/>
      <c r="Q146" s="44"/>
      <c r="R146" s="44"/>
      <c r="S146" s="44"/>
      <c r="T146" s="46"/>
      <c r="U146" s="171"/>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row>
    <row r="147" spans="1:50">
      <c r="A147" s="445" t="s">
        <v>178</v>
      </c>
      <c r="B147" s="284" t="s">
        <v>267</v>
      </c>
      <c r="C147" s="295"/>
      <c r="D147" s="21"/>
      <c r="E147" s="21"/>
      <c r="F147" s="21"/>
      <c r="G147" s="21"/>
      <c r="H147" s="21"/>
      <c r="I147" s="416"/>
      <c r="J147" s="416"/>
      <c r="K147" s="416"/>
      <c r="L147" s="21"/>
      <c r="M147" s="21"/>
      <c r="N147" s="21"/>
      <c r="O147" s="21"/>
      <c r="P147" s="21"/>
      <c r="Q147" s="21"/>
      <c r="R147" s="21"/>
      <c r="S147" s="21"/>
      <c r="T147" s="46"/>
      <c r="U147" s="171"/>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row>
    <row r="148" spans="1:50">
      <c r="A148" s="376" t="s">
        <v>417</v>
      </c>
      <c r="B148" s="10" t="s">
        <v>209</v>
      </c>
      <c r="C148" s="293" t="s">
        <v>210</v>
      </c>
      <c r="D148" s="413">
        <v>67</v>
      </c>
      <c r="E148" s="11">
        <v>65</v>
      </c>
      <c r="F148" s="11">
        <v>66</v>
      </c>
      <c r="G148" s="11">
        <v>66</v>
      </c>
      <c r="H148" s="11">
        <v>65</v>
      </c>
      <c r="I148" s="11">
        <v>66</v>
      </c>
      <c r="J148" s="11">
        <v>66</v>
      </c>
      <c r="K148" s="11">
        <v>66</v>
      </c>
      <c r="L148" s="11">
        <f>+P2a!D179</f>
        <v>67</v>
      </c>
      <c r="M148" s="11">
        <f>+P2a!E179</f>
        <v>68</v>
      </c>
      <c r="N148" s="11">
        <f>+P2a!F179</f>
        <v>68</v>
      </c>
      <c r="O148" s="11">
        <v>69</v>
      </c>
      <c r="P148" s="11">
        <v>69</v>
      </c>
      <c r="Q148" s="11">
        <v>71</v>
      </c>
      <c r="R148" s="11">
        <v>71</v>
      </c>
      <c r="S148" s="11">
        <v>74</v>
      </c>
      <c r="T148" s="46"/>
      <c r="U148" s="171" t="s">
        <v>269</v>
      </c>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row>
    <row r="149" spans="1:50">
      <c r="A149" s="373" t="s">
        <v>418</v>
      </c>
      <c r="B149" s="12" t="s">
        <v>213</v>
      </c>
      <c r="C149" s="293" t="s">
        <v>210</v>
      </c>
      <c r="D149" s="413">
        <v>130</v>
      </c>
      <c r="E149" s="11">
        <v>127</v>
      </c>
      <c r="F149" s="11">
        <v>130</v>
      </c>
      <c r="G149" s="11">
        <v>130</v>
      </c>
      <c r="H149" s="11">
        <v>129</v>
      </c>
      <c r="I149" s="11">
        <v>130</v>
      </c>
      <c r="J149" s="11">
        <v>129</v>
      </c>
      <c r="K149" s="11">
        <v>130</v>
      </c>
      <c r="L149" s="11">
        <f>+P2a!D180</f>
        <v>133</v>
      </c>
      <c r="M149" s="11">
        <f>+P2a!E180</f>
        <v>136</v>
      </c>
      <c r="N149" s="11">
        <f>+P2a!F180</f>
        <v>136</v>
      </c>
      <c r="O149" s="11">
        <v>139</v>
      </c>
      <c r="P149" s="11">
        <v>139</v>
      </c>
      <c r="Q149" s="11">
        <v>142</v>
      </c>
      <c r="R149" s="11">
        <v>142</v>
      </c>
      <c r="S149" s="11">
        <v>148</v>
      </c>
      <c r="T149" s="46"/>
      <c r="U149" s="171" t="s">
        <v>271</v>
      </c>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row>
    <row r="150" spans="1:50">
      <c r="A150" s="373" t="s">
        <v>419</v>
      </c>
      <c r="B150" s="12" t="s">
        <v>216</v>
      </c>
      <c r="C150" s="293" t="s">
        <v>210</v>
      </c>
      <c r="D150" s="413">
        <v>512</v>
      </c>
      <c r="E150" s="11">
        <v>500</v>
      </c>
      <c r="F150" s="11">
        <v>512</v>
      </c>
      <c r="G150" s="11">
        <v>513</v>
      </c>
      <c r="H150" s="11">
        <v>510</v>
      </c>
      <c r="I150" s="11">
        <v>515</v>
      </c>
      <c r="J150" s="11">
        <v>513</v>
      </c>
      <c r="K150" s="11">
        <v>516</v>
      </c>
      <c r="L150" s="11">
        <f>+P2a!D181</f>
        <v>526</v>
      </c>
      <c r="M150" s="11">
        <f>+P2a!E181</f>
        <v>537</v>
      </c>
      <c r="N150" s="11">
        <f>+P2a!F181</f>
        <v>537</v>
      </c>
      <c r="O150" s="11">
        <v>548</v>
      </c>
      <c r="P150" s="11">
        <v>548</v>
      </c>
      <c r="Q150" s="11">
        <v>562</v>
      </c>
      <c r="R150" s="11">
        <v>562</v>
      </c>
      <c r="S150" s="11">
        <v>586</v>
      </c>
      <c r="T150" s="46"/>
      <c r="U150" s="171" t="s">
        <v>420</v>
      </c>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row>
    <row r="151" spans="1:50">
      <c r="A151" s="373" t="s">
        <v>421</v>
      </c>
      <c r="B151" s="12" t="s">
        <v>219</v>
      </c>
      <c r="C151" s="293" t="s">
        <v>210</v>
      </c>
      <c r="D151" s="413">
        <v>925</v>
      </c>
      <c r="E151" s="11">
        <v>903</v>
      </c>
      <c r="F151" s="11">
        <v>924</v>
      </c>
      <c r="G151" s="11">
        <v>925</v>
      </c>
      <c r="H151" s="11">
        <v>920</v>
      </c>
      <c r="I151" s="11">
        <v>929</v>
      </c>
      <c r="J151" s="11">
        <v>925</v>
      </c>
      <c r="K151" s="11">
        <v>931</v>
      </c>
      <c r="L151" s="11">
        <f>+P2a!D182</f>
        <v>950</v>
      </c>
      <c r="M151" s="11">
        <f>+P2a!E182</f>
        <v>969</v>
      </c>
      <c r="N151" s="11">
        <f>+P2a!F182</f>
        <v>969</v>
      </c>
      <c r="O151" s="11">
        <v>988</v>
      </c>
      <c r="P151" s="11">
        <v>988</v>
      </c>
      <c r="Q151" s="11">
        <v>1013</v>
      </c>
      <c r="R151" s="11">
        <v>1013</v>
      </c>
      <c r="S151" s="11">
        <v>1056</v>
      </c>
      <c r="T151" s="46"/>
      <c r="U151" s="171" t="s">
        <v>275</v>
      </c>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row>
    <row r="152" spans="1:50">
      <c r="A152" s="373" t="s">
        <v>422</v>
      </c>
      <c r="B152" s="12" t="s">
        <v>222</v>
      </c>
      <c r="C152" s="293" t="s">
        <v>210</v>
      </c>
      <c r="D152" s="413">
        <v>1797</v>
      </c>
      <c r="E152" s="11">
        <v>1755</v>
      </c>
      <c r="F152" s="11">
        <v>1796</v>
      </c>
      <c r="G152" s="11">
        <v>1799</v>
      </c>
      <c r="H152" s="11">
        <v>1790</v>
      </c>
      <c r="I152" s="11">
        <v>1808</v>
      </c>
      <c r="J152" s="11">
        <v>1801</v>
      </c>
      <c r="K152" s="11">
        <v>1812</v>
      </c>
      <c r="L152" s="11">
        <f>+P2a!D183</f>
        <v>1848</v>
      </c>
      <c r="M152" s="11">
        <f>+P2a!E183</f>
        <v>1885</v>
      </c>
      <c r="N152" s="11">
        <f>+P2a!F183</f>
        <v>1885</v>
      </c>
      <c r="O152" s="11">
        <v>1923</v>
      </c>
      <c r="P152" s="11">
        <v>1923</v>
      </c>
      <c r="Q152" s="11">
        <v>1971</v>
      </c>
      <c r="R152" s="11">
        <v>1971</v>
      </c>
      <c r="S152" s="11">
        <v>2054</v>
      </c>
      <c r="T152" s="46"/>
      <c r="U152" s="171" t="s">
        <v>277</v>
      </c>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row>
    <row r="153" spans="1:50">
      <c r="A153" s="373" t="s">
        <v>423</v>
      </c>
      <c r="B153" s="12" t="s">
        <v>349</v>
      </c>
      <c r="C153" s="293" t="s">
        <v>210</v>
      </c>
      <c r="D153" s="413">
        <v>1949</v>
      </c>
      <c r="E153" s="11">
        <v>1903</v>
      </c>
      <c r="F153" s="11">
        <v>1948</v>
      </c>
      <c r="G153" s="11">
        <v>1951</v>
      </c>
      <c r="H153" s="11">
        <v>1941</v>
      </c>
      <c r="I153" s="11">
        <v>1960</v>
      </c>
      <c r="J153" s="11">
        <v>1952</v>
      </c>
      <c r="K153" s="11">
        <v>1964</v>
      </c>
      <c r="L153" s="11">
        <f>+P2a!D184</f>
        <v>2003</v>
      </c>
      <c r="M153" s="11">
        <f>+P2a!E184</f>
        <v>2043</v>
      </c>
      <c r="N153" s="11">
        <f>+P2a!F184</f>
        <v>2043</v>
      </c>
      <c r="O153" s="11">
        <v>2084</v>
      </c>
      <c r="P153" s="11">
        <v>2084</v>
      </c>
      <c r="Q153" s="11">
        <v>2136</v>
      </c>
      <c r="R153" s="11">
        <v>2136</v>
      </c>
      <c r="S153" s="11">
        <v>2226</v>
      </c>
      <c r="T153" s="46"/>
      <c r="U153" s="171" t="s">
        <v>424</v>
      </c>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row>
    <row r="154" spans="1:50">
      <c r="A154" s="373" t="s">
        <v>425</v>
      </c>
      <c r="B154" s="12" t="s">
        <v>352</v>
      </c>
      <c r="C154" s="293" t="s">
        <v>210</v>
      </c>
      <c r="D154" s="413">
        <v>4104</v>
      </c>
      <c r="E154" s="11">
        <v>4008</v>
      </c>
      <c r="F154" s="11">
        <v>4102</v>
      </c>
      <c r="G154" s="11">
        <v>4108</v>
      </c>
      <c r="H154" s="11">
        <v>4087</v>
      </c>
      <c r="I154" s="11">
        <v>4128</v>
      </c>
      <c r="J154" s="11">
        <v>4111</v>
      </c>
      <c r="K154" s="11">
        <v>4136</v>
      </c>
      <c r="L154" s="11">
        <f>+P2a!D185</f>
        <v>4219</v>
      </c>
      <c r="M154" s="11">
        <f>+P2a!E185</f>
        <v>4303</v>
      </c>
      <c r="N154" s="11">
        <f>+P2a!F185</f>
        <v>4303</v>
      </c>
      <c r="O154" s="11">
        <v>4389</v>
      </c>
      <c r="P154" s="11">
        <v>4389</v>
      </c>
      <c r="Q154" s="11">
        <v>4499</v>
      </c>
      <c r="R154" s="11">
        <v>4499</v>
      </c>
      <c r="S154" s="11">
        <v>4688</v>
      </c>
      <c r="T154" s="46"/>
      <c r="U154" s="171" t="s">
        <v>426</v>
      </c>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row>
    <row r="155" spans="1:50">
      <c r="A155" s="373" t="s">
        <v>427</v>
      </c>
      <c r="B155" s="12" t="s">
        <v>355</v>
      </c>
      <c r="C155" s="293" t="s">
        <v>210</v>
      </c>
      <c r="D155" s="413">
        <v>30780</v>
      </c>
      <c r="E155" s="11">
        <v>30060</v>
      </c>
      <c r="F155" s="11">
        <v>30766</v>
      </c>
      <c r="G155" s="11">
        <v>30812</v>
      </c>
      <c r="H155" s="11">
        <v>30655</v>
      </c>
      <c r="I155" s="11">
        <v>30962</v>
      </c>
      <c r="J155" s="11">
        <v>30838</v>
      </c>
      <c r="K155" s="11">
        <v>31023</v>
      </c>
      <c r="L155" s="11">
        <f>+P2a!D186</f>
        <v>31643</v>
      </c>
      <c r="M155" s="11">
        <f>+P2a!E186</f>
        <v>32276</v>
      </c>
      <c r="N155" s="11">
        <f>+P2a!F186</f>
        <v>32276</v>
      </c>
      <c r="O155" s="11">
        <v>32922</v>
      </c>
      <c r="P155" s="11">
        <v>32922</v>
      </c>
      <c r="Q155" s="11">
        <v>33745</v>
      </c>
      <c r="R155" s="11">
        <v>33745</v>
      </c>
      <c r="S155" s="11">
        <v>35162</v>
      </c>
      <c r="T155" s="46"/>
      <c r="U155" s="171" t="s">
        <v>428</v>
      </c>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row>
    <row r="156" spans="1:50">
      <c r="A156" s="373" t="s">
        <v>429</v>
      </c>
      <c r="B156" s="12" t="s">
        <v>358</v>
      </c>
      <c r="C156" s="293" t="s">
        <v>210</v>
      </c>
      <c r="D156" s="413">
        <v>82080</v>
      </c>
      <c r="E156" s="11">
        <v>80159</v>
      </c>
      <c r="F156" s="11">
        <v>82043</v>
      </c>
      <c r="G156" s="11">
        <v>82166</v>
      </c>
      <c r="H156" s="11">
        <v>81747</v>
      </c>
      <c r="I156" s="11">
        <v>82564</v>
      </c>
      <c r="J156" s="11">
        <v>82234</v>
      </c>
      <c r="K156" s="11">
        <v>82727</v>
      </c>
      <c r="L156" s="11">
        <f>+P2a!D187</f>
        <v>84382</v>
      </c>
      <c r="M156" s="11">
        <f>+P2a!E187</f>
        <v>86070</v>
      </c>
      <c r="N156" s="11">
        <f>+P2a!F187</f>
        <v>86070</v>
      </c>
      <c r="O156" s="11">
        <v>87791</v>
      </c>
      <c r="P156" s="11">
        <v>87791</v>
      </c>
      <c r="Q156" s="11">
        <v>89986</v>
      </c>
      <c r="R156" s="11">
        <v>89986</v>
      </c>
      <c r="S156" s="11">
        <v>93765</v>
      </c>
      <c r="T156" s="46"/>
      <c r="U156" s="171" t="s">
        <v>430</v>
      </c>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row>
    <row r="157" spans="1:50">
      <c r="A157" s="373" t="s">
        <v>431</v>
      </c>
      <c r="B157" s="12" t="s">
        <v>361</v>
      </c>
      <c r="C157" s="293" t="s">
        <v>210</v>
      </c>
      <c r="D157" s="413">
        <v>101575</v>
      </c>
      <c r="E157" s="11">
        <v>99198</v>
      </c>
      <c r="F157" s="11">
        <v>101529</v>
      </c>
      <c r="G157" s="11">
        <v>101681</v>
      </c>
      <c r="H157" s="11">
        <v>101162</v>
      </c>
      <c r="I157" s="11">
        <v>102174</v>
      </c>
      <c r="J157" s="11">
        <v>101765</v>
      </c>
      <c r="K157" s="11">
        <v>102376</v>
      </c>
      <c r="L157" s="11">
        <f>+P2a!D188</f>
        <v>104424</v>
      </c>
      <c r="M157" s="11">
        <f>+P2a!E188</f>
        <v>106512</v>
      </c>
      <c r="N157" s="11">
        <f>+P2a!F188</f>
        <v>106512</v>
      </c>
      <c r="O157" s="11">
        <v>108642</v>
      </c>
      <c r="P157" s="11">
        <v>108642</v>
      </c>
      <c r="Q157" s="11">
        <v>111358</v>
      </c>
      <c r="R157" s="11">
        <v>111358</v>
      </c>
      <c r="S157" s="11">
        <v>116035</v>
      </c>
      <c r="T157" s="46"/>
      <c r="U157" s="171" t="s">
        <v>432</v>
      </c>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row>
    <row r="158" spans="1:50">
      <c r="A158" s="375" t="s">
        <v>178</v>
      </c>
      <c r="B158" s="21"/>
      <c r="C158" s="22"/>
      <c r="D158" s="21"/>
      <c r="E158" s="21"/>
      <c r="F158" s="21"/>
      <c r="G158" s="21"/>
      <c r="H158" s="21"/>
      <c r="I158" s="21"/>
      <c r="J158" s="21"/>
      <c r="K158" s="21"/>
      <c r="L158" s="21"/>
      <c r="M158" s="21"/>
      <c r="N158" s="21"/>
      <c r="O158" s="21"/>
      <c r="P158" s="21"/>
      <c r="Q158" s="21"/>
      <c r="R158" s="21"/>
      <c r="S158" s="21"/>
      <c r="T158" s="46"/>
      <c r="U158" s="21"/>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row>
    <row r="159" spans="1:50">
      <c r="A159" s="445" t="s">
        <v>178</v>
      </c>
      <c r="B159" s="284" t="s">
        <v>278</v>
      </c>
      <c r="C159" s="295"/>
      <c r="D159" s="21"/>
      <c r="E159" s="21"/>
      <c r="F159" s="21"/>
      <c r="G159" s="21"/>
      <c r="H159" s="21"/>
      <c r="I159" s="21"/>
      <c r="J159" s="21"/>
      <c r="K159" s="21"/>
      <c r="L159" s="21"/>
      <c r="M159" s="21"/>
      <c r="N159" s="21"/>
      <c r="O159" s="21"/>
      <c r="P159" s="21"/>
      <c r="Q159" s="21"/>
      <c r="R159" s="21"/>
      <c r="S159" s="21"/>
      <c r="T159" s="46"/>
      <c r="U159" s="171"/>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row>
    <row r="160" spans="1:50">
      <c r="A160" s="376" t="s">
        <v>433</v>
      </c>
      <c r="B160" s="10" t="s">
        <v>434</v>
      </c>
      <c r="C160" s="293" t="s">
        <v>210</v>
      </c>
      <c r="D160" s="11">
        <v>0.73621140000000007</v>
      </c>
      <c r="E160" s="11">
        <v>0.67809279999999994</v>
      </c>
      <c r="F160" s="11">
        <v>0.66530359999999988</v>
      </c>
      <c r="G160" s="11">
        <v>0.63806759999999996</v>
      </c>
      <c r="H160" s="11">
        <v>0.61618760000000006</v>
      </c>
      <c r="I160" s="11">
        <v>0.50760000000000005</v>
      </c>
      <c r="J160" s="11">
        <v>0.50560000000000005</v>
      </c>
      <c r="K160" s="11">
        <v>0.50860000000000005</v>
      </c>
      <c r="L160" s="11">
        <f>+P2a!D191</f>
        <v>0.51880000000000004</v>
      </c>
      <c r="M160" s="11">
        <f>+P2a!E191</f>
        <v>0.5292</v>
      </c>
      <c r="N160" s="11">
        <f>+P2a!F191</f>
        <v>0.5292</v>
      </c>
      <c r="O160" s="11">
        <v>0.53979999999999995</v>
      </c>
      <c r="P160" s="11">
        <v>0.53979999999999995</v>
      </c>
      <c r="Q160" s="11">
        <v>0.55130000000000001</v>
      </c>
      <c r="R160" s="11">
        <v>0.55130000000000001</v>
      </c>
      <c r="S160" s="11">
        <v>0.57450000000000001</v>
      </c>
      <c r="T160" s="46"/>
      <c r="U160" s="171" t="s">
        <v>435</v>
      </c>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row>
    <row r="161" spans="1:50">
      <c r="A161" s="373" t="s">
        <v>436</v>
      </c>
      <c r="B161" s="10" t="s">
        <v>283</v>
      </c>
      <c r="C161" s="293" t="s">
        <v>210</v>
      </c>
      <c r="D161" s="11">
        <v>0.50460000000000005</v>
      </c>
      <c r="E161" s="11">
        <v>0.49280000000000002</v>
      </c>
      <c r="F161" s="11">
        <v>0.50439999999999996</v>
      </c>
      <c r="G161" s="11">
        <v>0.50519999999999998</v>
      </c>
      <c r="H161" s="11">
        <v>0.50260000000000005</v>
      </c>
      <c r="I161" s="11">
        <v>0.50760000000000005</v>
      </c>
      <c r="J161" s="11">
        <v>0.50560000000000005</v>
      </c>
      <c r="K161" s="11">
        <v>0.50860000000000005</v>
      </c>
      <c r="L161" s="11">
        <f>+P2a!D192</f>
        <v>0.51880000000000004</v>
      </c>
      <c r="M161" s="11">
        <f>+P2a!E192</f>
        <v>0.5292</v>
      </c>
      <c r="N161" s="11">
        <f>+P2a!F192</f>
        <v>0.5292</v>
      </c>
      <c r="O161" s="11">
        <v>0.53979999999999995</v>
      </c>
      <c r="P161" s="11">
        <v>0.53979999999999995</v>
      </c>
      <c r="Q161" s="11">
        <v>0.55130000000000001</v>
      </c>
      <c r="R161" s="11">
        <v>0.55130000000000001</v>
      </c>
      <c r="S161" s="11">
        <v>0.57450000000000001</v>
      </c>
      <c r="T161" s="46"/>
      <c r="U161" s="171" t="s">
        <v>437</v>
      </c>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row>
    <row r="162" spans="1:50">
      <c r="A162" s="375" t="s">
        <v>178</v>
      </c>
      <c r="B162" s="22"/>
      <c r="C162" s="22"/>
      <c r="D162" s="22"/>
      <c r="E162" s="22"/>
      <c r="F162" s="22"/>
      <c r="G162" s="22"/>
      <c r="H162" s="22"/>
      <c r="I162" s="22"/>
      <c r="J162" s="22"/>
      <c r="K162" s="22"/>
      <c r="L162" s="22"/>
      <c r="M162" s="22"/>
      <c r="N162" s="22"/>
      <c r="O162" s="22"/>
      <c r="P162" s="22"/>
      <c r="Q162" s="22"/>
      <c r="R162" s="22"/>
      <c r="S162" s="22"/>
      <c r="T162" s="46"/>
      <c r="U162" s="22"/>
      <c r="V162" s="22"/>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row>
    <row r="163" spans="1:50">
      <c r="A163" s="445"/>
      <c r="B163" s="284" t="s">
        <v>438</v>
      </c>
      <c r="C163" s="295"/>
      <c r="D163" s="22"/>
      <c r="E163" s="22"/>
      <c r="F163" s="22"/>
      <c r="G163" s="22"/>
      <c r="H163" s="22"/>
      <c r="I163" s="22"/>
      <c r="J163" s="22"/>
      <c r="K163" s="22"/>
      <c r="L163" s="22"/>
      <c r="M163" s="22"/>
      <c r="N163" s="22"/>
      <c r="O163" s="22"/>
      <c r="P163" s="22"/>
      <c r="Q163" s="22"/>
      <c r="R163" s="22"/>
      <c r="S163" s="22"/>
      <c r="T163" s="46"/>
      <c r="U163" s="171"/>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row>
    <row r="164" spans="1:50">
      <c r="A164" s="376" t="s">
        <v>439</v>
      </c>
      <c r="B164" s="20" t="s">
        <v>387</v>
      </c>
      <c r="C164" s="293" t="s">
        <v>210</v>
      </c>
      <c r="D164" s="11">
        <v>1.0014576000000002</v>
      </c>
      <c r="E164" s="11">
        <v>0.92233279999999995</v>
      </c>
      <c r="F164" s="11">
        <v>0.90496589999999999</v>
      </c>
      <c r="G164" s="11">
        <v>0.86780729999999995</v>
      </c>
      <c r="H164" s="11">
        <v>0.83809359999999999</v>
      </c>
      <c r="I164" s="11">
        <v>0.69040000000000001</v>
      </c>
      <c r="J164" s="11">
        <v>0.68730000000000002</v>
      </c>
      <c r="K164" s="11">
        <v>0.69140000000000001</v>
      </c>
      <c r="L164" s="11">
        <f>+P2a!D195</f>
        <v>0.70520000000000005</v>
      </c>
      <c r="M164" s="11">
        <f>+P2a!E195</f>
        <v>0.71930000000000005</v>
      </c>
      <c r="N164" s="11">
        <f>+P2a!F195</f>
        <v>0.71930000000000005</v>
      </c>
      <c r="O164" s="11">
        <v>0.73370000000000002</v>
      </c>
      <c r="P164" s="11">
        <v>0.73370000000000002</v>
      </c>
      <c r="Q164" s="11">
        <v>0.752</v>
      </c>
      <c r="R164" s="11">
        <v>0.752</v>
      </c>
      <c r="S164" s="11">
        <v>0.78359999999999996</v>
      </c>
      <c r="T164" s="46"/>
      <c r="U164" s="171" t="s">
        <v>440</v>
      </c>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row>
    <row r="165" spans="1:50">
      <c r="A165" s="373" t="s">
        <v>441</v>
      </c>
      <c r="B165" s="20" t="s">
        <v>389</v>
      </c>
      <c r="C165" s="293" t="s">
        <v>210</v>
      </c>
      <c r="D165" s="11">
        <v>0.68640000000000001</v>
      </c>
      <c r="E165" s="11">
        <v>0.67030000000000001</v>
      </c>
      <c r="F165" s="11">
        <v>0.68610000000000004</v>
      </c>
      <c r="G165" s="11">
        <v>0.68710000000000004</v>
      </c>
      <c r="H165" s="11">
        <v>0.68359999999999999</v>
      </c>
      <c r="I165" s="11">
        <v>0.69040000000000001</v>
      </c>
      <c r="J165" s="11">
        <v>0.68730000000000002</v>
      </c>
      <c r="K165" s="11">
        <v>0.69140000000000001</v>
      </c>
      <c r="L165" s="11">
        <f>+P2a!D196</f>
        <v>0.70520000000000005</v>
      </c>
      <c r="M165" s="11">
        <f>+P2a!E196</f>
        <v>0.71930000000000005</v>
      </c>
      <c r="N165" s="11">
        <f>+P2a!F196</f>
        <v>0.71930000000000005</v>
      </c>
      <c r="O165" s="11">
        <v>0.73370000000000002</v>
      </c>
      <c r="P165" s="11">
        <v>0.73370000000000002</v>
      </c>
      <c r="Q165" s="11">
        <v>0.752</v>
      </c>
      <c r="R165" s="11">
        <v>0.752</v>
      </c>
      <c r="S165" s="11">
        <v>0.78359999999999996</v>
      </c>
      <c r="T165" s="46"/>
      <c r="U165" s="171" t="s">
        <v>442</v>
      </c>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row>
    <row r="166" spans="1:50">
      <c r="A166" s="373" t="s">
        <v>443</v>
      </c>
      <c r="B166" s="12" t="s">
        <v>1741</v>
      </c>
      <c r="C166" s="293" t="s">
        <v>210</v>
      </c>
      <c r="D166" s="11">
        <v>0.68640000000000001</v>
      </c>
      <c r="E166" s="11">
        <v>0.67030000000000001</v>
      </c>
      <c r="F166" s="11">
        <v>0.68610000000000004</v>
      </c>
      <c r="G166" s="11">
        <v>0.68710000000000004</v>
      </c>
      <c r="H166" s="11">
        <v>0.68359999999999999</v>
      </c>
      <c r="I166" s="11">
        <v>0.69040000000000001</v>
      </c>
      <c r="J166" s="11">
        <v>0.68730000000000002</v>
      </c>
      <c r="K166" s="11">
        <v>0.69140000000000001</v>
      </c>
      <c r="L166" s="11">
        <f>+P2a!D197</f>
        <v>0.70520000000000005</v>
      </c>
      <c r="M166" s="11">
        <f>+P2a!E197</f>
        <v>0.71930000000000005</v>
      </c>
      <c r="N166" s="11">
        <f>+P2a!F197</f>
        <v>0.71930000000000005</v>
      </c>
      <c r="O166" s="11">
        <v>0.73370000000000002</v>
      </c>
      <c r="P166" s="11">
        <v>0.73370000000000002</v>
      </c>
      <c r="Q166" s="11">
        <v>0.752</v>
      </c>
      <c r="R166" s="11">
        <v>0.752</v>
      </c>
      <c r="S166" s="11">
        <v>0.78359999999999996</v>
      </c>
      <c r="T166" s="46"/>
      <c r="U166" s="171" t="s">
        <v>444</v>
      </c>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row>
    <row r="167" spans="1:50">
      <c r="A167" s="373" t="s">
        <v>445</v>
      </c>
      <c r="B167" s="12" t="s">
        <v>1742</v>
      </c>
      <c r="C167" s="293" t="s">
        <v>210</v>
      </c>
      <c r="D167" s="11">
        <v>0.5796</v>
      </c>
      <c r="E167" s="11">
        <v>0.56599999999999995</v>
      </c>
      <c r="F167" s="11">
        <v>0.57930000000000004</v>
      </c>
      <c r="G167" s="11">
        <v>0.58020000000000005</v>
      </c>
      <c r="H167" s="11">
        <v>0.57720000000000005</v>
      </c>
      <c r="I167" s="11">
        <v>0.58299999999999996</v>
      </c>
      <c r="J167" s="11">
        <v>0.58069999999999999</v>
      </c>
      <c r="K167" s="11">
        <v>0.58420000000000005</v>
      </c>
      <c r="L167" s="11">
        <f>+P2a!D198</f>
        <v>0.59589999999999999</v>
      </c>
      <c r="M167" s="11">
        <f>+P2a!E198</f>
        <v>0.60780000000000001</v>
      </c>
      <c r="N167" s="11">
        <f>+P2a!F198</f>
        <v>0.60780000000000001</v>
      </c>
      <c r="O167" s="11">
        <v>0.62</v>
      </c>
      <c r="P167" s="11">
        <v>0.62</v>
      </c>
      <c r="Q167" s="11">
        <v>0.63549999999999995</v>
      </c>
      <c r="R167" s="11">
        <v>0.63549999999999995</v>
      </c>
      <c r="S167" s="11">
        <v>0.66220000000000001</v>
      </c>
      <c r="T167" s="46"/>
      <c r="U167" s="171" t="s">
        <v>446</v>
      </c>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row>
    <row r="168" spans="1:50">
      <c r="A168" s="373" t="s">
        <v>447</v>
      </c>
      <c r="B168" s="12" t="s">
        <v>398</v>
      </c>
      <c r="C168" s="293" t="s">
        <v>210</v>
      </c>
      <c r="D168" s="11">
        <v>0.35570000000000002</v>
      </c>
      <c r="E168" s="11">
        <v>0.34739999999999999</v>
      </c>
      <c r="F168" s="11">
        <v>0.35560000000000003</v>
      </c>
      <c r="G168" s="11">
        <v>0.35610000000000003</v>
      </c>
      <c r="H168" s="11">
        <v>0.3543</v>
      </c>
      <c r="I168" s="11">
        <v>0.35780000000000001</v>
      </c>
      <c r="J168" s="11">
        <v>0.35639999999999999</v>
      </c>
      <c r="K168" s="11">
        <v>0.35849999999999999</v>
      </c>
      <c r="L168" s="11">
        <f>+P2a!D199</f>
        <v>0.36570000000000003</v>
      </c>
      <c r="M168" s="11">
        <f>+P2a!E199</f>
        <v>0.373</v>
      </c>
      <c r="N168" s="11">
        <f>+P2a!F199</f>
        <v>0.373</v>
      </c>
      <c r="O168" s="11">
        <v>0.3805</v>
      </c>
      <c r="P168" s="11">
        <v>0.3805</v>
      </c>
      <c r="Q168" s="11">
        <v>0.39</v>
      </c>
      <c r="R168" s="11">
        <v>0.39</v>
      </c>
      <c r="S168" s="11">
        <v>0.40639999999999998</v>
      </c>
      <c r="T168" s="46"/>
      <c r="U168" s="171" t="s">
        <v>448</v>
      </c>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row>
    <row r="169" spans="1:50">
      <c r="A169" s="373" t="s">
        <v>449</v>
      </c>
      <c r="B169" s="12" t="s">
        <v>401</v>
      </c>
      <c r="C169" s="293" t="s">
        <v>210</v>
      </c>
      <c r="D169" s="11">
        <v>0.68640000000000001</v>
      </c>
      <c r="E169" s="11">
        <v>0.67030000000000001</v>
      </c>
      <c r="F169" s="11">
        <v>0.68610000000000004</v>
      </c>
      <c r="G169" s="11">
        <v>0.68710000000000004</v>
      </c>
      <c r="H169" s="11">
        <v>0.68359999999999999</v>
      </c>
      <c r="I169" s="11">
        <v>0.69040000000000001</v>
      </c>
      <c r="J169" s="11">
        <v>0.68730000000000002</v>
      </c>
      <c r="K169" s="11">
        <v>0.69140000000000001</v>
      </c>
      <c r="L169" s="11">
        <f>+P2a!D200</f>
        <v>0.70520000000000005</v>
      </c>
      <c r="M169" s="11">
        <f>+P2a!E200</f>
        <v>0.71930000000000005</v>
      </c>
      <c r="N169" s="11">
        <f>+P2a!F200</f>
        <v>0.71930000000000005</v>
      </c>
      <c r="O169" s="11">
        <v>0.73370000000000002</v>
      </c>
      <c r="P169" s="11">
        <v>0.73370000000000002</v>
      </c>
      <c r="Q169" s="11">
        <v>0.752</v>
      </c>
      <c r="R169" s="11">
        <v>0.752</v>
      </c>
      <c r="S169" s="11">
        <v>0.78359999999999996</v>
      </c>
      <c r="T169" s="46"/>
      <c r="U169" s="171" t="s">
        <v>450</v>
      </c>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row>
    <row r="170" spans="1:50">
      <c r="A170" s="373" t="s">
        <v>451</v>
      </c>
      <c r="B170" s="12" t="s">
        <v>404</v>
      </c>
      <c r="C170" s="293" t="s">
        <v>210</v>
      </c>
      <c r="D170" s="11">
        <v>0.68640000000000001</v>
      </c>
      <c r="E170" s="11">
        <v>0.67030000000000001</v>
      </c>
      <c r="F170" s="11">
        <v>0.68610000000000004</v>
      </c>
      <c r="G170" s="11">
        <v>0.68710000000000004</v>
      </c>
      <c r="H170" s="11">
        <v>0.68359999999999999</v>
      </c>
      <c r="I170" s="11">
        <v>0.69040000000000001</v>
      </c>
      <c r="J170" s="11">
        <v>0.68730000000000002</v>
      </c>
      <c r="K170" s="11">
        <v>0.69140000000000001</v>
      </c>
      <c r="L170" s="11">
        <f>+P2a!D201</f>
        <v>0.70520000000000005</v>
      </c>
      <c r="M170" s="11">
        <f>+P2a!E201</f>
        <v>0.71930000000000005</v>
      </c>
      <c r="N170" s="11">
        <f>+P2a!F201</f>
        <v>0.71930000000000005</v>
      </c>
      <c r="O170" s="11">
        <v>0.73370000000000002</v>
      </c>
      <c r="P170" s="11">
        <v>0.73370000000000002</v>
      </c>
      <c r="Q170" s="11">
        <v>0.752</v>
      </c>
      <c r="R170" s="11">
        <v>0.752</v>
      </c>
      <c r="S170" s="11">
        <v>0.78359999999999996</v>
      </c>
      <c r="T170" s="46"/>
      <c r="U170" s="171" t="s">
        <v>452</v>
      </c>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row>
    <row r="171" spans="1:50">
      <c r="A171" s="373" t="s">
        <v>453</v>
      </c>
      <c r="B171" s="12" t="s">
        <v>1743</v>
      </c>
      <c r="C171" s="293" t="s">
        <v>210</v>
      </c>
      <c r="D171" s="11">
        <v>0.68640000000000001</v>
      </c>
      <c r="E171" s="11">
        <v>0.67030000000000001</v>
      </c>
      <c r="F171" s="11">
        <v>0.68610000000000004</v>
      </c>
      <c r="G171" s="11">
        <v>0.68710000000000004</v>
      </c>
      <c r="H171" s="11">
        <v>0.68359999999999999</v>
      </c>
      <c r="I171" s="11">
        <v>0.69040000000000001</v>
      </c>
      <c r="J171" s="11">
        <v>0.68730000000000002</v>
      </c>
      <c r="K171" s="11">
        <v>0.69140000000000001</v>
      </c>
      <c r="L171" s="11">
        <f>+P2a!D202</f>
        <v>0.70520000000000005</v>
      </c>
      <c r="M171" s="11">
        <f>+P2a!E202</f>
        <v>0.71930000000000005</v>
      </c>
      <c r="N171" s="11">
        <f>+P2a!F202</f>
        <v>0.71930000000000005</v>
      </c>
      <c r="O171" s="11">
        <v>0.73370000000000002</v>
      </c>
      <c r="P171" s="11">
        <v>0.73370000000000002</v>
      </c>
      <c r="Q171" s="11">
        <v>0.752</v>
      </c>
      <c r="R171" s="11">
        <v>0.752</v>
      </c>
      <c r="S171" s="11">
        <v>0.78359999999999996</v>
      </c>
      <c r="T171" s="46"/>
      <c r="U171" s="171" t="s">
        <v>454</v>
      </c>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row>
    <row r="172" spans="1:50">
      <c r="A172" s="373" t="s">
        <v>455</v>
      </c>
      <c r="B172" s="12" t="s">
        <v>1744</v>
      </c>
      <c r="C172" s="293" t="s">
        <v>210</v>
      </c>
      <c r="D172" s="11">
        <v>0.51480000000000004</v>
      </c>
      <c r="E172" s="11">
        <v>0.54964600000000008</v>
      </c>
      <c r="F172" s="11">
        <v>0.59690700000000008</v>
      </c>
      <c r="G172" s="11">
        <v>0.63900299999999999</v>
      </c>
      <c r="H172" s="11">
        <v>0.66309200000000001</v>
      </c>
      <c r="I172" s="11">
        <v>0.69040000000000001</v>
      </c>
      <c r="J172" s="11">
        <v>0.68730000000000002</v>
      </c>
      <c r="K172" s="11">
        <v>0.58420000000000005</v>
      </c>
      <c r="L172" s="11">
        <f>+P2a!D203</f>
        <v>0.59589999999999999</v>
      </c>
      <c r="M172" s="11">
        <f>+P2a!E203</f>
        <v>0.71930000000000005</v>
      </c>
      <c r="N172" s="11">
        <f>+P2a!F203</f>
        <v>0.71930000000000005</v>
      </c>
      <c r="O172" s="11">
        <v>0.73370000000000002</v>
      </c>
      <c r="P172" s="11">
        <v>0.73370000000000002</v>
      </c>
      <c r="Q172" s="11">
        <v>0.752</v>
      </c>
      <c r="R172" s="11">
        <v>0.752</v>
      </c>
      <c r="S172" s="11">
        <v>0.78359999999999996</v>
      </c>
      <c r="T172" s="46"/>
      <c r="U172" s="171" t="s">
        <v>456</v>
      </c>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row>
    <row r="173" spans="1:50">
      <c r="A173" s="373" t="s">
        <v>457</v>
      </c>
      <c r="B173" s="12" t="s">
        <v>1745</v>
      </c>
      <c r="C173" s="293" t="s">
        <v>210</v>
      </c>
      <c r="D173" s="11">
        <v>0.45208800000000005</v>
      </c>
      <c r="E173" s="11">
        <v>0.47543999999999992</v>
      </c>
      <c r="F173" s="11">
        <v>0.51557700000000006</v>
      </c>
      <c r="G173" s="11">
        <v>0.54538799999999998</v>
      </c>
      <c r="H173" s="11">
        <v>0.55988400000000005</v>
      </c>
      <c r="I173" s="11">
        <v>0.58299999999999996</v>
      </c>
      <c r="J173" s="11">
        <v>0.58069999999999999</v>
      </c>
      <c r="K173" s="11">
        <v>0.58420000000000005</v>
      </c>
      <c r="L173" s="11">
        <f>+P2a!D204</f>
        <v>0.59589999999999999</v>
      </c>
      <c r="M173" s="11">
        <f>+P2a!E204</f>
        <v>0.60780000000000001</v>
      </c>
      <c r="N173" s="11">
        <f>+P2a!F204</f>
        <v>0.60780000000000001</v>
      </c>
      <c r="O173" s="11">
        <v>0.62</v>
      </c>
      <c r="P173" s="11">
        <v>0.62</v>
      </c>
      <c r="Q173" s="11">
        <v>0.63549999999999995</v>
      </c>
      <c r="R173" s="11">
        <v>0.63549999999999995</v>
      </c>
      <c r="S173" s="11">
        <v>0.66220000000000001</v>
      </c>
      <c r="T173" s="46"/>
      <c r="U173" s="171" t="s">
        <v>458</v>
      </c>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row>
    <row r="174" spans="1:50">
      <c r="A174" s="373" t="s">
        <v>459</v>
      </c>
      <c r="B174" s="12" t="s">
        <v>413</v>
      </c>
      <c r="C174" s="293" t="s">
        <v>210</v>
      </c>
      <c r="D174" s="11">
        <v>0.41972599999999999</v>
      </c>
      <c r="E174" s="11">
        <v>0.39256199999999997</v>
      </c>
      <c r="F174" s="11">
        <v>0.38760400000000006</v>
      </c>
      <c r="G174" s="11">
        <v>0.37390500000000004</v>
      </c>
      <c r="H174" s="11">
        <v>0.36138599999999999</v>
      </c>
      <c r="I174" s="11">
        <v>0.35780000000000001</v>
      </c>
      <c r="J174" s="11">
        <v>0.35639999999999999</v>
      </c>
      <c r="K174" s="11">
        <v>0.35849999999999999</v>
      </c>
      <c r="L174" s="11">
        <f>+P2a!D205</f>
        <v>0.36570000000000003</v>
      </c>
      <c r="M174" s="11">
        <f>+P2a!E205</f>
        <v>0.373</v>
      </c>
      <c r="N174" s="11">
        <f>+P2a!F205</f>
        <v>0.373</v>
      </c>
      <c r="O174" s="11">
        <v>0.3805</v>
      </c>
      <c r="P174" s="11">
        <v>0.3805</v>
      </c>
      <c r="Q174" s="11">
        <v>0.39</v>
      </c>
      <c r="R174" s="11">
        <v>0.39</v>
      </c>
      <c r="S174" s="11">
        <v>0.40639999999999998</v>
      </c>
      <c r="T174" s="46"/>
      <c r="U174" s="171" t="s">
        <v>460</v>
      </c>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row>
    <row r="175" spans="1:50">
      <c r="A175" s="375" t="s">
        <v>178</v>
      </c>
      <c r="C175" s="238"/>
      <c r="D175" s="7"/>
      <c r="E175" s="7"/>
      <c r="F175" s="7"/>
      <c r="G175" s="7"/>
      <c r="H175" s="7"/>
      <c r="I175" s="7"/>
      <c r="J175" s="7"/>
      <c r="K175" s="7"/>
      <c r="L175" s="7"/>
      <c r="M175" s="7"/>
      <c r="N175" s="7"/>
      <c r="O175" s="7"/>
      <c r="P175" s="7"/>
      <c r="Q175" s="7"/>
      <c r="T175" s="46"/>
      <c r="U175" s="171"/>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row>
    <row r="176" spans="1:50">
      <c r="A176" s="445" t="s">
        <v>178</v>
      </c>
      <c r="B176" s="284" t="s">
        <v>461</v>
      </c>
      <c r="C176" s="295"/>
      <c r="D176" s="7"/>
      <c r="E176" s="7"/>
      <c r="F176" s="7"/>
      <c r="G176" s="7"/>
      <c r="H176" s="7"/>
      <c r="I176" s="7"/>
      <c r="J176" s="7"/>
      <c r="K176" s="7"/>
      <c r="L176" s="7"/>
      <c r="M176" s="7"/>
      <c r="N176" s="7"/>
      <c r="O176" s="7"/>
      <c r="P176" s="7"/>
      <c r="Q176" s="7"/>
      <c r="T176" s="46"/>
      <c r="U176" s="171"/>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row>
    <row r="177" spans="1:50">
      <c r="A177" s="376" t="s">
        <v>462</v>
      </c>
      <c r="B177" s="16" t="s">
        <v>463</v>
      </c>
      <c r="C177" s="293" t="s">
        <v>210</v>
      </c>
      <c r="D177" s="11">
        <v>20230655.920000006</v>
      </c>
      <c r="E177" s="11">
        <v>18157303.059999999</v>
      </c>
      <c r="F177" s="11">
        <v>23534553.730000004</v>
      </c>
      <c r="G177" s="11">
        <v>21168899.260000005</v>
      </c>
      <c r="H177" s="11">
        <v>20299066.440000001</v>
      </c>
      <c r="I177" s="11">
        <v>21689981.869999994</v>
      </c>
      <c r="J177" s="11">
        <v>19984618.359999996</v>
      </c>
      <c r="K177" s="11">
        <v>21761753.090000011</v>
      </c>
      <c r="L177" s="11">
        <f>+P2a!D208</f>
        <v>18336716.059999999</v>
      </c>
      <c r="M177" s="11">
        <f>+P2a!E208</f>
        <v>16164534.784499977</v>
      </c>
      <c r="N177" s="11">
        <f>+P2a!F208</f>
        <v>16561717.198500007</v>
      </c>
      <c r="O177" s="11">
        <v>16625438.831199992</v>
      </c>
      <c r="P177" s="11">
        <v>16641047</v>
      </c>
      <c r="Q177" s="11">
        <v>16652176</v>
      </c>
      <c r="R177" s="11">
        <v>16681778.691199999</v>
      </c>
      <c r="S177" s="11">
        <v>16848756.206799999</v>
      </c>
      <c r="T177" s="46"/>
      <c r="U177" s="171" t="s">
        <v>464</v>
      </c>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row>
    <row r="178" spans="1:50">
      <c r="A178" s="373" t="s">
        <v>465</v>
      </c>
      <c r="B178" s="16" t="s">
        <v>466</v>
      </c>
      <c r="C178" s="293" t="s">
        <v>210</v>
      </c>
      <c r="D178" s="11">
        <v>5057458.0557000013</v>
      </c>
      <c r="E178" s="11">
        <v>4629182.5288999993</v>
      </c>
      <c r="F178" s="11">
        <v>5462574.474700002</v>
      </c>
      <c r="G178" s="11">
        <v>5300183.2385999998</v>
      </c>
      <c r="H178" s="11">
        <v>5281756.9588000011</v>
      </c>
      <c r="I178" s="11">
        <v>5704306.0437999992</v>
      </c>
      <c r="J178" s="11">
        <v>5204800.9436999988</v>
      </c>
      <c r="K178" s="11">
        <v>5644651.5731000006</v>
      </c>
      <c r="L178" s="11">
        <f>+P2a!D209</f>
        <v>4589998.2489999998</v>
      </c>
      <c r="M178" s="11">
        <f>+P2a!E209</f>
        <v>4178666.7235999955</v>
      </c>
      <c r="N178" s="11">
        <f>+P2a!F209</f>
        <v>4303681.3757999996</v>
      </c>
      <c r="O178" s="11">
        <v>4409869.2001999971</v>
      </c>
      <c r="P178" s="11">
        <v>4354610</v>
      </c>
      <c r="Q178" s="11">
        <v>4609052</v>
      </c>
      <c r="R178" s="11">
        <v>4605682.7763999999</v>
      </c>
      <c r="S178" s="11">
        <v>4808608.0767999999</v>
      </c>
      <c r="T178" s="46"/>
      <c r="U178" s="171" t="s">
        <v>467</v>
      </c>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row>
    <row r="179" spans="1:50">
      <c r="A179" s="375" t="s">
        <v>178</v>
      </c>
      <c r="C179" s="238"/>
      <c r="D179" s="7"/>
      <c r="E179" s="7"/>
      <c r="F179" s="7"/>
      <c r="G179" s="7"/>
      <c r="H179" s="7"/>
      <c r="I179" s="7"/>
      <c r="J179" s="7"/>
      <c r="K179" s="7"/>
      <c r="L179" s="7"/>
      <c r="M179" s="7"/>
      <c r="N179" s="7"/>
      <c r="O179" s="7"/>
      <c r="P179" s="7"/>
      <c r="Q179" s="7"/>
      <c r="T179" s="46"/>
      <c r="U179" s="171"/>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row>
    <row r="180" spans="1:50">
      <c r="A180" s="445" t="s">
        <v>178</v>
      </c>
      <c r="B180" s="284" t="s">
        <v>303</v>
      </c>
      <c r="C180" s="295"/>
      <c r="D180" s="7"/>
      <c r="E180" s="7"/>
      <c r="F180" s="7"/>
      <c r="G180" s="7"/>
      <c r="H180" s="7"/>
      <c r="I180" s="7"/>
      <c r="J180" s="7"/>
      <c r="K180" s="7"/>
      <c r="L180" s="7"/>
      <c r="M180" s="7"/>
      <c r="N180" s="7"/>
      <c r="O180" s="7"/>
      <c r="P180" s="7"/>
      <c r="Q180" s="7"/>
      <c r="T180" s="46"/>
      <c r="U180" s="171"/>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row>
    <row r="181" spans="1:50">
      <c r="A181" s="376" t="s">
        <v>468</v>
      </c>
      <c r="B181" s="179" t="s">
        <v>305</v>
      </c>
      <c r="C181" s="294" t="s">
        <v>160</v>
      </c>
      <c r="D181" s="6">
        <f t="shared" ref="D181:K181" si="102">SUMPRODUCT(D109:D118,D148:D157)</f>
        <v>10223898.326972565</v>
      </c>
      <c r="E181" s="6">
        <f t="shared" si="102"/>
        <v>10706095.158469958</v>
      </c>
      <c r="F181" s="6">
        <f t="shared" si="102"/>
        <v>11050626.690410921</v>
      </c>
      <c r="G181" s="6">
        <f t="shared" si="102"/>
        <v>10952578.778082164</v>
      </c>
      <c r="H181" s="6">
        <f t="shared" si="102"/>
        <v>10880569.767123414</v>
      </c>
      <c r="I181" s="6">
        <f t="shared" si="102"/>
        <v>11101887.202185826</v>
      </c>
      <c r="J181" s="6">
        <f t="shared" si="102"/>
        <v>11019330.153424893</v>
      </c>
      <c r="K181" s="6">
        <f t="shared" si="102"/>
        <v>12015123.720547946</v>
      </c>
      <c r="L181" s="6">
        <f>SUMPRODUCT(L109:L118,L148:L157)</f>
        <v>12224660.153424665</v>
      </c>
      <c r="M181" s="6">
        <f>SUMPRODUCT(M109:M118,M148:M157)</f>
        <v>12590551.759562822</v>
      </c>
      <c r="N181" s="6">
        <f>SUMPRODUCT(N109:N118,N148:N157)</f>
        <v>12499775.21584633</v>
      </c>
      <c r="O181" s="6">
        <f>SUMPRODUCT(O109:O118,O148:O157)</f>
        <v>12788535.295890372</v>
      </c>
      <c r="P181" s="6">
        <f t="shared" ref="P181:Q181" si="103">SUMPRODUCT(P109:P118,P148:P157)</f>
        <v>12721934.799999999</v>
      </c>
      <c r="Q181" s="6">
        <f t="shared" si="103"/>
        <v>13148631.009999998</v>
      </c>
      <c r="R181" s="6">
        <f t="shared" ref="R181:S181" si="104">SUMPRODUCT(R109:R118,R148:R157)</f>
        <v>13097947.071232745</v>
      </c>
      <c r="S181" s="6">
        <f t="shared" si="104"/>
        <v>13752142.5452045</v>
      </c>
      <c r="T181" s="46"/>
      <c r="U181" s="171" t="s">
        <v>469</v>
      </c>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row>
    <row r="182" spans="1:50">
      <c r="A182" s="373" t="s">
        <v>470</v>
      </c>
      <c r="B182" s="175" t="s">
        <v>308</v>
      </c>
      <c r="C182" s="294" t="s">
        <v>160</v>
      </c>
      <c r="D182" s="6">
        <f t="shared" ref="D182:G182" si="105">SUMPRODUCT(D129:D130,D160:D161)</f>
        <v>9464215.9188166671</v>
      </c>
      <c r="E182" s="6">
        <f t="shared" si="105"/>
        <v>9033885.7737898082</v>
      </c>
      <c r="F182" s="6">
        <f t="shared" si="105"/>
        <v>9126290.694782868</v>
      </c>
      <c r="G182" s="6">
        <f t="shared" si="105"/>
        <v>9740056.9017619975</v>
      </c>
      <c r="H182" s="6">
        <f t="shared" ref="H182:L182" si="106">SUMPRODUCT(H129:H130,H160:H161)</f>
        <v>8853536.4543937892</v>
      </c>
      <c r="I182" s="6">
        <f t="shared" si="106"/>
        <v>8323739.5050347932</v>
      </c>
      <c r="J182" s="6">
        <f t="shared" si="106"/>
        <v>8104142.2098068856</v>
      </c>
      <c r="K182" s="6">
        <f t="shared" si="106"/>
        <v>8254145.001996561</v>
      </c>
      <c r="L182" s="6">
        <f t="shared" si="106"/>
        <v>8515037.2501299568</v>
      </c>
      <c r="M182" s="6">
        <f>SUMPRODUCT(M129:M130,M160:M161)</f>
        <v>9178087.7123690527</v>
      </c>
      <c r="N182" s="6">
        <f>SUMPRODUCT(N129:N130,N160:N161)</f>
        <v>8325671.2083417848</v>
      </c>
      <c r="O182" s="6">
        <f>SUMPRODUCT(O129:O130,O160:O161)</f>
        <v>8621639.6713518575</v>
      </c>
      <c r="P182" s="6">
        <f t="shared" ref="P182:Q182" si="107">SUMPRODUCT(P129:P130,P160:P161)</f>
        <v>8240765.4737999998</v>
      </c>
      <c r="Q182" s="6">
        <f t="shared" si="107"/>
        <v>8661391.6050000004</v>
      </c>
      <c r="R182" s="6">
        <f t="shared" ref="R182:S182" si="108">SUMPRODUCT(R129:R130,R160:R161)</f>
        <v>8680393.8453398533</v>
      </c>
      <c r="S182" s="6">
        <f t="shared" si="108"/>
        <v>9100679.7448481731</v>
      </c>
      <c r="T182" s="46"/>
      <c r="U182" s="171" t="s">
        <v>471</v>
      </c>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row>
    <row r="183" spans="1:50">
      <c r="A183" s="373" t="s">
        <v>472</v>
      </c>
      <c r="B183" s="175" t="s">
        <v>311</v>
      </c>
      <c r="C183" s="294" t="s">
        <v>160</v>
      </c>
      <c r="D183" s="6">
        <f t="shared" ref="D183:G183" si="109">SUMPRODUCT(D134:D144,D164:D174)</f>
        <v>78172993.793060809</v>
      </c>
      <c r="E183" s="6">
        <f t="shared" si="109"/>
        <v>74719264.449497536</v>
      </c>
      <c r="F183" s="6">
        <f t="shared" si="109"/>
        <v>74018563.410815865</v>
      </c>
      <c r="G183" s="6">
        <f t="shared" si="109"/>
        <v>73762009.483000621</v>
      </c>
      <c r="H183" s="6">
        <f t="shared" ref="H183:L183" si="110">SUMPRODUCT(H134:H144,H164:H174)</f>
        <v>73863906.756960317</v>
      </c>
      <c r="I183" s="6">
        <f t="shared" si="110"/>
        <v>73692347.758111775</v>
      </c>
      <c r="J183" s="6">
        <f t="shared" si="110"/>
        <v>72507030.516712517</v>
      </c>
      <c r="K183" s="6">
        <f t="shared" si="110"/>
        <v>73331670.379858196</v>
      </c>
      <c r="L183" s="6">
        <f t="shared" si="110"/>
        <v>75971035.235999361</v>
      </c>
      <c r="M183" s="6">
        <f>SUMPRODUCT(M134:M144,M164:M174)</f>
        <v>76611307.740146682</v>
      </c>
      <c r="N183" s="6">
        <f>SUMPRODUCT(N134:N144,N164:N174)</f>
        <v>75250281.443038434</v>
      </c>
      <c r="O183" s="6">
        <f>SUMPRODUCT(O134:O144,O164:O174)</f>
        <v>68184646.524339333</v>
      </c>
      <c r="P183" s="6">
        <f t="shared" ref="P183:Q183" si="111">SUMPRODUCT(P134:P144,P164:P174)</f>
        <v>67771961.99180001</v>
      </c>
      <c r="Q183" s="6">
        <f t="shared" si="111"/>
        <v>74855084.718999997</v>
      </c>
      <c r="R183" s="6">
        <f t="shared" ref="R183:S183" si="112">SUMPRODUCT(R134:R144,R164:R174)</f>
        <v>75868805.666818544</v>
      </c>
      <c r="S183" s="6">
        <f t="shared" si="112"/>
        <v>82211840.661227778</v>
      </c>
      <c r="T183" s="46"/>
      <c r="U183" s="171" t="s">
        <v>473</v>
      </c>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row>
    <row r="184" spans="1:50">
      <c r="A184" s="373" t="s">
        <v>474</v>
      </c>
      <c r="B184" s="175" t="s">
        <v>475</v>
      </c>
      <c r="C184" s="294" t="s">
        <v>160</v>
      </c>
      <c r="D184" s="6">
        <f t="shared" ref="D184:M184" si="113">D178</f>
        <v>5057458.0557000013</v>
      </c>
      <c r="E184" s="6">
        <f t="shared" si="113"/>
        <v>4629182.5288999993</v>
      </c>
      <c r="F184" s="6">
        <f t="shared" si="113"/>
        <v>5462574.474700002</v>
      </c>
      <c r="G184" s="6">
        <f t="shared" si="113"/>
        <v>5300183.2385999998</v>
      </c>
      <c r="H184" s="6">
        <f t="shared" si="113"/>
        <v>5281756.9588000011</v>
      </c>
      <c r="I184" s="6">
        <f t="shared" si="113"/>
        <v>5704306.0437999992</v>
      </c>
      <c r="J184" s="6">
        <f t="shared" si="113"/>
        <v>5204800.9436999988</v>
      </c>
      <c r="K184" s="6">
        <f t="shared" si="113"/>
        <v>5644651.5731000006</v>
      </c>
      <c r="L184" s="6">
        <f t="shared" si="113"/>
        <v>4589998.2489999998</v>
      </c>
      <c r="M184" s="6">
        <f t="shared" si="113"/>
        <v>4178666.7235999955</v>
      </c>
      <c r="N184" s="6">
        <f t="shared" ref="N184:O184" si="114">N178</f>
        <v>4303681.3757999996</v>
      </c>
      <c r="O184" s="6">
        <f t="shared" si="114"/>
        <v>4409869.2001999971</v>
      </c>
      <c r="P184" s="6">
        <f t="shared" ref="P184:Q184" si="115">P178</f>
        <v>4354610</v>
      </c>
      <c r="Q184" s="6">
        <f t="shared" si="115"/>
        <v>4609052</v>
      </c>
      <c r="R184" s="6">
        <f t="shared" ref="R184:S184" si="116">R178</f>
        <v>4605682.7763999999</v>
      </c>
      <c r="S184" s="6">
        <f t="shared" si="116"/>
        <v>4808608.0767999999</v>
      </c>
      <c r="T184" s="46"/>
      <c r="U184" s="171" t="str">
        <f>U178</f>
        <v>Total revenue from water services for customers subject to schedule 3 agreements</v>
      </c>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row>
    <row r="185" spans="1:50">
      <c r="A185" s="373" t="s">
        <v>476</v>
      </c>
      <c r="B185" s="175" t="s">
        <v>176</v>
      </c>
      <c r="C185" s="294" t="s">
        <v>160</v>
      </c>
      <c r="D185" s="6">
        <f t="shared" ref="D185:M185" si="117">SUM(D181:D184)</f>
        <v>102918566.09455004</v>
      </c>
      <c r="E185" s="6">
        <f t="shared" si="117"/>
        <v>99088427.910657302</v>
      </c>
      <c r="F185" s="6">
        <f t="shared" si="117"/>
        <v>99658055.270709664</v>
      </c>
      <c r="G185" s="6">
        <f t="shared" si="117"/>
        <v>99754828.401444778</v>
      </c>
      <c r="H185" s="6">
        <f t="shared" si="117"/>
        <v>98879769.937277526</v>
      </c>
      <c r="I185" s="6">
        <f t="shared" si="117"/>
        <v>98822280.509132385</v>
      </c>
      <c r="J185" s="6">
        <f t="shared" si="117"/>
        <v>96835303.823644295</v>
      </c>
      <c r="K185" s="6">
        <f t="shared" si="117"/>
        <v>99245590.675502703</v>
      </c>
      <c r="L185" s="6">
        <f t="shared" si="117"/>
        <v>101300730.88855398</v>
      </c>
      <c r="M185" s="6">
        <f t="shared" si="117"/>
        <v>102558613.93567856</v>
      </c>
      <c r="N185" s="6">
        <f t="shared" ref="N185:O185" si="118">SUM(N181:N184)</f>
        <v>100379409.24302654</v>
      </c>
      <c r="O185" s="6">
        <f t="shared" si="118"/>
        <v>94004690.691781551</v>
      </c>
      <c r="P185" s="6">
        <f t="shared" ref="P185:Q185" si="119">SUM(P181:P184)</f>
        <v>93089272.265600011</v>
      </c>
      <c r="Q185" s="6">
        <f t="shared" si="119"/>
        <v>101274159.33399999</v>
      </c>
      <c r="R185" s="6">
        <f t="shared" ref="R185:S185" si="120">SUM(R181:R184)</f>
        <v>102252829.35979114</v>
      </c>
      <c r="S185" s="6">
        <f t="shared" si="120"/>
        <v>109873271.02808045</v>
      </c>
      <c r="T185" s="46"/>
      <c r="U185" s="171" t="s">
        <v>164</v>
      </c>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row>
    <row r="186" spans="1:50">
      <c r="A186" s="375" t="s">
        <v>178</v>
      </c>
      <c r="C186" s="290"/>
      <c r="D186" s="8"/>
      <c r="E186" s="8"/>
      <c r="F186" s="8"/>
      <c r="G186" s="8"/>
      <c r="H186" s="8"/>
      <c r="I186" s="8"/>
      <c r="J186" s="8"/>
      <c r="K186" s="8"/>
      <c r="L186" s="8"/>
      <c r="M186" s="8"/>
      <c r="N186" s="8"/>
      <c r="O186" s="8"/>
      <c r="P186" s="8"/>
      <c r="Q186" s="8"/>
      <c r="R186" s="8"/>
      <c r="S186" s="8"/>
      <c r="T186" s="46"/>
      <c r="U186" s="171"/>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row>
    <row r="187" spans="1:50">
      <c r="A187" s="445" t="s">
        <v>178</v>
      </c>
      <c r="B187" s="443" t="s">
        <v>477</v>
      </c>
      <c r="C187" s="290"/>
      <c r="D187" s="8"/>
      <c r="E187" s="8"/>
      <c r="F187" s="8"/>
      <c r="G187" s="8"/>
      <c r="H187" s="8"/>
      <c r="I187" s="8"/>
      <c r="J187" s="8"/>
      <c r="K187" s="8"/>
      <c r="L187" s="8"/>
      <c r="M187" s="8"/>
      <c r="N187" s="8"/>
      <c r="O187" s="8"/>
      <c r="P187" s="8"/>
      <c r="Q187" s="8"/>
      <c r="R187" s="8"/>
      <c r="S187" s="8"/>
      <c r="T187" s="46"/>
      <c r="U187" s="171"/>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row>
    <row r="188" spans="1:50">
      <c r="A188" s="376" t="s">
        <v>478</v>
      </c>
      <c r="B188" s="20" t="s">
        <v>479</v>
      </c>
      <c r="C188" s="293" t="s">
        <v>210</v>
      </c>
      <c r="D188" s="11">
        <v>2188.3029999999999</v>
      </c>
      <c r="E188" s="11">
        <v>422.4425</v>
      </c>
      <c r="F188" s="11">
        <v>365.00599999999997</v>
      </c>
      <c r="G188" s="11">
        <v>792.20929999999998</v>
      </c>
      <c r="H188" s="11">
        <v>118448.69289999999</v>
      </c>
      <c r="I188" s="11">
        <v>936071.32990000071</v>
      </c>
      <c r="J188" s="11">
        <v>1367933.3177999996</v>
      </c>
      <c r="K188" s="11">
        <v>1769650.1827999998</v>
      </c>
      <c r="L188" s="11">
        <f>+P2a!D219-L192</f>
        <v>1851859.9458999934</v>
      </c>
      <c r="M188" s="11">
        <f>+P2a!E219</f>
        <v>2199812.8775999658</v>
      </c>
      <c r="N188" s="11">
        <f>+P2a!F219-N192</f>
        <v>2092590.3930999888</v>
      </c>
      <c r="O188" s="11">
        <v>2042311.5043999907</v>
      </c>
      <c r="P188" s="11">
        <v>1984658</v>
      </c>
      <c r="Q188" s="11">
        <v>2446129</v>
      </c>
      <c r="R188" s="11">
        <v>2376640.0847999998</v>
      </c>
      <c r="S188" s="11">
        <v>2864129.6952999998</v>
      </c>
      <c r="T188" s="46"/>
      <c r="U188" s="171" t="s">
        <v>480</v>
      </c>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row>
    <row r="189" spans="1:50">
      <c r="A189" s="373" t="s">
        <v>481</v>
      </c>
      <c r="B189" s="20" t="s">
        <v>482</v>
      </c>
      <c r="C189" s="294" t="s">
        <v>160</v>
      </c>
      <c r="D189" s="35">
        <f>D188/D185</f>
        <v>2.1262470738172083E-5</v>
      </c>
      <c r="E189" s="35">
        <f>E188/E185</f>
        <v>4.2632879429764858E-6</v>
      </c>
      <c r="F189" s="35">
        <f>F188/F185</f>
        <v>3.6625840129882434E-6</v>
      </c>
      <c r="G189" s="35">
        <f t="shared" ref="G189:K189" si="121">G188/G185</f>
        <v>7.9415634580804534E-6</v>
      </c>
      <c r="H189" s="35">
        <f t="shared" si="121"/>
        <v>1.1979062347650651E-3</v>
      </c>
      <c r="I189" s="35">
        <f t="shared" si="121"/>
        <v>9.4722700698401333E-3</v>
      </c>
      <c r="J189" s="35">
        <f t="shared" si="121"/>
        <v>1.4126390518599178E-2</v>
      </c>
      <c r="K189" s="35">
        <f t="shared" si="121"/>
        <v>1.7831020710896043E-2</v>
      </c>
      <c r="L189" s="35">
        <f>L188/L185</f>
        <v>1.8280815248384708E-2</v>
      </c>
      <c r="M189" s="35">
        <f>M188/M185</f>
        <v>2.144932339841895E-2</v>
      </c>
      <c r="N189" s="35">
        <f>N188/N185</f>
        <v>2.0846809209981113E-2</v>
      </c>
      <c r="O189" s="35">
        <f>O188/O185</f>
        <v>2.1725634001565217E-2</v>
      </c>
      <c r="P189" s="35">
        <f t="shared" ref="P189:Q189" si="122">P188/P185</f>
        <v>2.1319943229735676E-2</v>
      </c>
      <c r="Q189" s="35">
        <f t="shared" si="122"/>
        <v>2.4153535473276252E-2</v>
      </c>
      <c r="R189" s="35">
        <f t="shared" ref="R189:S189" si="123">R188/R185</f>
        <v>2.3242780661231907E-2</v>
      </c>
      <c r="S189" s="35">
        <f t="shared" si="123"/>
        <v>2.6067574656697082E-2</v>
      </c>
      <c r="T189" s="46"/>
      <c r="U189" s="171" t="s">
        <v>483</v>
      </c>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row>
    <row r="190" spans="1:50">
      <c r="A190" s="373" t="s">
        <v>484</v>
      </c>
      <c r="B190" s="20" t="s">
        <v>485</v>
      </c>
      <c r="C190" s="293" t="s">
        <v>210</v>
      </c>
      <c r="D190" s="11"/>
      <c r="E190" s="11"/>
      <c r="F190" s="11"/>
      <c r="G190" s="11"/>
      <c r="H190" s="11">
        <v>0</v>
      </c>
      <c r="I190" s="11">
        <v>0</v>
      </c>
      <c r="J190" s="11">
        <v>0</v>
      </c>
      <c r="K190" s="11">
        <v>1483588.7660999999</v>
      </c>
      <c r="L190" s="11">
        <f>+P2a!D221-L192</f>
        <v>1413867.6193999969</v>
      </c>
      <c r="M190" s="11">
        <f>+P2a!E221-M192</f>
        <v>1192477.4030000002</v>
      </c>
      <c r="N190" s="11">
        <f>1441601.33410001-N192</f>
        <v>1366837.2710000102</v>
      </c>
      <c r="O190" s="11">
        <f>1441601.33410001-O192</f>
        <v>1369499.1634000102</v>
      </c>
      <c r="P190" s="11">
        <v>1530161.8096</v>
      </c>
      <c r="Q190" s="11">
        <v>1241504.7524999999</v>
      </c>
      <c r="R190" s="11">
        <v>1760445.9693</v>
      </c>
      <c r="S190" s="11">
        <v>1330569.4663</v>
      </c>
      <c r="T190" s="46"/>
      <c r="U190" s="171" t="s">
        <v>486</v>
      </c>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row>
    <row r="191" spans="1:50">
      <c r="A191" s="373" t="s">
        <v>487</v>
      </c>
      <c r="B191" s="20" t="s">
        <v>488</v>
      </c>
      <c r="C191" s="294" t="s">
        <v>160</v>
      </c>
      <c r="D191" s="35">
        <f>D190/D185</f>
        <v>0</v>
      </c>
      <c r="E191" s="35">
        <f>E190/E185</f>
        <v>0</v>
      </c>
      <c r="F191" s="35">
        <f>F190/F185</f>
        <v>0</v>
      </c>
      <c r="G191" s="35">
        <f t="shared" ref="G191:K191" si="124">G190/G185</f>
        <v>0</v>
      </c>
      <c r="H191" s="35">
        <f t="shared" si="124"/>
        <v>0</v>
      </c>
      <c r="I191" s="35">
        <f t="shared" si="124"/>
        <v>0</v>
      </c>
      <c r="J191" s="35">
        <f t="shared" si="124"/>
        <v>0</v>
      </c>
      <c r="K191" s="35">
        <f t="shared" si="124"/>
        <v>1.4948661759198957E-2</v>
      </c>
      <c r="L191" s="35">
        <f>L190/L185</f>
        <v>1.3957131473764624E-2</v>
      </c>
      <c r="M191" s="35">
        <f>M190/M185</f>
        <v>1.1627276902824403E-2</v>
      </c>
      <c r="N191" s="35">
        <f>N190/N185</f>
        <v>1.3616709654973047E-2</v>
      </c>
      <c r="O191" s="35">
        <f>O190/O185</f>
        <v>1.456841305813413E-2</v>
      </c>
      <c r="P191" s="35">
        <f t="shared" ref="P191:Q191" si="125">P190/P185</f>
        <v>1.6437574087314596E-2</v>
      </c>
      <c r="Q191" s="35">
        <f t="shared" si="125"/>
        <v>1.22588502404206E-2</v>
      </c>
      <c r="R191" s="35">
        <f t="shared" ref="R191:S191" si="126">R190/R185</f>
        <v>1.7216599093856075E-2</v>
      </c>
      <c r="S191" s="35">
        <f t="shared" si="126"/>
        <v>1.2110037808558049E-2</v>
      </c>
      <c r="T191" s="46"/>
      <c r="U191" s="171" t="s">
        <v>489</v>
      </c>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row>
    <row r="192" spans="1:50">
      <c r="A192" s="373" t="s">
        <v>490</v>
      </c>
      <c r="B192" s="20" t="s">
        <v>332</v>
      </c>
      <c r="C192" s="293" t="s">
        <v>210</v>
      </c>
      <c r="D192" s="11"/>
      <c r="E192" s="11"/>
      <c r="F192" s="11"/>
      <c r="G192" s="11"/>
      <c r="H192" s="11">
        <v>0</v>
      </c>
      <c r="I192" s="11">
        <v>0</v>
      </c>
      <c r="J192" s="11">
        <v>0</v>
      </c>
      <c r="K192" s="11">
        <v>55758.982700000037</v>
      </c>
      <c r="L192" s="11">
        <f>+P2a!D223</f>
        <v>70428.976499999961</v>
      </c>
      <c r="M192" s="11">
        <f>+P2a!E223</f>
        <v>57905.696999999978</v>
      </c>
      <c r="N192" s="11">
        <f>+P2a!F223</f>
        <v>74764.06309999997</v>
      </c>
      <c r="O192" s="11">
        <v>72102.170700000017</v>
      </c>
      <c r="P192" s="11">
        <v>81163</v>
      </c>
      <c r="Q192" s="11">
        <v>62134</v>
      </c>
      <c r="R192" s="11">
        <v>81783.1133999999</v>
      </c>
      <c r="S192" s="11">
        <v>62125.4666</v>
      </c>
      <c r="T192" s="46"/>
      <c r="U192" s="171" t="s">
        <v>333</v>
      </c>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row>
    <row r="193" spans="1:50">
      <c r="A193" s="373" t="s">
        <v>491</v>
      </c>
      <c r="B193" s="20" t="s">
        <v>335</v>
      </c>
      <c r="C193" s="294" t="s">
        <v>160</v>
      </c>
      <c r="D193" s="35">
        <f t="shared" ref="D193:M193" si="127">D192/D185</f>
        <v>0</v>
      </c>
      <c r="E193" s="35">
        <f t="shared" si="127"/>
        <v>0</v>
      </c>
      <c r="F193" s="35">
        <f t="shared" si="127"/>
        <v>0</v>
      </c>
      <c r="G193" s="35">
        <f t="shared" si="127"/>
        <v>0</v>
      </c>
      <c r="H193" s="35">
        <f t="shared" si="127"/>
        <v>0</v>
      </c>
      <c r="I193" s="35">
        <f t="shared" si="127"/>
        <v>0</v>
      </c>
      <c r="J193" s="35">
        <f t="shared" si="127"/>
        <v>0</v>
      </c>
      <c r="K193" s="35">
        <f t="shared" si="127"/>
        <v>5.6182831217471219E-4</v>
      </c>
      <c r="L193" s="35">
        <f t="shared" si="127"/>
        <v>6.952464792922611E-4</v>
      </c>
      <c r="M193" s="35">
        <f t="shared" si="127"/>
        <v>5.6461076040201317E-4</v>
      </c>
      <c r="N193" s="35">
        <f t="shared" ref="N193:Q193" si="128">N192/N185</f>
        <v>7.4481473505178962E-4</v>
      </c>
      <c r="O193" s="35">
        <f t="shared" si="128"/>
        <v>7.6700609479590169E-4</v>
      </c>
      <c r="P193" s="35">
        <f t="shared" si="128"/>
        <v>8.7188349446354818E-4</v>
      </c>
      <c r="Q193" s="35">
        <f t="shared" si="128"/>
        <v>6.1352274270757862E-4</v>
      </c>
      <c r="R193" s="35">
        <f t="shared" ref="R193:S193" si="129">R192/R185</f>
        <v>7.9981271825970085E-4</v>
      </c>
      <c r="S193" s="35">
        <f t="shared" si="129"/>
        <v>5.654283887126881E-4</v>
      </c>
      <c r="T193" s="46"/>
      <c r="U193" s="171"/>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row>
    <row r="194" spans="1:50">
      <c r="A194" s="375" t="s">
        <v>178</v>
      </c>
      <c r="C194" s="238"/>
      <c r="D194" s="7"/>
      <c r="E194" s="7"/>
      <c r="F194" s="7"/>
      <c r="G194" s="7"/>
      <c r="H194" s="7"/>
      <c r="I194" s="7"/>
      <c r="J194" s="7"/>
      <c r="K194" s="7"/>
      <c r="L194" s="7"/>
      <c r="M194" s="7"/>
      <c r="N194" s="7"/>
      <c r="O194" s="7"/>
      <c r="P194" s="7"/>
      <c r="Q194" s="7"/>
      <c r="T194" s="46"/>
      <c r="U194" s="171"/>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row>
    <row r="195" spans="1:50">
      <c r="A195" s="375" t="s">
        <v>178</v>
      </c>
      <c r="C195" s="238"/>
      <c r="D195" s="7"/>
      <c r="E195" s="7"/>
      <c r="F195" s="7"/>
      <c r="G195" s="7"/>
      <c r="H195" s="7"/>
      <c r="I195" s="7"/>
      <c r="J195" s="7"/>
      <c r="K195" s="7"/>
      <c r="L195" s="7"/>
      <c r="M195" s="7"/>
      <c r="N195" s="7"/>
      <c r="O195" s="7"/>
      <c r="P195" s="7"/>
      <c r="Q195" s="7"/>
      <c r="T195" s="46"/>
      <c r="U195" s="171"/>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row>
    <row r="196" spans="1:50">
      <c r="A196" s="375" t="s">
        <v>178</v>
      </c>
      <c r="C196" s="238"/>
      <c r="D196" s="7"/>
      <c r="E196" s="7"/>
      <c r="F196" s="7"/>
      <c r="G196" s="7"/>
      <c r="H196" s="7"/>
      <c r="I196" s="7"/>
      <c r="J196" s="7"/>
      <c r="K196" s="7"/>
      <c r="L196" s="7"/>
      <c r="M196" s="7"/>
      <c r="N196" s="7"/>
      <c r="O196" s="7"/>
      <c r="P196" s="7"/>
      <c r="Q196" s="7"/>
      <c r="T196" s="46"/>
      <c r="U196" s="171"/>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row>
    <row r="197" spans="1:50">
      <c r="A197" s="375" t="s">
        <v>178</v>
      </c>
      <c r="B197" s="9" t="s">
        <v>492</v>
      </c>
      <c r="C197" s="291"/>
      <c r="D197" s="7"/>
      <c r="E197" s="7"/>
      <c r="F197" s="7"/>
      <c r="G197" s="7"/>
      <c r="H197" s="7"/>
      <c r="I197" s="7"/>
      <c r="J197" s="7"/>
      <c r="K197" s="7"/>
      <c r="L197" s="7"/>
      <c r="M197" s="7"/>
      <c r="N197" s="7"/>
      <c r="O197" s="7"/>
      <c r="P197" s="7"/>
      <c r="Q197" s="7"/>
      <c r="T197" s="46"/>
      <c r="U197" s="171"/>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row>
    <row r="198" spans="1:50">
      <c r="A198" s="445" t="s">
        <v>178</v>
      </c>
      <c r="B198" s="163" t="s">
        <v>493</v>
      </c>
      <c r="C198" s="26" t="s">
        <v>152</v>
      </c>
      <c r="D198" s="26" t="str">
        <f>+D$14</f>
        <v>2010-11 RF</v>
      </c>
      <c r="E198" s="26" t="str">
        <f t="shared" ref="E198:O198" si="130">+E$14</f>
        <v>2011-12 RF</v>
      </c>
      <c r="F198" s="26" t="str">
        <f t="shared" si="130"/>
        <v>2012-13 RF</v>
      </c>
      <c r="G198" s="26" t="str">
        <f t="shared" si="130"/>
        <v>2013-14 RF</v>
      </c>
      <c r="H198" s="26" t="str">
        <f t="shared" si="130"/>
        <v>2014-15 RF</v>
      </c>
      <c r="I198" s="26" t="str">
        <f t="shared" si="130"/>
        <v>2015-16 RF</v>
      </c>
      <c r="J198" s="26" t="str">
        <f t="shared" si="130"/>
        <v>2016-17 RF</v>
      </c>
      <c r="K198" s="26" t="str">
        <f t="shared" si="130"/>
        <v>2017-18 RF</v>
      </c>
      <c r="L198" s="26" t="str">
        <f t="shared" si="130"/>
        <v>2018-19 RF</v>
      </c>
      <c r="M198" s="26" t="str">
        <f t="shared" si="130"/>
        <v>2019-20 month</v>
      </c>
      <c r="N198" s="26" t="str">
        <f t="shared" si="130"/>
        <v>2019-20 RF</v>
      </c>
      <c r="O198" s="26" t="str">
        <f t="shared" si="130"/>
        <v>2020-21 month</v>
      </c>
      <c r="P198" s="440" t="s">
        <v>18</v>
      </c>
      <c r="Q198" s="440" t="s">
        <v>155</v>
      </c>
      <c r="R198" s="26" t="s">
        <v>20</v>
      </c>
      <c r="S198" s="26" t="s">
        <v>156</v>
      </c>
      <c r="T198" s="46"/>
      <c r="U198" s="171"/>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row>
    <row r="199" spans="1:50">
      <c r="A199" s="376" t="s">
        <v>494</v>
      </c>
      <c r="B199" s="10" t="s">
        <v>209</v>
      </c>
      <c r="C199" s="293" t="s">
        <v>210</v>
      </c>
      <c r="D199" s="11">
        <v>22824.408626018881</v>
      </c>
      <c r="E199" s="11">
        <v>16064.729508196706</v>
      </c>
      <c r="F199" s="11">
        <v>17491.819178082376</v>
      </c>
      <c r="G199" s="11">
        <v>15077.939726027471</v>
      </c>
      <c r="H199" s="11">
        <v>14227.063013698627</v>
      </c>
      <c r="I199" s="11">
        <v>14038.325136612053</v>
      </c>
      <c r="J199" s="11">
        <v>13935.860273972576</v>
      </c>
      <c r="K199" s="11">
        <v>18879.049315068525</v>
      </c>
      <c r="L199" s="11">
        <f>+P2a!D228+P2a!D229+P2a!D230</f>
        <v>17914.937899543405</v>
      </c>
      <c r="M199" s="11">
        <f>+P2a!E228+P2a!E229+P2a!E230</f>
        <v>17620.369763205876</v>
      </c>
      <c r="N199" s="11">
        <f>+P2a!F228+P2a!F229+P2a!F230</f>
        <v>17262.750455373483</v>
      </c>
      <c r="O199" s="11">
        <v>17710.580000000002</v>
      </c>
      <c r="P199" s="11">
        <v>17420</v>
      </c>
      <c r="Q199" s="11">
        <v>18260.900000000001</v>
      </c>
      <c r="R199" s="11">
        <v>17989.336986301299</v>
      </c>
      <c r="S199" s="11">
        <v>20634.613698630099</v>
      </c>
      <c r="T199" s="46"/>
      <c r="U199" s="171" t="s">
        <v>211</v>
      </c>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row>
    <row r="200" spans="1:50">
      <c r="A200" s="373" t="s">
        <v>495</v>
      </c>
      <c r="B200" s="12" t="s">
        <v>213</v>
      </c>
      <c r="C200" s="293" t="s">
        <v>210</v>
      </c>
      <c r="D200" s="11">
        <v>324.12659315068606</v>
      </c>
      <c r="E200" s="11">
        <v>373.50546448087425</v>
      </c>
      <c r="F200" s="11">
        <v>369.15890410958906</v>
      </c>
      <c r="G200" s="11">
        <v>235.92876712328768</v>
      </c>
      <c r="H200" s="11">
        <v>192.62191780821919</v>
      </c>
      <c r="I200" s="11">
        <v>191.57923497267757</v>
      </c>
      <c r="J200" s="11">
        <v>190.31232876712329</v>
      </c>
      <c r="K200" s="11">
        <v>197.73698630136985</v>
      </c>
      <c r="L200" s="11">
        <f>+P2a!D231+P2a!D232+P2a!D233</f>
        <v>177.36164383561646</v>
      </c>
      <c r="M200" s="11">
        <f>+P2a!E231+P2a!E232+P2a!E233</f>
        <v>163.4653916211293</v>
      </c>
      <c r="N200" s="11">
        <f>+P2a!F231+P2a!F232+P2a!F233</f>
        <v>158.40163934426229</v>
      </c>
      <c r="O200" s="11"/>
      <c r="P200" s="11" t="s">
        <v>57</v>
      </c>
      <c r="Q200" s="11" t="s">
        <v>57</v>
      </c>
      <c r="R200" s="11" t="s">
        <v>57</v>
      </c>
      <c r="S200" s="11" t="s">
        <v>57</v>
      </c>
      <c r="T200" s="46"/>
      <c r="U200" s="171" t="s">
        <v>214</v>
      </c>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row>
    <row r="201" spans="1:50">
      <c r="A201" s="373" t="s">
        <v>496</v>
      </c>
      <c r="B201" s="12" t="s">
        <v>216</v>
      </c>
      <c r="C201" s="293" t="s">
        <v>210</v>
      </c>
      <c r="D201" s="11">
        <v>56.912475342465775</v>
      </c>
      <c r="E201" s="11">
        <v>73.773224043715842</v>
      </c>
      <c r="F201" s="11">
        <v>69.490410958904121</v>
      </c>
      <c r="G201" s="11">
        <v>29.624657534246577</v>
      </c>
      <c r="H201" s="11">
        <v>15.550684931506849</v>
      </c>
      <c r="I201" s="11">
        <v>18.724043715846996</v>
      </c>
      <c r="J201" s="11">
        <v>20.008219178082193</v>
      </c>
      <c r="K201" s="11">
        <v>15.150684931506849</v>
      </c>
      <c r="L201" s="11">
        <f>+P2a!D234+P2a!D235+P2a!D236</f>
        <v>19.269406392694066</v>
      </c>
      <c r="M201" s="11">
        <f>+P2a!E234+P2a!E235+P2a!E236</f>
        <v>20.400728597449906</v>
      </c>
      <c r="N201" s="11">
        <f>+P2a!F234+P2a!F235+P2a!F236</f>
        <v>20.507285974499091</v>
      </c>
      <c r="O201" s="11"/>
      <c r="P201" s="11" t="s">
        <v>57</v>
      </c>
      <c r="Q201" s="11" t="s">
        <v>57</v>
      </c>
      <c r="R201" s="11" t="s">
        <v>57</v>
      </c>
      <c r="S201" s="11" t="s">
        <v>57</v>
      </c>
      <c r="T201" s="46"/>
      <c r="U201" s="171" t="s">
        <v>217</v>
      </c>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row>
    <row r="202" spans="1:50">
      <c r="A202" s="373" t="s">
        <v>497</v>
      </c>
      <c r="B202" s="12" t="s">
        <v>219</v>
      </c>
      <c r="C202" s="293" t="s">
        <v>210</v>
      </c>
      <c r="D202" s="11">
        <v>41.815838356164392</v>
      </c>
      <c r="E202" s="11">
        <v>69.133879781420774</v>
      </c>
      <c r="F202" s="11">
        <v>58.830136986301369</v>
      </c>
      <c r="G202" s="11">
        <v>29.756164383561643</v>
      </c>
      <c r="H202" s="11">
        <v>21.194520547945206</v>
      </c>
      <c r="I202" s="11">
        <v>16.642076502732237</v>
      </c>
      <c r="J202" s="11">
        <v>12.043835616438358</v>
      </c>
      <c r="K202" s="11">
        <v>10.391780821917809</v>
      </c>
      <c r="L202" s="11">
        <f>+P2a!D237+P2a!D238+P2a!D239</f>
        <v>10.609132420091324</v>
      </c>
      <c r="M202" s="11">
        <f>+P2a!E237+P2a!E238+P2a!E239</f>
        <v>8.9417122040072865</v>
      </c>
      <c r="N202" s="11">
        <f>+P2a!F237+P2a!F238+P2a!F239</f>
        <v>10.444444444444445</v>
      </c>
      <c r="O202" s="11"/>
      <c r="P202" s="11" t="s">
        <v>57</v>
      </c>
      <c r="Q202" s="11" t="s">
        <v>57</v>
      </c>
      <c r="R202" s="11" t="s">
        <v>57</v>
      </c>
      <c r="S202" s="11" t="s">
        <v>57</v>
      </c>
      <c r="T202" s="46"/>
      <c r="U202" s="171" t="s">
        <v>220</v>
      </c>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row>
    <row r="203" spans="1:50">
      <c r="A203" s="373" t="s">
        <v>498</v>
      </c>
      <c r="B203" s="12" t="s">
        <v>222</v>
      </c>
      <c r="C203" s="293" t="s">
        <v>210</v>
      </c>
      <c r="D203" s="11">
        <v>1.7634369863013699</v>
      </c>
      <c r="E203" s="11">
        <v>1.860655737704918</v>
      </c>
      <c r="F203" s="11">
        <v>0</v>
      </c>
      <c r="G203" s="11">
        <v>0</v>
      </c>
      <c r="H203" s="11">
        <v>0</v>
      </c>
      <c r="I203" s="11">
        <v>0</v>
      </c>
      <c r="J203" s="11">
        <v>0</v>
      </c>
      <c r="K203" s="11">
        <v>0</v>
      </c>
      <c r="L203" s="11">
        <f>+P2a!D240+P2a!D241+P2a!D242</f>
        <v>0</v>
      </c>
      <c r="M203" s="11">
        <f>+P2a!E240+P2a!E241+P2a!E242</f>
        <v>0</v>
      </c>
      <c r="N203" s="11">
        <f>+P2a!F240+P2a!F241+P2a!F242</f>
        <v>0</v>
      </c>
      <c r="O203" s="11"/>
      <c r="P203" s="11" t="s">
        <v>57</v>
      </c>
      <c r="Q203" s="11" t="s">
        <v>57</v>
      </c>
      <c r="R203" s="11" t="s">
        <v>57</v>
      </c>
      <c r="S203" s="11" t="s">
        <v>57</v>
      </c>
      <c r="T203" s="46"/>
      <c r="U203" s="374" t="s">
        <v>223</v>
      </c>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row>
    <row r="204" spans="1:50">
      <c r="A204" s="373" t="s">
        <v>499</v>
      </c>
      <c r="B204" s="16" t="s">
        <v>225</v>
      </c>
      <c r="C204" s="294" t="s">
        <v>160</v>
      </c>
      <c r="D204" s="6">
        <f>SUM(D199:D203)</f>
        <v>23249.026969854498</v>
      </c>
      <c r="E204" s="6">
        <f t="shared" ref="E204:K204" si="131">SUM(E199:E203)</f>
        <v>16583.00273224042</v>
      </c>
      <c r="F204" s="6">
        <f t="shared" si="131"/>
        <v>17989.298630137171</v>
      </c>
      <c r="G204" s="6">
        <f t="shared" si="131"/>
        <v>15373.249315068566</v>
      </c>
      <c r="H204" s="6">
        <f t="shared" si="131"/>
        <v>14456.430136986299</v>
      </c>
      <c r="I204" s="6">
        <f t="shared" si="131"/>
        <v>14265.270491803311</v>
      </c>
      <c r="J204" s="6">
        <f t="shared" si="131"/>
        <v>14158.224657534218</v>
      </c>
      <c r="K204" s="6">
        <f t="shared" si="131"/>
        <v>19102.328767123323</v>
      </c>
      <c r="L204" s="6">
        <f>SUM(L199:L203)</f>
        <v>18122.178082191804</v>
      </c>
      <c r="M204" s="6">
        <f>SUM(M199:M203)</f>
        <v>17813.177595628462</v>
      </c>
      <c r="N204" s="6">
        <f>SUM(N199:N203)</f>
        <v>17452.103825136688</v>
      </c>
      <c r="O204" s="6">
        <f>SUM(O199:O203)</f>
        <v>17710.580000000002</v>
      </c>
      <c r="P204" s="6">
        <f t="shared" ref="P204:Q204" si="132">SUM(P199:P203)</f>
        <v>17420</v>
      </c>
      <c r="Q204" s="6">
        <f t="shared" si="132"/>
        <v>18260.900000000001</v>
      </c>
      <c r="R204" s="6">
        <f t="shared" ref="R204:S204" si="133">SUM(R199:R203)</f>
        <v>17989.336986301299</v>
      </c>
      <c r="S204" s="6">
        <f t="shared" si="133"/>
        <v>20634.613698630099</v>
      </c>
      <c r="T204" s="46"/>
      <c r="U204" s="171" t="s">
        <v>500</v>
      </c>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row>
    <row r="205" spans="1:50">
      <c r="A205" s="375" t="s">
        <v>178</v>
      </c>
      <c r="B205" s="9"/>
      <c r="C205" s="291"/>
      <c r="D205" s="7"/>
      <c r="E205" s="7"/>
      <c r="F205" s="7"/>
      <c r="G205" s="7"/>
      <c r="H205" s="7"/>
      <c r="I205" s="7"/>
      <c r="J205" s="7"/>
      <c r="K205" s="7"/>
      <c r="L205" s="7"/>
      <c r="M205" s="7"/>
      <c r="N205" s="7"/>
      <c r="O205" s="7"/>
      <c r="P205" s="7"/>
      <c r="Q205" s="7"/>
      <c r="T205" s="46"/>
      <c r="U205" s="171"/>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row>
    <row r="206" spans="1:50">
      <c r="A206" s="373" t="s">
        <v>501</v>
      </c>
      <c r="B206" s="12" t="s">
        <v>228</v>
      </c>
      <c r="C206" s="293" t="s">
        <v>210</v>
      </c>
      <c r="D206" s="413">
        <v>0</v>
      </c>
      <c r="E206" s="11">
        <v>0.27049180327868855</v>
      </c>
      <c r="F206" s="11">
        <v>1</v>
      </c>
      <c r="G206" s="413">
        <v>1.3917808219178083</v>
      </c>
      <c r="H206" s="11">
        <v>52.246575342465754</v>
      </c>
      <c r="I206" s="11">
        <v>597.4289617486329</v>
      </c>
      <c r="J206" s="413">
        <v>1204.8164383561634</v>
      </c>
      <c r="K206" s="11">
        <v>1443.4136986301346</v>
      </c>
      <c r="L206" s="413">
        <v>2029.5287671231868</v>
      </c>
      <c r="M206" s="11">
        <v>1897.3060109289618</v>
      </c>
      <c r="N206" s="11">
        <f>2209.45081967205-N208</f>
        <v>1882.2759562840724</v>
      </c>
      <c r="O206" s="11">
        <v>2045.6739726027397</v>
      </c>
      <c r="P206" s="11">
        <v>1975</v>
      </c>
      <c r="Q206" s="11">
        <v>2641</v>
      </c>
      <c r="R206" s="11">
        <v>2594.1232876712302</v>
      </c>
      <c r="S206" s="11">
        <v>4732.4630136986198</v>
      </c>
      <c r="T206" s="46"/>
      <c r="U206" s="185" t="s">
        <v>502</v>
      </c>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row>
    <row r="207" spans="1:50">
      <c r="A207" s="373" t="s">
        <v>503</v>
      </c>
      <c r="B207" s="12" t="s">
        <v>231</v>
      </c>
      <c r="C207" s="293" t="s">
        <v>210</v>
      </c>
      <c r="D207" s="413">
        <v>14375.087671232919</v>
      </c>
      <c r="E207" s="11">
        <v>16319.174863388014</v>
      </c>
      <c r="F207" s="11">
        <v>13229.769863014075</v>
      </c>
      <c r="G207" s="413">
        <v>7485.1999999999143</v>
      </c>
      <c r="H207" s="11">
        <v>6109.8986301369896</v>
      </c>
      <c r="I207" s="11">
        <v>5643.3169398907139</v>
      </c>
      <c r="J207" s="413">
        <v>5101.8520547945072</v>
      </c>
      <c r="K207" s="11">
        <v>3749.8630136986262</v>
      </c>
      <c r="L207" s="413">
        <v>3618.8739726031636</v>
      </c>
      <c r="M207" s="11">
        <f>3468.17486338798-M208</f>
        <v>3139.4945355191276</v>
      </c>
      <c r="N207" s="11">
        <f>3303.43169398937-N208</f>
        <v>2976.2568306013927</v>
      </c>
      <c r="O207" s="11">
        <f>3575.99452054795-O208</f>
        <v>3201.4000000000046</v>
      </c>
      <c r="P207" s="11">
        <v>3231</v>
      </c>
      <c r="Q207" s="11">
        <v>3105</v>
      </c>
      <c r="R207" s="11">
        <v>3134.5835616438299</v>
      </c>
      <c r="S207" s="11">
        <v>3025.1397260273902</v>
      </c>
      <c r="T207" s="46"/>
      <c r="U207" s="185" t="s">
        <v>504</v>
      </c>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row>
    <row r="208" spans="1:50">
      <c r="A208" s="373" t="s">
        <v>505</v>
      </c>
      <c r="B208" s="12" t="s">
        <v>234</v>
      </c>
      <c r="C208" s="293" t="s">
        <v>210</v>
      </c>
      <c r="D208" s="413">
        <v>0</v>
      </c>
      <c r="E208" s="11">
        <v>0</v>
      </c>
      <c r="F208" s="11">
        <v>0</v>
      </c>
      <c r="G208" s="413">
        <v>9.5890410958904104E-2</v>
      </c>
      <c r="H208" s="11">
        <v>12.854794520547951</v>
      </c>
      <c r="I208" s="11">
        <v>165.22404371584713</v>
      </c>
      <c r="J208" s="413">
        <v>361.27123287671259</v>
      </c>
      <c r="K208" s="11">
        <v>400.34794520547956</v>
      </c>
      <c r="L208" s="413">
        <v>395.85205479451469</v>
      </c>
      <c r="M208" s="11">
        <v>328.68032786885249</v>
      </c>
      <c r="N208" s="11">
        <v>327.17486338797738</v>
      </c>
      <c r="O208" s="11">
        <v>374.59452054794519</v>
      </c>
      <c r="P208" s="11">
        <v>409</v>
      </c>
      <c r="Q208" s="11">
        <v>403</v>
      </c>
      <c r="R208" s="11">
        <v>405.06027397260198</v>
      </c>
      <c r="S208" s="11">
        <v>421.879452054794</v>
      </c>
      <c r="T208" s="46"/>
      <c r="U208" s="185" t="s">
        <v>506</v>
      </c>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row>
    <row r="209" spans="1:50">
      <c r="A209" s="373" t="s">
        <v>507</v>
      </c>
      <c r="B209" s="12" t="s">
        <v>1749</v>
      </c>
      <c r="C209" s="293" t="s">
        <v>210</v>
      </c>
      <c r="D209" s="413">
        <v>0</v>
      </c>
      <c r="E209" s="413">
        <v>104.06</v>
      </c>
      <c r="F209" s="413">
        <v>384.7</v>
      </c>
      <c r="G209" s="413">
        <v>552.11</v>
      </c>
      <c r="H209" s="413">
        <v>18379.87</v>
      </c>
      <c r="I209" s="413">
        <v>213917.64</v>
      </c>
      <c r="J209" s="413">
        <v>473677.1</v>
      </c>
      <c r="K209" s="413">
        <v>492393.22</v>
      </c>
      <c r="L209" s="413">
        <v>421803.78666666575</v>
      </c>
      <c r="M209" s="11">
        <v>377311.9742</v>
      </c>
      <c r="N209" s="413">
        <v>368629.28156666731</v>
      </c>
      <c r="O209" s="413">
        <v>340053.89639999939</v>
      </c>
      <c r="P209" s="11">
        <v>324782</v>
      </c>
      <c r="Q209" s="11">
        <v>374679</v>
      </c>
      <c r="R209" s="11">
        <v>370155.094099999</v>
      </c>
      <c r="S209" s="11">
        <v>582755.52500000002</v>
      </c>
      <c r="T209" s="46"/>
      <c r="U209" s="185" t="s">
        <v>1749</v>
      </c>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row>
    <row r="210" spans="1:50">
      <c r="A210" s="373" t="s">
        <v>508</v>
      </c>
      <c r="B210" s="12" t="s">
        <v>1750</v>
      </c>
      <c r="C210" s="293" t="s">
        <v>210</v>
      </c>
      <c r="D210" s="413">
        <v>0</v>
      </c>
      <c r="E210" s="413">
        <v>0</v>
      </c>
      <c r="F210" s="413">
        <v>0</v>
      </c>
      <c r="G210" s="413">
        <v>0</v>
      </c>
      <c r="H210" s="413">
        <v>0</v>
      </c>
      <c r="I210" s="413">
        <v>0</v>
      </c>
      <c r="J210" s="413">
        <v>0</v>
      </c>
      <c r="K210" s="413">
        <v>0</v>
      </c>
      <c r="L210" s="413">
        <v>0</v>
      </c>
      <c r="M210" s="413">
        <v>0</v>
      </c>
      <c r="N210" s="413">
        <v>0</v>
      </c>
      <c r="O210" s="413">
        <v>0</v>
      </c>
      <c r="P210" s="11">
        <v>0</v>
      </c>
      <c r="Q210" s="11">
        <v>0</v>
      </c>
      <c r="R210" s="11">
        <v>0</v>
      </c>
      <c r="S210" s="11">
        <v>0</v>
      </c>
      <c r="T210" s="46"/>
      <c r="U210" s="185" t="s">
        <v>1750</v>
      </c>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row>
    <row r="211" spans="1:50">
      <c r="A211" s="373" t="s">
        <v>509</v>
      </c>
      <c r="B211" s="12" t="s">
        <v>241</v>
      </c>
      <c r="C211" s="293" t="s">
        <v>210</v>
      </c>
      <c r="D211" s="413">
        <v>0</v>
      </c>
      <c r="E211" s="414">
        <f>+E209/E206</f>
        <v>384.70666666666665</v>
      </c>
      <c r="F211" s="414">
        <f t="shared" ref="F211:M211" si="134">+F209/F206</f>
        <v>384.7</v>
      </c>
      <c r="G211" s="414">
        <f t="shared" si="134"/>
        <v>396.69320866141732</v>
      </c>
      <c r="H211" s="414">
        <f t="shared" si="134"/>
        <v>351.79090456213947</v>
      </c>
      <c r="I211" s="414">
        <f t="shared" si="134"/>
        <v>358.06372589282915</v>
      </c>
      <c r="J211" s="414">
        <f t="shared" si="134"/>
        <v>393.15291933290609</v>
      </c>
      <c r="K211" s="414">
        <f t="shared" si="134"/>
        <v>341.13104265762723</v>
      </c>
      <c r="L211" s="414">
        <f t="shared" si="134"/>
        <v>207.83336186190823</v>
      </c>
      <c r="M211" s="414">
        <f t="shared" si="134"/>
        <v>198.86722122134634</v>
      </c>
      <c r="N211" s="414">
        <f>+N209/N206</f>
        <v>195.84231543519431</v>
      </c>
      <c r="O211" s="414">
        <f>+O209/O206</f>
        <v>166.2307390885675</v>
      </c>
      <c r="P211" s="414">
        <f t="shared" ref="P211:S211" si="135">+P209/P206</f>
        <v>164.446582278481</v>
      </c>
      <c r="Q211" s="414">
        <f t="shared" si="135"/>
        <v>141.87012495266944</v>
      </c>
      <c r="R211" s="414">
        <f t="shared" si="135"/>
        <v>142.6898620659972</v>
      </c>
      <c r="S211" s="414">
        <f t="shared" si="135"/>
        <v>123.1400062320935</v>
      </c>
      <c r="T211" s="46"/>
      <c r="U211" s="185" t="s">
        <v>241</v>
      </c>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row>
    <row r="212" spans="1:50">
      <c r="A212" s="375" t="s">
        <v>178</v>
      </c>
      <c r="B212" s="9"/>
      <c r="C212" s="291"/>
      <c r="D212" s="7"/>
      <c r="E212" s="7"/>
      <c r="F212" s="7"/>
      <c r="G212" s="7"/>
      <c r="H212" s="7"/>
      <c r="I212" s="7"/>
      <c r="J212" s="7"/>
      <c r="K212" s="7"/>
      <c r="L212" s="7"/>
      <c r="M212" s="7"/>
      <c r="N212" s="7"/>
      <c r="O212" s="7"/>
      <c r="P212" s="7"/>
      <c r="Q212" s="7"/>
      <c r="T212" s="46"/>
      <c r="U212" s="171"/>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row>
    <row r="213" spans="1:50">
      <c r="A213" s="445" t="s">
        <v>178</v>
      </c>
      <c r="B213" s="284" t="s">
        <v>510</v>
      </c>
      <c r="C213" s="295"/>
      <c r="D213" s="7"/>
      <c r="E213" s="7"/>
      <c r="F213" s="7"/>
      <c r="G213" s="7"/>
      <c r="H213" s="7"/>
      <c r="I213" s="7"/>
      <c r="J213" s="7"/>
      <c r="K213" s="7"/>
      <c r="L213" s="7"/>
      <c r="M213" s="7"/>
      <c r="N213" s="7"/>
      <c r="O213" s="7"/>
      <c r="P213" s="7"/>
      <c r="Q213" s="7"/>
      <c r="T213" s="46"/>
      <c r="U213" s="171"/>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row>
    <row r="214" spans="1:50">
      <c r="A214" s="376" t="s">
        <v>511</v>
      </c>
      <c r="B214" s="12" t="s">
        <v>512</v>
      </c>
      <c r="C214" s="293" t="s">
        <v>210</v>
      </c>
      <c r="D214" s="11">
        <v>716322.02338537876</v>
      </c>
      <c r="E214" s="11">
        <v>615210.62065573724</v>
      </c>
      <c r="F214" s="11">
        <v>615884.95917808951</v>
      </c>
      <c r="G214" s="11">
        <v>477627.73698630108</v>
      </c>
      <c r="H214" s="11">
        <v>424012.01342465758</v>
      </c>
      <c r="I214" s="11">
        <v>415455.95759562781</v>
      </c>
      <c r="J214" s="11">
        <v>410208.41109588958</v>
      </c>
      <c r="K214" s="11">
        <v>416876.28493150533</v>
      </c>
      <c r="L214" s="11">
        <f>+P2a!D261</f>
        <v>408036.48493150686</v>
      </c>
      <c r="M214" s="11">
        <f>+P2a!E261</f>
        <v>397738.5916846589</v>
      </c>
      <c r="N214" s="11">
        <f>+P2a!F261</f>
        <v>396422.89208852348</v>
      </c>
      <c r="O214" s="11">
        <v>346703</v>
      </c>
      <c r="P214" s="11">
        <v>337774</v>
      </c>
      <c r="Q214" s="11">
        <v>349279</v>
      </c>
      <c r="R214" s="11">
        <v>343423.47263424</v>
      </c>
      <c r="S214" s="11">
        <v>387678.64364520501</v>
      </c>
      <c r="T214" s="46"/>
      <c r="U214" s="171" t="s">
        <v>513</v>
      </c>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row>
    <row r="215" spans="1:50">
      <c r="A215" s="373" t="s">
        <v>514</v>
      </c>
      <c r="B215" s="16" t="s">
        <v>515</v>
      </c>
      <c r="C215" s="293" t="s">
        <v>210</v>
      </c>
      <c r="D215" s="11">
        <v>7584371.8409866607</v>
      </c>
      <c r="E215" s="11">
        <v>7088944.5930054691</v>
      </c>
      <c r="F215" s="11">
        <v>6836956.8187671537</v>
      </c>
      <c r="G215" s="11">
        <v>5111585.9267123314</v>
      </c>
      <c r="H215" s="11">
        <v>4462279.8198630111</v>
      </c>
      <c r="I215" s="11">
        <v>4290080.3939890694</v>
      </c>
      <c r="J215" s="11">
        <v>4255950.1789041059</v>
      </c>
      <c r="K215" s="11">
        <v>4157254.2623287733</v>
      </c>
      <c r="L215" s="11">
        <f>+P2a!D265+P2a!D268+P2a!D271</f>
        <v>3996545.4023287683</v>
      </c>
      <c r="M215" s="11">
        <f>+P2a!E265+P2a!E268+P2a!E271</f>
        <v>3889030.7847189521</v>
      </c>
      <c r="N215" s="11">
        <f>+P2a!F265+P2a!F268+P2a!F271</f>
        <v>3882898.9195755953</v>
      </c>
      <c r="O215" s="11">
        <v>3676802.5</v>
      </c>
      <c r="P215" s="11">
        <v>3673600</v>
      </c>
      <c r="Q215" s="11">
        <v>3676233</v>
      </c>
      <c r="R215" s="11">
        <v>3589124.9881643699</v>
      </c>
      <c r="S215" s="11">
        <v>3740366.40526705</v>
      </c>
      <c r="T215" s="46"/>
      <c r="U215" s="171" t="s">
        <v>516</v>
      </c>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row>
    <row r="216" spans="1:50">
      <c r="A216" s="375" t="s">
        <v>178</v>
      </c>
      <c r="B216" s="9"/>
      <c r="C216" s="291"/>
      <c r="D216" s="7"/>
      <c r="E216" s="7"/>
      <c r="F216" s="7"/>
      <c r="G216" s="7"/>
      <c r="H216" s="7"/>
      <c r="I216" s="7"/>
      <c r="J216" s="7"/>
      <c r="K216" s="7"/>
      <c r="L216" s="7"/>
      <c r="M216" s="7"/>
      <c r="N216" s="7"/>
      <c r="O216" s="7"/>
      <c r="P216" s="7"/>
      <c r="Q216" s="7"/>
      <c r="T216" s="46"/>
      <c r="U216" s="171"/>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row>
    <row r="217" spans="1:50">
      <c r="A217" s="445" t="s">
        <v>178</v>
      </c>
      <c r="B217" s="284" t="s">
        <v>267</v>
      </c>
      <c r="C217" s="295"/>
      <c r="D217" s="7"/>
      <c r="E217" s="7"/>
      <c r="F217" s="7"/>
      <c r="G217" s="7"/>
      <c r="H217" s="7"/>
      <c r="I217" s="7"/>
      <c r="J217" s="7"/>
      <c r="K217" s="7"/>
      <c r="L217" s="7"/>
      <c r="M217" s="7"/>
      <c r="N217" s="7"/>
      <c r="O217" s="7"/>
      <c r="P217" s="7"/>
      <c r="Q217" s="7"/>
      <c r="T217" s="46"/>
      <c r="U217" s="171"/>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row>
    <row r="218" spans="1:50">
      <c r="A218" s="376" t="s">
        <v>517</v>
      </c>
      <c r="B218" s="16" t="s">
        <v>209</v>
      </c>
      <c r="C218" s="293" t="s">
        <v>210</v>
      </c>
      <c r="D218" s="11">
        <v>70</v>
      </c>
      <c r="E218" s="11">
        <v>57</v>
      </c>
      <c r="F218" s="11">
        <v>51</v>
      </c>
      <c r="G218" s="11">
        <v>49</v>
      </c>
      <c r="H218" s="11">
        <v>47</v>
      </c>
      <c r="I218" s="11">
        <v>47</v>
      </c>
      <c r="J218" s="11">
        <v>47</v>
      </c>
      <c r="K218" s="11">
        <v>47</v>
      </c>
      <c r="L218" s="11">
        <f>+P2a!D275</f>
        <v>48</v>
      </c>
      <c r="M218" s="11">
        <f>+P2a!E275</f>
        <v>49</v>
      </c>
      <c r="N218" s="11">
        <f>+P2a!F275</f>
        <v>49</v>
      </c>
      <c r="O218" s="11">
        <v>50</v>
      </c>
      <c r="P218" s="11">
        <v>50</v>
      </c>
      <c r="Q218" s="11">
        <v>51</v>
      </c>
      <c r="R218" s="11">
        <v>51</v>
      </c>
      <c r="S218" s="11">
        <v>53</v>
      </c>
      <c r="T218" s="46"/>
      <c r="U218" s="171" t="s">
        <v>269</v>
      </c>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row>
    <row r="219" spans="1:50">
      <c r="A219" s="373" t="s">
        <v>518</v>
      </c>
      <c r="B219" s="12" t="s">
        <v>213</v>
      </c>
      <c r="C219" s="293" t="s">
        <v>210</v>
      </c>
      <c r="D219" s="11">
        <v>140</v>
      </c>
      <c r="E219" s="11">
        <v>115</v>
      </c>
      <c r="F219" s="11">
        <v>105</v>
      </c>
      <c r="G219" s="11">
        <v>102</v>
      </c>
      <c r="H219" s="11">
        <v>98</v>
      </c>
      <c r="I219" s="11">
        <v>99</v>
      </c>
      <c r="J219" s="11">
        <v>99</v>
      </c>
      <c r="K219" s="11">
        <v>100</v>
      </c>
      <c r="L219" s="11">
        <f>+P2a!D278</f>
        <v>101</v>
      </c>
      <c r="M219" s="11">
        <f>+P2a!E278</f>
        <v>102</v>
      </c>
      <c r="N219" s="11">
        <f>+P2a!F278</f>
        <v>102</v>
      </c>
      <c r="O219" s="11">
        <v>103</v>
      </c>
      <c r="P219" s="11" t="s">
        <v>57</v>
      </c>
      <c r="Q219" s="11" t="s">
        <v>57</v>
      </c>
      <c r="R219" s="11" t="s">
        <v>57</v>
      </c>
      <c r="S219" s="11" t="s">
        <v>57</v>
      </c>
      <c r="T219" s="46"/>
      <c r="U219" s="374" t="s">
        <v>271</v>
      </c>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row>
    <row r="220" spans="1:50">
      <c r="A220" s="373" t="s">
        <v>519</v>
      </c>
      <c r="B220" s="12" t="s">
        <v>216</v>
      </c>
      <c r="C220" s="293" t="s">
        <v>210</v>
      </c>
      <c r="D220" s="11">
        <v>553</v>
      </c>
      <c r="E220" s="11">
        <v>454</v>
      </c>
      <c r="F220" s="11">
        <v>413</v>
      </c>
      <c r="G220" s="11">
        <v>400</v>
      </c>
      <c r="H220" s="11">
        <v>385</v>
      </c>
      <c r="I220" s="11">
        <v>389</v>
      </c>
      <c r="J220" s="11">
        <v>387</v>
      </c>
      <c r="K220" s="11">
        <v>389</v>
      </c>
      <c r="L220" s="11">
        <f>+P2a!D281</f>
        <v>397</v>
      </c>
      <c r="M220" s="11">
        <f>+P2a!E281</f>
        <v>404</v>
      </c>
      <c r="N220" s="11">
        <f>+P2a!F281</f>
        <v>404</v>
      </c>
      <c r="O220" s="11">
        <v>412</v>
      </c>
      <c r="P220" s="11" t="s">
        <v>57</v>
      </c>
      <c r="Q220" s="11" t="s">
        <v>57</v>
      </c>
      <c r="R220" s="11" t="s">
        <v>57</v>
      </c>
      <c r="S220" s="11" t="s">
        <v>57</v>
      </c>
      <c r="T220" s="46"/>
      <c r="U220" s="171" t="s">
        <v>273</v>
      </c>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row>
    <row r="221" spans="1:50">
      <c r="A221" s="373" t="s">
        <v>520</v>
      </c>
      <c r="B221" s="12" t="s">
        <v>219</v>
      </c>
      <c r="C221" s="293" t="s">
        <v>210</v>
      </c>
      <c r="D221" s="11">
        <v>823</v>
      </c>
      <c r="E221" s="11">
        <v>677</v>
      </c>
      <c r="F221" s="11">
        <v>615</v>
      </c>
      <c r="G221" s="11">
        <v>596</v>
      </c>
      <c r="H221" s="11">
        <v>574</v>
      </c>
      <c r="I221" s="11">
        <v>580</v>
      </c>
      <c r="J221" s="11">
        <v>578</v>
      </c>
      <c r="K221" s="11">
        <v>581</v>
      </c>
      <c r="L221" s="11">
        <f>+P2a!D284</f>
        <v>593</v>
      </c>
      <c r="M221" s="11">
        <f>+P2a!E284</f>
        <v>605</v>
      </c>
      <c r="N221" s="11">
        <f>+P2a!F284</f>
        <v>605</v>
      </c>
      <c r="O221" s="11">
        <v>617</v>
      </c>
      <c r="P221" s="11" t="s">
        <v>57</v>
      </c>
      <c r="Q221" s="11" t="s">
        <v>57</v>
      </c>
      <c r="R221" s="11" t="s">
        <v>57</v>
      </c>
      <c r="S221" s="11" t="s">
        <v>57</v>
      </c>
      <c r="T221" s="46"/>
      <c r="U221" s="171" t="s">
        <v>275</v>
      </c>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row>
    <row r="222" spans="1:50">
      <c r="A222" s="373" t="s">
        <v>521</v>
      </c>
      <c r="B222" s="16" t="s">
        <v>222</v>
      </c>
      <c r="C222" s="293" t="s">
        <v>210</v>
      </c>
      <c r="D222" s="11">
        <v>2230</v>
      </c>
      <c r="E222" s="11">
        <v>1834</v>
      </c>
      <c r="F222" s="11">
        <v>1667</v>
      </c>
      <c r="G222" s="11">
        <v>1616</v>
      </c>
      <c r="H222" s="11">
        <v>1556</v>
      </c>
      <c r="I222" s="11">
        <v>1572</v>
      </c>
      <c r="J222" s="11">
        <v>1566</v>
      </c>
      <c r="K222" s="11">
        <v>1575</v>
      </c>
      <c r="L222" s="11">
        <f>+P2a!D287</f>
        <v>1607</v>
      </c>
      <c r="M222" s="11">
        <f>+P2a!E287</f>
        <v>1639</v>
      </c>
      <c r="N222" s="11">
        <f>+P2a!F287</f>
        <v>1639</v>
      </c>
      <c r="O222" s="11">
        <v>1672</v>
      </c>
      <c r="P222" s="11" t="s">
        <v>57</v>
      </c>
      <c r="Q222" s="11" t="s">
        <v>57</v>
      </c>
      <c r="R222" s="11" t="s">
        <v>57</v>
      </c>
      <c r="S222" s="11" t="s">
        <v>57</v>
      </c>
      <c r="T222" s="46"/>
      <c r="U222" s="171" t="s">
        <v>277</v>
      </c>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row>
    <row r="223" spans="1:50">
      <c r="A223" s="375" t="s">
        <v>178</v>
      </c>
      <c r="B223" s="9"/>
      <c r="C223" s="291"/>
      <c r="D223" s="7"/>
      <c r="E223" s="7"/>
      <c r="F223" s="7"/>
      <c r="G223" s="7"/>
      <c r="H223" s="7"/>
      <c r="I223" s="7"/>
      <c r="J223" s="7"/>
      <c r="K223" s="7"/>
      <c r="L223" s="7"/>
      <c r="M223" s="7"/>
      <c r="N223" s="7"/>
      <c r="O223" s="7"/>
      <c r="P223" s="7"/>
      <c r="Q223" s="7"/>
      <c r="T223" s="46"/>
      <c r="U223" s="171"/>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row>
    <row r="224" spans="1:50">
      <c r="A224" s="445" t="s">
        <v>178</v>
      </c>
      <c r="B224" s="284" t="s">
        <v>522</v>
      </c>
      <c r="C224" s="295"/>
      <c r="D224" s="7"/>
      <c r="E224" s="7"/>
      <c r="F224" s="7"/>
      <c r="G224" s="7"/>
      <c r="H224" s="7"/>
      <c r="I224" s="7"/>
      <c r="J224" s="7"/>
      <c r="K224" s="7"/>
      <c r="L224" s="7"/>
      <c r="M224" s="7"/>
      <c r="N224" s="7"/>
      <c r="O224" s="7"/>
      <c r="P224" s="7"/>
      <c r="Q224" s="7"/>
      <c r="T224" s="46"/>
      <c r="U224" s="171"/>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row>
    <row r="225" spans="1:50">
      <c r="A225" s="376" t="s">
        <v>523</v>
      </c>
      <c r="B225" s="16" t="s">
        <v>283</v>
      </c>
      <c r="C225" s="293" t="s">
        <v>210</v>
      </c>
      <c r="D225" s="11">
        <v>0.93559999999999999</v>
      </c>
      <c r="E225" s="11">
        <v>0.76939999999999997</v>
      </c>
      <c r="F225" s="11">
        <v>0.69950000000000001</v>
      </c>
      <c r="G225" s="11">
        <v>0.67810000000000004</v>
      </c>
      <c r="H225" s="11">
        <v>0.65300000000000002</v>
      </c>
      <c r="I225" s="11">
        <v>0.65949999999999998</v>
      </c>
      <c r="J225" s="11">
        <v>0.65690000000000004</v>
      </c>
      <c r="K225" s="11">
        <v>0.66080000000000005</v>
      </c>
      <c r="L225" s="11">
        <f>+P2a!D292</f>
        <v>0.67400000000000004</v>
      </c>
      <c r="M225" s="11">
        <f>+P2a!E292</f>
        <v>0.6875</v>
      </c>
      <c r="N225" s="11">
        <f>+P2a!F292</f>
        <v>0.6875</v>
      </c>
      <c r="O225" s="11">
        <v>0.70130000000000003</v>
      </c>
      <c r="P225" s="11">
        <v>0.70130000000000003</v>
      </c>
      <c r="Q225" s="11">
        <v>0.71879999999999999</v>
      </c>
      <c r="R225" s="11">
        <v>0.71879999999999999</v>
      </c>
      <c r="S225" s="11">
        <v>0.749</v>
      </c>
      <c r="T225" s="46"/>
      <c r="U225" s="374" t="s">
        <v>524</v>
      </c>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row>
    <row r="226" spans="1:50">
      <c r="A226" s="373" t="s">
        <v>525</v>
      </c>
      <c r="B226" s="16" t="s">
        <v>526</v>
      </c>
      <c r="C226" s="293" t="s">
        <v>210</v>
      </c>
      <c r="D226" s="11">
        <v>1.1217999999999999</v>
      </c>
      <c r="E226" s="11">
        <v>0.92249999999999999</v>
      </c>
      <c r="F226" s="11">
        <v>0.83879999999999999</v>
      </c>
      <c r="G226" s="11">
        <v>0.81310000000000004</v>
      </c>
      <c r="H226" s="11">
        <v>0.78300000000000003</v>
      </c>
      <c r="I226" s="11">
        <v>0.79079999999999995</v>
      </c>
      <c r="J226" s="11">
        <v>0.78720000000000001</v>
      </c>
      <c r="K226" s="11">
        <v>0.79190000000000005</v>
      </c>
      <c r="L226" s="11">
        <f>+P2a!D295</f>
        <v>0.80769999999999997</v>
      </c>
      <c r="M226" s="11">
        <f>+P2a!E295</f>
        <v>0.82389999999999997</v>
      </c>
      <c r="N226" s="11">
        <f>+P2a!F295</f>
        <v>0.82389999999999997</v>
      </c>
      <c r="O226" s="11">
        <v>0.84040000000000004</v>
      </c>
      <c r="P226" s="11">
        <v>0.84040000000000004</v>
      </c>
      <c r="Q226" s="11">
        <v>0.86140000000000005</v>
      </c>
      <c r="R226" s="11">
        <v>0.86140000000000005</v>
      </c>
      <c r="S226" s="11">
        <v>0.89759999999999995</v>
      </c>
      <c r="T226" s="46"/>
      <c r="U226" s="171" t="s">
        <v>527</v>
      </c>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row>
    <row r="227" spans="1:50">
      <c r="A227" s="375" t="s">
        <v>178</v>
      </c>
      <c r="B227" s="9"/>
      <c r="C227" s="291"/>
      <c r="D227" s="7"/>
      <c r="E227" s="7"/>
      <c r="F227" s="7"/>
      <c r="G227" s="7"/>
      <c r="H227" s="7"/>
      <c r="I227" s="7"/>
      <c r="J227" s="7"/>
      <c r="K227" s="7"/>
      <c r="L227" s="7"/>
      <c r="M227" s="7"/>
      <c r="N227" s="7"/>
      <c r="O227" s="7"/>
      <c r="P227" s="7"/>
      <c r="Q227" s="7"/>
      <c r="T227" s="46"/>
      <c r="U227" s="171"/>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row>
    <row r="228" spans="1:50">
      <c r="A228" s="445" t="s">
        <v>178</v>
      </c>
      <c r="B228" s="284" t="s">
        <v>296</v>
      </c>
      <c r="C228" s="295"/>
      <c r="D228" s="7"/>
      <c r="E228" s="7"/>
      <c r="F228" s="7"/>
      <c r="G228" s="7"/>
      <c r="H228" s="7"/>
      <c r="I228" s="7"/>
      <c r="J228" s="7"/>
      <c r="K228" s="7"/>
      <c r="L228" s="7"/>
      <c r="M228" s="7"/>
      <c r="N228" s="7"/>
      <c r="O228" s="7"/>
      <c r="P228" s="7"/>
      <c r="Q228" s="7"/>
      <c r="T228" s="46"/>
      <c r="U228" s="171"/>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row>
    <row r="229" spans="1:50">
      <c r="A229" s="376" t="s">
        <v>528</v>
      </c>
      <c r="B229" s="175" t="s">
        <v>298</v>
      </c>
      <c r="C229" s="293" t="s">
        <v>210</v>
      </c>
      <c r="D229" s="11">
        <v>5504</v>
      </c>
      <c r="E229" s="11">
        <v>5639</v>
      </c>
      <c r="F229" s="11">
        <v>5737</v>
      </c>
      <c r="G229" s="11">
        <v>5813</v>
      </c>
      <c r="H229" s="11">
        <v>5820</v>
      </c>
      <c r="I229" s="11">
        <v>7041</v>
      </c>
      <c r="J229" s="11">
        <v>7258</v>
      </c>
      <c r="K229" s="11">
        <v>5910</v>
      </c>
      <c r="L229" s="11">
        <f>+P2a!D300</f>
        <v>6240</v>
      </c>
      <c r="M229" s="11">
        <f>+P2a!E300</f>
        <v>6027</v>
      </c>
      <c r="N229" s="11">
        <f>+P2a!F300</f>
        <v>6204.7731936415057</v>
      </c>
      <c r="O229" s="11">
        <v>5411.5338932381401</v>
      </c>
      <c r="P229" s="11">
        <v>6129.55</v>
      </c>
      <c r="Q229" s="11">
        <v>6022.89</v>
      </c>
      <c r="R229" s="11">
        <v>6250.6438356164399</v>
      </c>
      <c r="S229" s="11">
        <v>6074.05753424656</v>
      </c>
      <c r="T229" s="46"/>
      <c r="U229" s="171" t="s">
        <v>299</v>
      </c>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row>
    <row r="230" spans="1:50">
      <c r="A230" s="373" t="s">
        <v>529</v>
      </c>
      <c r="B230" s="175" t="s">
        <v>301</v>
      </c>
      <c r="C230" s="293" t="s">
        <v>210</v>
      </c>
      <c r="D230" s="11">
        <v>-14.73</v>
      </c>
      <c r="E230" s="11">
        <v>-13.92</v>
      </c>
      <c r="F230" s="11">
        <v>-13.79</v>
      </c>
      <c r="G230" s="11">
        <v>-13.37</v>
      </c>
      <c r="H230" s="11">
        <v>-12.88</v>
      </c>
      <c r="I230" s="11">
        <v>-13.05</v>
      </c>
      <c r="J230" s="11">
        <v>-13</v>
      </c>
      <c r="K230" s="11">
        <v>-13.1204</v>
      </c>
      <c r="L230" s="11">
        <f>+P2a!D301</f>
        <v>-13.51</v>
      </c>
      <c r="M230" s="11">
        <f>+P2a!E301</f>
        <v>-13.8</v>
      </c>
      <c r="N230" s="11">
        <f>+P2a!F301</f>
        <v>-13.8</v>
      </c>
      <c r="O230" s="11">
        <v>-14.05</v>
      </c>
      <c r="P230" s="11">
        <v>-14.05</v>
      </c>
      <c r="Q230" s="11">
        <v>-14.15</v>
      </c>
      <c r="R230" s="11">
        <v>-14.15</v>
      </c>
      <c r="S230" s="11">
        <v>-14.74</v>
      </c>
      <c r="T230" s="46"/>
      <c r="U230" s="171" t="s">
        <v>530</v>
      </c>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row>
    <row r="231" spans="1:50">
      <c r="A231" s="375" t="s">
        <v>178</v>
      </c>
      <c r="C231" s="238"/>
      <c r="D231" s="7"/>
      <c r="E231" s="7"/>
      <c r="F231" s="7"/>
      <c r="G231" s="7"/>
      <c r="H231" s="7"/>
      <c r="I231" s="7"/>
      <c r="J231" s="7"/>
      <c r="K231" s="7"/>
      <c r="L231" s="7"/>
      <c r="M231" s="7"/>
      <c r="N231" s="7"/>
      <c r="O231" s="7"/>
      <c r="P231" s="7"/>
      <c r="Q231" s="7"/>
      <c r="T231" s="46"/>
      <c r="U231" s="171"/>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row>
    <row r="232" spans="1:50">
      <c r="A232" s="445" t="s">
        <v>178</v>
      </c>
      <c r="B232" s="284" t="s">
        <v>303</v>
      </c>
      <c r="C232" s="295"/>
      <c r="D232" s="7"/>
      <c r="E232" s="7"/>
      <c r="F232" s="7"/>
      <c r="G232" s="7"/>
      <c r="H232" s="7"/>
      <c r="I232" s="7"/>
      <c r="J232" s="7"/>
      <c r="K232" s="7"/>
      <c r="L232" s="7"/>
      <c r="M232" s="7"/>
      <c r="N232" s="7"/>
      <c r="O232" s="7"/>
      <c r="P232" s="7"/>
      <c r="Q232" s="7"/>
      <c r="T232" s="46"/>
      <c r="U232" s="171"/>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row>
    <row r="233" spans="1:50">
      <c r="A233" s="376" t="s">
        <v>531</v>
      </c>
      <c r="B233" s="175" t="s">
        <v>305</v>
      </c>
      <c r="C233" s="294" t="s">
        <v>160</v>
      </c>
      <c r="D233" s="13">
        <f t="shared" ref="D233:K233" si="136">SUMPRODUCT(D199:D203,D218:D222)</f>
        <v>1712905.8251733764</v>
      </c>
      <c r="E233" s="13">
        <f t="shared" si="136"/>
        <v>1042351.8333333323</v>
      </c>
      <c r="F233" s="13">
        <f t="shared" si="136"/>
        <v>995724.53698631073</v>
      </c>
      <c r="G233" s="13">
        <f t="shared" si="136"/>
        <v>792468.31780822272</v>
      </c>
      <c r="H233" s="13">
        <f t="shared" si="136"/>
        <v>705701.57808219176</v>
      </c>
      <c r="I233" s="13">
        <f t="shared" si="136"/>
        <v>695703.68306011066</v>
      </c>
      <c r="J233" s="13">
        <f t="shared" si="136"/>
        <v>688530.87123287539</v>
      </c>
      <c r="K233" s="13">
        <f t="shared" si="136"/>
        <v>919020.25753424806</v>
      </c>
      <c r="L233" s="13">
        <f>+P2a!D304</f>
        <v>891851.09863013809</v>
      </c>
      <c r="M233" s="13">
        <f>+P2a!E304</f>
        <v>893794.21402550337</v>
      </c>
      <c r="N233" s="13">
        <f>+P2a!F304</f>
        <v>876703.52367942117</v>
      </c>
      <c r="O233" s="13">
        <f t="shared" ref="O233" si="137">SUMPRODUCT(O199:O203,O218:O222)</f>
        <v>885529.00000000012</v>
      </c>
      <c r="P233" s="13">
        <f>SUMPRODUCT(P199:P203,P218:P222)</f>
        <v>871000</v>
      </c>
      <c r="Q233" s="13">
        <f>SUMPRODUCT(Q199:Q203,Q218:Q222)</f>
        <v>931305.9</v>
      </c>
      <c r="R233" s="13">
        <f>SUMPRODUCT(R199:R203,R218:R222)</f>
        <v>917456.18630136631</v>
      </c>
      <c r="S233" s="13">
        <f t="shared" ref="S233" si="138">SUMPRODUCT(S199:S203,S218:S222)</f>
        <v>1093634.5260273952</v>
      </c>
      <c r="T233" s="46"/>
      <c r="U233" s="374" t="s">
        <v>532</v>
      </c>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row>
    <row r="234" spans="1:50">
      <c r="A234" s="373" t="s">
        <v>533</v>
      </c>
      <c r="B234" s="175" t="s">
        <v>308</v>
      </c>
      <c r="C234" s="294" t="s">
        <v>160</v>
      </c>
      <c r="D234" s="13">
        <f t="shared" ref="D234:K235" si="139">D214*D225</f>
        <v>670190.88507936033</v>
      </c>
      <c r="E234" s="13">
        <f t="shared" si="139"/>
        <v>473343.05153252423</v>
      </c>
      <c r="F234" s="13">
        <f t="shared" si="139"/>
        <v>430811.5289450736</v>
      </c>
      <c r="G234" s="13">
        <f t="shared" si="139"/>
        <v>323879.36845041078</v>
      </c>
      <c r="H234" s="13">
        <f t="shared" si="139"/>
        <v>276879.84476630139</v>
      </c>
      <c r="I234" s="13">
        <f t="shared" si="139"/>
        <v>273993.20403431653</v>
      </c>
      <c r="J234" s="13">
        <f t="shared" si="139"/>
        <v>269465.90524888987</v>
      </c>
      <c r="K234" s="13">
        <f t="shared" si="139"/>
        <v>275471.84908273874</v>
      </c>
      <c r="L234" s="13">
        <f>+P2a!D305</f>
        <v>275309.854885726</v>
      </c>
      <c r="M234" s="13">
        <f>+P2a!E305</f>
        <v>273639.40753869026</v>
      </c>
      <c r="N234" s="13">
        <f>+P2a!F305</f>
        <v>272783.77960493945</v>
      </c>
      <c r="O234" s="13">
        <f t="shared" ref="O234:Q235" si="140">O214*O225</f>
        <v>243142.81390000001</v>
      </c>
      <c r="P234" s="13">
        <f t="shared" si="140"/>
        <v>236880.9062</v>
      </c>
      <c r="Q234" s="13">
        <f t="shared" si="140"/>
        <v>251061.7452</v>
      </c>
      <c r="R234" s="13">
        <f t="shared" ref="R234:S234" si="141">R214*R225</f>
        <v>246852.79212949172</v>
      </c>
      <c r="S234" s="13">
        <f t="shared" si="141"/>
        <v>290371.30409025855</v>
      </c>
      <c r="T234" s="46"/>
      <c r="U234" s="171" t="s">
        <v>534</v>
      </c>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row>
    <row r="235" spans="1:50">
      <c r="A235" s="373" t="s">
        <v>535</v>
      </c>
      <c r="B235" s="175" t="s">
        <v>311</v>
      </c>
      <c r="C235" s="294" t="s">
        <v>160</v>
      </c>
      <c r="D235" s="13">
        <f t="shared" si="139"/>
        <v>8508148.331218835</v>
      </c>
      <c r="E235" s="13">
        <f t="shared" si="139"/>
        <v>6539551.3870475451</v>
      </c>
      <c r="F235" s="13">
        <f t="shared" si="139"/>
        <v>5734839.3795818882</v>
      </c>
      <c r="G235" s="13">
        <f t="shared" si="139"/>
        <v>4156230.517009797</v>
      </c>
      <c r="H235" s="13">
        <f t="shared" si="139"/>
        <v>3493965.0989527376</v>
      </c>
      <c r="I235" s="13">
        <f t="shared" si="139"/>
        <v>3392595.5755665558</v>
      </c>
      <c r="J235" s="13">
        <f t="shared" si="139"/>
        <v>3350283.980833312</v>
      </c>
      <c r="K235" s="13">
        <f t="shared" si="139"/>
        <v>3292129.6503381557</v>
      </c>
      <c r="L235" s="13">
        <f>+P2a!D306</f>
        <v>3231642.2902295897</v>
      </c>
      <c r="M235" s="13">
        <f>+P2a!E306</f>
        <v>3206599.4434404951</v>
      </c>
      <c r="N235" s="13">
        <f>+P2a!F306</f>
        <v>3201301.9811776178</v>
      </c>
      <c r="O235" s="13">
        <f t="shared" si="140"/>
        <v>3089984.821</v>
      </c>
      <c r="P235" s="13">
        <f t="shared" si="140"/>
        <v>3087293.44</v>
      </c>
      <c r="Q235" s="13">
        <f t="shared" si="140"/>
        <v>3166707.1062000003</v>
      </c>
      <c r="R235" s="13">
        <f t="shared" ref="R235:S235" si="142">R215*R226</f>
        <v>3091672.2648047884</v>
      </c>
      <c r="S235" s="13">
        <f t="shared" si="142"/>
        <v>3357352.8853677041</v>
      </c>
      <c r="T235" s="46"/>
      <c r="U235" s="171" t="s">
        <v>536</v>
      </c>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row>
    <row r="236" spans="1:50">
      <c r="A236" s="373" t="s">
        <v>537</v>
      </c>
      <c r="B236" s="175" t="s">
        <v>314</v>
      </c>
      <c r="C236" s="294" t="s">
        <v>160</v>
      </c>
      <c r="D236" s="13">
        <f t="shared" ref="D236:K236" si="143">D229*D230</f>
        <v>-81073.919999999998</v>
      </c>
      <c r="E236" s="13">
        <f t="shared" si="143"/>
        <v>-78494.880000000005</v>
      </c>
      <c r="F236" s="13">
        <f t="shared" si="143"/>
        <v>-79113.23</v>
      </c>
      <c r="G236" s="13">
        <f t="shared" si="143"/>
        <v>-77719.81</v>
      </c>
      <c r="H236" s="13">
        <f t="shared" si="143"/>
        <v>-74961.600000000006</v>
      </c>
      <c r="I236" s="13">
        <f t="shared" si="143"/>
        <v>-91885.05</v>
      </c>
      <c r="J236" s="13">
        <f t="shared" si="143"/>
        <v>-94354</v>
      </c>
      <c r="K236" s="13">
        <f t="shared" si="143"/>
        <v>-77541.563999999998</v>
      </c>
      <c r="L236" s="13">
        <f>+P2a!D307</f>
        <v>-84302.399999999994</v>
      </c>
      <c r="M236" s="13">
        <f>+P2a!E307</f>
        <v>-83172.600000000006</v>
      </c>
      <c r="N236" s="13">
        <f>+P2a!F307</f>
        <v>-85625.870072252786</v>
      </c>
      <c r="O236" s="13">
        <f t="shared" ref="O236:Q236" si="144">O229*O230</f>
        <v>-76032.051199995869</v>
      </c>
      <c r="P236" s="13">
        <f t="shared" si="144"/>
        <v>-86120.177500000005</v>
      </c>
      <c r="Q236" s="13">
        <f t="shared" si="144"/>
        <v>-85223.893500000006</v>
      </c>
      <c r="R236" s="13">
        <f t="shared" ref="R236:S236" si="145">R229*R230</f>
        <v>-88446.610273972634</v>
      </c>
      <c r="S236" s="13">
        <f t="shared" si="145"/>
        <v>-89531.608054794298</v>
      </c>
      <c r="T236" s="46"/>
      <c r="U236" s="171" t="s">
        <v>315</v>
      </c>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row>
    <row r="237" spans="1:50">
      <c r="A237" s="373" t="s">
        <v>538</v>
      </c>
      <c r="B237" s="175" t="s">
        <v>176</v>
      </c>
      <c r="C237" s="294" t="s">
        <v>160</v>
      </c>
      <c r="D237" s="13">
        <f t="shared" ref="D237:K237" si="146">SUM(D233:D236)</f>
        <v>10810171.121471571</v>
      </c>
      <c r="E237" s="13">
        <f t="shared" si="146"/>
        <v>7976751.3919134019</v>
      </c>
      <c r="F237" s="13">
        <f t="shared" si="146"/>
        <v>7082262.2155132722</v>
      </c>
      <c r="G237" s="13">
        <f t="shared" si="146"/>
        <v>5194858.3932684315</v>
      </c>
      <c r="H237" s="13">
        <f t="shared" si="146"/>
        <v>4401584.9218012309</v>
      </c>
      <c r="I237" s="13">
        <f t="shared" si="146"/>
        <v>4270407.4126609834</v>
      </c>
      <c r="J237" s="13">
        <f t="shared" si="146"/>
        <v>4213926.7573150769</v>
      </c>
      <c r="K237" s="13">
        <f t="shared" si="146"/>
        <v>4409080.1929551428</v>
      </c>
      <c r="L237" s="13">
        <f>+P2a!D308</f>
        <v>4314500.8437454533</v>
      </c>
      <c r="M237" s="13">
        <f>+P2a!E308</f>
        <v>4290860.4650046891</v>
      </c>
      <c r="N237" s="13">
        <f>+P2a!F308</f>
        <v>4265163.4143897258</v>
      </c>
      <c r="O237" s="13">
        <f t="shared" ref="O237:Q237" si="147">SUM(O233:O236)</f>
        <v>4142624.583700004</v>
      </c>
      <c r="P237" s="13">
        <f t="shared" si="147"/>
        <v>4109054.1687000003</v>
      </c>
      <c r="Q237" s="13">
        <f t="shared" si="147"/>
        <v>4263850.8579000002</v>
      </c>
      <c r="R237" s="13">
        <f t="shared" ref="R237:S237" si="148">SUM(R233:R236)</f>
        <v>4167534.6329616741</v>
      </c>
      <c r="S237" s="13">
        <f t="shared" si="148"/>
        <v>4651827.1074305633</v>
      </c>
      <c r="T237" s="46"/>
      <c r="U237" s="171" t="s">
        <v>166</v>
      </c>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row>
    <row r="238" spans="1:50">
      <c r="A238" s="375" t="s">
        <v>178</v>
      </c>
      <c r="C238" s="238"/>
      <c r="D238" s="7"/>
      <c r="E238" s="7"/>
      <c r="F238" s="7"/>
      <c r="G238" s="7"/>
      <c r="H238" s="7"/>
      <c r="I238" s="7"/>
      <c r="J238" s="7"/>
      <c r="K238" s="7"/>
      <c r="L238" s="7"/>
      <c r="M238" s="7"/>
      <c r="N238" s="7"/>
      <c r="O238" s="7"/>
      <c r="P238" s="7"/>
      <c r="Q238" s="7"/>
      <c r="T238" s="46"/>
      <c r="U238" s="171"/>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row>
    <row r="239" spans="1:50">
      <c r="A239" s="445" t="s">
        <v>178</v>
      </c>
      <c r="B239" s="443" t="s">
        <v>539</v>
      </c>
      <c r="C239" s="290"/>
      <c r="D239" s="8"/>
      <c r="E239" s="8"/>
      <c r="F239" s="8"/>
      <c r="G239" s="8"/>
      <c r="H239" s="8"/>
      <c r="I239" s="8"/>
      <c r="J239" s="8"/>
      <c r="K239" s="8"/>
      <c r="L239" s="8"/>
      <c r="M239" s="8"/>
      <c r="N239" s="8"/>
      <c r="O239" s="8"/>
      <c r="P239" s="8"/>
      <c r="Q239" s="8"/>
      <c r="R239" s="8"/>
      <c r="S239" s="8"/>
      <c r="T239" s="46"/>
      <c r="U239" s="171"/>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row>
    <row r="240" spans="1:50">
      <c r="A240" s="376" t="s">
        <v>540</v>
      </c>
      <c r="B240" s="20" t="s">
        <v>541</v>
      </c>
      <c r="C240" s="293" t="s">
        <v>210</v>
      </c>
      <c r="D240" s="11">
        <v>0</v>
      </c>
      <c r="E240" s="11">
        <v>112.6652</v>
      </c>
      <c r="F240" s="11">
        <v>377.89749999999998</v>
      </c>
      <c r="G240" s="11">
        <v>522.56780000000003</v>
      </c>
      <c r="H240" s="11">
        <v>17251.191500000001</v>
      </c>
      <c r="I240" s="11">
        <v>202605.35099999994</v>
      </c>
      <c r="J240" s="11">
        <v>440291.68800000026</v>
      </c>
      <c r="K240" s="11">
        <v>468929.93640000001</v>
      </c>
      <c r="L240" s="11">
        <f>+P2a!D311-L244</f>
        <v>425020.68120000267</v>
      </c>
      <c r="M240" s="11">
        <f>+P2a!E311</f>
        <v>405731.89869999985</v>
      </c>
      <c r="N240" s="11">
        <f>+P2a!F311-N244</f>
        <v>397590.32500000141</v>
      </c>
      <c r="O240" s="11">
        <v>381205.39640000009</v>
      </c>
      <c r="P240" s="11">
        <v>370496</v>
      </c>
      <c r="Q240" s="11">
        <v>454767</v>
      </c>
      <c r="R240" s="11">
        <v>448485.64719999902</v>
      </c>
      <c r="S240" s="11">
        <v>766561.84189999802</v>
      </c>
      <c r="T240" s="46"/>
      <c r="U240" s="171" t="s">
        <v>542</v>
      </c>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row>
    <row r="241" spans="1:50">
      <c r="A241" s="373" t="s">
        <v>543</v>
      </c>
      <c r="B241" s="20" t="s">
        <v>544</v>
      </c>
      <c r="C241" s="294" t="s">
        <v>160</v>
      </c>
      <c r="D241" s="35">
        <f>D240/D237</f>
        <v>0</v>
      </c>
      <c r="E241" s="35">
        <f>E240/E237</f>
        <v>1.4124195987130386E-5</v>
      </c>
      <c r="F241" s="35">
        <f>F240/F237</f>
        <v>5.3358303957207074E-5</v>
      </c>
      <c r="G241" s="35">
        <f t="shared" ref="G241:K241" si="149">G240/G237</f>
        <v>1.0059327135406627E-4</v>
      </c>
      <c r="H241" s="35">
        <f t="shared" si="149"/>
        <v>3.9193135669277086E-3</v>
      </c>
      <c r="I241" s="35">
        <f t="shared" si="149"/>
        <v>4.744403318505673E-2</v>
      </c>
      <c r="J241" s="35">
        <f t="shared" si="149"/>
        <v>0.10448489339205652</v>
      </c>
      <c r="K241" s="35">
        <f t="shared" si="149"/>
        <v>0.10635550180041164</v>
      </c>
      <c r="L241" s="35">
        <f>L240/L237</f>
        <v>9.8509815293265482E-2</v>
      </c>
      <c r="M241" s="35">
        <f>M240/M237</f>
        <v>9.4557234384352429E-2</v>
      </c>
      <c r="N241" s="35">
        <f>N240/N237</f>
        <v>9.3218075457230751E-2</v>
      </c>
      <c r="O241" s="35">
        <f>O240/O237</f>
        <v>9.2020261237267309E-2</v>
      </c>
      <c r="P241" s="35">
        <f t="shared" ref="P241:R241" si="150">P240/P237</f>
        <v>9.0165761946432429E-2</v>
      </c>
      <c r="Q241" s="35">
        <f t="shared" si="150"/>
        <v>0.1066564040713137</v>
      </c>
      <c r="R241" s="35">
        <f t="shared" si="150"/>
        <v>0.10761413802127927</v>
      </c>
      <c r="S241" s="35">
        <f>S240/S237</f>
        <v>0.16478725975768443</v>
      </c>
      <c r="T241" s="46"/>
      <c r="U241" s="171" t="s">
        <v>545</v>
      </c>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row>
    <row r="242" spans="1:50">
      <c r="A242" s="373" t="s">
        <v>546</v>
      </c>
      <c r="B242" s="20" t="s">
        <v>547</v>
      </c>
      <c r="C242" s="293" t="s">
        <v>210</v>
      </c>
      <c r="D242" s="11"/>
      <c r="E242" s="11"/>
      <c r="F242" s="11"/>
      <c r="G242" s="11"/>
      <c r="H242" s="11">
        <v>0</v>
      </c>
      <c r="I242" s="11">
        <v>0</v>
      </c>
      <c r="J242" s="11">
        <v>0</v>
      </c>
      <c r="K242" s="11">
        <v>176243.57640000101</v>
      </c>
      <c r="L242" s="11">
        <f>+P2a!D313-L244</f>
        <v>154705.05019999869</v>
      </c>
      <c r="M242" s="11">
        <f>+P2a!E313-M244</f>
        <v>153835.83049999998</v>
      </c>
      <c r="N242" s="11">
        <f>+P2a!F313-N244</f>
        <v>145835.29909999971</v>
      </c>
      <c r="O242" s="11">
        <f>178655.472599994-O244</f>
        <v>159990.55009999394</v>
      </c>
      <c r="P242" s="11">
        <v>161575</v>
      </c>
      <c r="Q242" s="11">
        <v>158337.5392</v>
      </c>
      <c r="R242" s="11">
        <v>159899.85990000001</v>
      </c>
      <c r="S242" s="11">
        <v>160359.83319999999</v>
      </c>
      <c r="T242" s="46"/>
      <c r="U242" s="171" t="s">
        <v>548</v>
      </c>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row>
    <row r="243" spans="1:50">
      <c r="A243" s="373" t="s">
        <v>549</v>
      </c>
      <c r="B243" s="20" t="s">
        <v>550</v>
      </c>
      <c r="C243" s="294" t="s">
        <v>160</v>
      </c>
      <c r="D243" s="35">
        <f>D242/D237</f>
        <v>0</v>
      </c>
      <c r="E243" s="35">
        <f>E242/E237</f>
        <v>0</v>
      </c>
      <c r="F243" s="35">
        <f t="shared" ref="F243:K243" si="151">F242/F237</f>
        <v>0</v>
      </c>
      <c r="G243" s="35">
        <f t="shared" si="151"/>
        <v>0</v>
      </c>
      <c r="H243" s="35">
        <f t="shared" si="151"/>
        <v>0</v>
      </c>
      <c r="I243" s="35">
        <f t="shared" si="151"/>
        <v>0</v>
      </c>
      <c r="J243" s="35">
        <f t="shared" si="151"/>
        <v>0</v>
      </c>
      <c r="K243" s="35">
        <f t="shared" si="151"/>
        <v>3.9972867057760514E-2</v>
      </c>
      <c r="L243" s="35">
        <f>L242/L237</f>
        <v>3.5856998480894485E-2</v>
      </c>
      <c r="M243" s="35">
        <f>M242/M237</f>
        <v>3.5851976953026339E-2</v>
      </c>
      <c r="N243" s="35">
        <f>N242/N237</f>
        <v>3.4192194983194174E-2</v>
      </c>
      <c r="O243" s="35">
        <f>O242/O237</f>
        <v>3.8620576609695499E-2</v>
      </c>
      <c r="P243" s="35">
        <f t="shared" ref="P243:S243" si="152">P242/P237</f>
        <v>3.9321701142508471E-2</v>
      </c>
      <c r="Q243" s="35">
        <f t="shared" si="152"/>
        <v>3.713486809854865E-2</v>
      </c>
      <c r="R243" s="35">
        <f t="shared" si="152"/>
        <v>3.8367973870049539E-2</v>
      </c>
      <c r="S243" s="35">
        <f t="shared" si="152"/>
        <v>3.4472440504904049E-2</v>
      </c>
      <c r="T243" s="46"/>
      <c r="U243" s="171" t="s">
        <v>551</v>
      </c>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row>
    <row r="244" spans="1:50">
      <c r="A244" s="373" t="s">
        <v>552</v>
      </c>
      <c r="B244" s="20" t="s">
        <v>332</v>
      </c>
      <c r="C244" s="293" t="s">
        <v>210</v>
      </c>
      <c r="D244" s="11"/>
      <c r="E244" s="11"/>
      <c r="F244" s="11"/>
      <c r="G244" s="11"/>
      <c r="H244" s="11">
        <v>0</v>
      </c>
      <c r="I244" s="11">
        <v>0</v>
      </c>
      <c r="J244" s="11">
        <v>0</v>
      </c>
      <c r="K244" s="11">
        <v>18816.354399999989</v>
      </c>
      <c r="L244" s="11">
        <f>+P2a!D315</f>
        <v>19000.896400000198</v>
      </c>
      <c r="M244" s="11">
        <f>+P2a!E315</f>
        <v>16105.399500000025</v>
      </c>
      <c r="N244" s="11">
        <f>+P2a!F315</f>
        <v>16031.56779999997</v>
      </c>
      <c r="O244" s="11">
        <v>18664.922500000088</v>
      </c>
      <c r="P244" s="11">
        <v>20465</v>
      </c>
      <c r="Q244" s="11">
        <v>20550</v>
      </c>
      <c r="R244" s="11">
        <v>20658.0736</v>
      </c>
      <c r="S244" s="11">
        <v>22359.7736</v>
      </c>
      <c r="T244" s="46"/>
      <c r="U244" s="171" t="s">
        <v>333</v>
      </c>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row>
    <row r="245" spans="1:50">
      <c r="A245" s="373" t="s">
        <v>553</v>
      </c>
      <c r="B245" s="20" t="s">
        <v>335</v>
      </c>
      <c r="C245" s="294" t="s">
        <v>160</v>
      </c>
      <c r="D245" s="35">
        <f t="shared" ref="D245:M245" si="153">D244/D237</f>
        <v>0</v>
      </c>
      <c r="E245" s="35">
        <f t="shared" si="153"/>
        <v>0</v>
      </c>
      <c r="F245" s="35">
        <f t="shared" si="153"/>
        <v>0</v>
      </c>
      <c r="G245" s="35">
        <f t="shared" si="153"/>
        <v>0</v>
      </c>
      <c r="H245" s="35">
        <f t="shared" si="153"/>
        <v>0</v>
      </c>
      <c r="I245" s="35">
        <f t="shared" si="153"/>
        <v>0</v>
      </c>
      <c r="J245" s="35">
        <f t="shared" si="153"/>
        <v>0</v>
      </c>
      <c r="K245" s="35">
        <f t="shared" si="153"/>
        <v>4.2676371434715301E-3</v>
      </c>
      <c r="L245" s="35">
        <f t="shared" si="153"/>
        <v>4.4039616836661372E-3</v>
      </c>
      <c r="M245" s="35">
        <f t="shared" si="153"/>
        <v>3.7534195370257572E-3</v>
      </c>
      <c r="N245" s="35">
        <f t="shared" ref="N245:R245" si="154">N244/N237</f>
        <v>3.7587229942733207E-3</v>
      </c>
      <c r="O245" s="35">
        <f t="shared" si="154"/>
        <v>4.5055790412293229E-3</v>
      </c>
      <c r="P245" s="35">
        <f t="shared" si="154"/>
        <v>4.9804648855419206E-3</v>
      </c>
      <c r="Q245" s="35">
        <f t="shared" si="154"/>
        <v>4.8195869613791159E-3</v>
      </c>
      <c r="R245" s="35">
        <f t="shared" si="154"/>
        <v>4.9569050816307822E-3</v>
      </c>
      <c r="S245" s="35">
        <f>S244/S237</f>
        <v>4.806664797211352E-3</v>
      </c>
      <c r="T245" s="46"/>
      <c r="U245" s="171"/>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row>
    <row r="246" spans="1:50">
      <c r="A246" s="375" t="s">
        <v>178</v>
      </c>
      <c r="C246" s="238"/>
      <c r="D246" s="7"/>
      <c r="E246" s="7"/>
      <c r="F246" s="7"/>
      <c r="G246" s="7"/>
      <c r="H246" s="7"/>
      <c r="I246" s="7"/>
      <c r="J246" s="7"/>
      <c r="K246" s="7"/>
      <c r="L246" s="7"/>
      <c r="M246" s="7"/>
      <c r="N246" s="7"/>
      <c r="O246" s="7"/>
      <c r="P246" s="7"/>
      <c r="Q246" s="7"/>
      <c r="T246" s="46"/>
      <c r="U246" s="171"/>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row>
    <row r="247" spans="1:50">
      <c r="A247" s="375" t="s">
        <v>178</v>
      </c>
      <c r="C247" s="238"/>
      <c r="D247" s="7"/>
      <c r="E247" s="7"/>
      <c r="F247" s="7"/>
      <c r="G247" s="7"/>
      <c r="H247" s="7"/>
      <c r="I247" s="7"/>
      <c r="J247" s="7"/>
      <c r="K247" s="7"/>
      <c r="L247" s="7"/>
      <c r="M247" s="7"/>
      <c r="N247" s="7"/>
      <c r="O247" s="7"/>
      <c r="P247" s="7"/>
      <c r="Q247" s="7"/>
      <c r="T247" s="46"/>
      <c r="U247" s="171"/>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row>
    <row r="248" spans="1:50">
      <c r="A248" s="375" t="s">
        <v>178</v>
      </c>
      <c r="C248" s="238"/>
      <c r="D248" s="7"/>
      <c r="E248" s="7"/>
      <c r="F248" s="7"/>
      <c r="G248" s="7"/>
      <c r="H248" s="7"/>
      <c r="I248" s="7"/>
      <c r="J248" s="7"/>
      <c r="K248" s="7"/>
      <c r="L248" s="7"/>
      <c r="M248" s="7"/>
      <c r="N248" s="7"/>
      <c r="O248" s="7"/>
      <c r="P248" s="7"/>
      <c r="Q248" s="7"/>
      <c r="T248" s="46"/>
      <c r="U248" s="171"/>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row>
    <row r="249" spans="1:50">
      <c r="A249" s="375" t="s">
        <v>178</v>
      </c>
      <c r="B249" s="9" t="s">
        <v>554</v>
      </c>
      <c r="C249" s="291"/>
      <c r="D249" s="7"/>
      <c r="E249" s="7"/>
      <c r="F249" s="7"/>
      <c r="G249" s="7"/>
      <c r="H249" s="7"/>
      <c r="I249" s="7"/>
      <c r="J249" s="7"/>
      <c r="K249" s="7"/>
      <c r="L249" s="7"/>
      <c r="M249" s="7"/>
      <c r="N249" s="7"/>
      <c r="O249" s="7"/>
      <c r="P249" s="7"/>
      <c r="Q249" s="7"/>
      <c r="T249" s="46"/>
      <c r="U249" s="171"/>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row>
    <row r="250" spans="1:50">
      <c r="A250" s="445" t="s">
        <v>178</v>
      </c>
      <c r="B250" s="163" t="s">
        <v>337</v>
      </c>
      <c r="C250" s="26" t="s">
        <v>152</v>
      </c>
      <c r="D250" s="26" t="str">
        <f>+D$14</f>
        <v>2010-11 RF</v>
      </c>
      <c r="E250" s="26" t="str">
        <f t="shared" ref="E250:O250" si="155">+E$14</f>
        <v>2011-12 RF</v>
      </c>
      <c r="F250" s="26" t="str">
        <f t="shared" si="155"/>
        <v>2012-13 RF</v>
      </c>
      <c r="G250" s="26" t="str">
        <f t="shared" si="155"/>
        <v>2013-14 RF</v>
      </c>
      <c r="H250" s="26" t="str">
        <f t="shared" si="155"/>
        <v>2014-15 RF</v>
      </c>
      <c r="I250" s="26" t="str">
        <f t="shared" si="155"/>
        <v>2015-16 RF</v>
      </c>
      <c r="J250" s="26" t="str">
        <f t="shared" si="155"/>
        <v>2016-17 RF</v>
      </c>
      <c r="K250" s="26" t="str">
        <f t="shared" si="155"/>
        <v>2017-18 RF</v>
      </c>
      <c r="L250" s="26" t="str">
        <f t="shared" si="155"/>
        <v>2018-19 RF</v>
      </c>
      <c r="M250" s="26" t="str">
        <f t="shared" si="155"/>
        <v>2019-20 month</v>
      </c>
      <c r="N250" s="26" t="str">
        <f t="shared" si="155"/>
        <v>2019-20 RF</v>
      </c>
      <c r="O250" s="26" t="str">
        <f t="shared" si="155"/>
        <v>2020-21 month</v>
      </c>
      <c r="P250" s="440" t="s">
        <v>18</v>
      </c>
      <c r="Q250" s="440" t="s">
        <v>155</v>
      </c>
      <c r="R250" s="26" t="s">
        <v>20</v>
      </c>
      <c r="S250" s="26" t="s">
        <v>156</v>
      </c>
      <c r="T250" s="46"/>
      <c r="U250" s="171"/>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row>
    <row r="251" spans="1:50">
      <c r="A251" s="376" t="s">
        <v>555</v>
      </c>
      <c r="B251" s="10" t="s">
        <v>209</v>
      </c>
      <c r="C251" s="293" t="s">
        <v>210</v>
      </c>
      <c r="D251" s="11">
        <v>67871.486082117553</v>
      </c>
      <c r="E251" s="11">
        <v>77713.387978142098</v>
      </c>
      <c r="F251" s="11">
        <v>79490.564383560981</v>
      </c>
      <c r="G251" s="11">
        <v>80526.882191780474</v>
      </c>
      <c r="H251" s="11">
        <v>81165.090410960314</v>
      </c>
      <c r="I251" s="11">
        <v>82829.054644809075</v>
      </c>
      <c r="J251" s="11">
        <v>84842.895890413143</v>
      </c>
      <c r="K251" s="11">
        <v>94779.172602741455</v>
      </c>
      <c r="L251" s="11">
        <f>+P2a!D320</f>
        <v>95839.005479453757</v>
      </c>
      <c r="M251" s="11">
        <f>+P2a!E320-1061</f>
        <v>97071.144808742218</v>
      </c>
      <c r="N251" s="11">
        <f>+P2a!F320</f>
        <v>97367.275956287063</v>
      </c>
      <c r="O251" s="11">
        <f>98873.6849315023-1054</f>
        <v>97819.684931502299</v>
      </c>
      <c r="P251" s="11">
        <v>98213.991780821845</v>
      </c>
      <c r="Q251" s="11">
        <v>99329.249315063658</v>
      </c>
      <c r="R251" s="11">
        <v>99107.235616437203</v>
      </c>
      <c r="S251" s="11">
        <v>100129.33150683899</v>
      </c>
      <c r="T251" s="46"/>
      <c r="U251" s="374" t="s">
        <v>556</v>
      </c>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row>
    <row r="252" spans="1:50">
      <c r="A252" s="373" t="s">
        <v>557</v>
      </c>
      <c r="B252" s="12" t="s">
        <v>213</v>
      </c>
      <c r="C252" s="293" t="s">
        <v>210</v>
      </c>
      <c r="D252" s="11">
        <v>5807.922298630072</v>
      </c>
      <c r="E252" s="11">
        <v>5839.8442622950797</v>
      </c>
      <c r="F252" s="11">
        <v>5771.4602739726033</v>
      </c>
      <c r="G252" s="11">
        <v>5647.068493150683</v>
      </c>
      <c r="H252" s="11">
        <v>5685.7178082191776</v>
      </c>
      <c r="I252" s="11">
        <v>5872.6748633879752</v>
      </c>
      <c r="J252" s="11">
        <v>5907.5150684931541</v>
      </c>
      <c r="K252" s="11">
        <v>6418.5561643835699</v>
      </c>
      <c r="L252" s="11">
        <f>+P2a!D321</f>
        <v>6242.7780821917968</v>
      </c>
      <c r="M252" s="11">
        <f>+P2a!E321</f>
        <v>6272.1612021858118</v>
      </c>
      <c r="N252" s="11">
        <f>+P2a!F321</f>
        <v>6216.1120218579781</v>
      </c>
      <c r="O252" s="11">
        <v>6215.0602739726128</v>
      </c>
      <c r="P252" s="11">
        <v>6180.1945205479442</v>
      </c>
      <c r="Q252" s="11">
        <v>6170.5561643835626</v>
      </c>
      <c r="R252" s="11">
        <v>6140.7671232876701</v>
      </c>
      <c r="S252" s="11">
        <v>6126.2164383560103</v>
      </c>
      <c r="T252" s="46"/>
      <c r="U252" s="171" t="s">
        <v>558</v>
      </c>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row>
    <row r="253" spans="1:50">
      <c r="A253" s="373" t="s">
        <v>559</v>
      </c>
      <c r="B253" s="12" t="s">
        <v>216</v>
      </c>
      <c r="C253" s="293" t="s">
        <v>210</v>
      </c>
      <c r="D253" s="11">
        <v>1107.1082082191799</v>
      </c>
      <c r="E253" s="11">
        <v>1201.907103825137</v>
      </c>
      <c r="F253" s="11">
        <v>1279.2684931506858</v>
      </c>
      <c r="G253" s="11">
        <v>1322.4273972602741</v>
      </c>
      <c r="H253" s="11">
        <v>1369.8821917808216</v>
      </c>
      <c r="I253" s="11">
        <v>1351.1092896174862</v>
      </c>
      <c r="J253" s="11">
        <v>1353.8164383561648</v>
      </c>
      <c r="K253" s="11">
        <v>1437.6493150684926</v>
      </c>
      <c r="L253" s="11">
        <f>+P2a!D322</f>
        <v>1424.8657534246574</v>
      </c>
      <c r="M253" s="11">
        <f>+P2a!E322</f>
        <v>1459.4234972677602</v>
      </c>
      <c r="N253" s="11">
        <f>+P2a!F322</f>
        <v>1449.1174863387969</v>
      </c>
      <c r="O253" s="11">
        <v>1479.6438356164381</v>
      </c>
      <c r="P253" s="11">
        <v>1466.8082191780823</v>
      </c>
      <c r="Q253" s="11">
        <v>1503.8328767123262</v>
      </c>
      <c r="R253" s="11">
        <v>1502.7479452054699</v>
      </c>
      <c r="S253" s="11">
        <v>1531.0027397260101</v>
      </c>
      <c r="T253" s="46"/>
      <c r="U253" s="171" t="s">
        <v>560</v>
      </c>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row>
    <row r="254" spans="1:50">
      <c r="A254" s="373" t="s">
        <v>561</v>
      </c>
      <c r="B254" s="12" t="s">
        <v>219</v>
      </c>
      <c r="C254" s="293" t="s">
        <v>210</v>
      </c>
      <c r="D254" s="11">
        <v>781.51560821917838</v>
      </c>
      <c r="E254" s="11">
        <v>886.44808743169324</v>
      </c>
      <c r="F254" s="11">
        <v>913.28219178082179</v>
      </c>
      <c r="G254" s="11">
        <v>938.30136986301341</v>
      </c>
      <c r="H254" s="11">
        <v>957.20273972602786</v>
      </c>
      <c r="I254" s="11">
        <v>896.65573770491801</v>
      </c>
      <c r="J254" s="11">
        <v>867.53972602739759</v>
      </c>
      <c r="K254" s="11">
        <v>892.47123287671207</v>
      </c>
      <c r="L254" s="11">
        <f>+P2a!D323</f>
        <v>872.76438356164397</v>
      </c>
      <c r="M254" s="11">
        <f>+P2a!E323</f>
        <v>874.84972677595647</v>
      </c>
      <c r="N254" s="11">
        <f>+P2a!F323</f>
        <v>868.59836065573836</v>
      </c>
      <c r="O254" s="11">
        <v>862.95342465753424</v>
      </c>
      <c r="P254" s="11">
        <v>854.64657534246578</v>
      </c>
      <c r="Q254" s="11">
        <v>857.35342465753274</v>
      </c>
      <c r="R254" s="11">
        <v>851.23287671232902</v>
      </c>
      <c r="S254" s="11">
        <v>855.19726027397405</v>
      </c>
      <c r="T254" s="46"/>
      <c r="U254" s="171" t="s">
        <v>562</v>
      </c>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row>
    <row r="255" spans="1:50">
      <c r="A255" s="373" t="s">
        <v>563</v>
      </c>
      <c r="B255" s="12" t="s">
        <v>222</v>
      </c>
      <c r="C255" s="293" t="s">
        <v>210</v>
      </c>
      <c r="D255" s="11">
        <v>200.59621369863012</v>
      </c>
      <c r="E255" s="11">
        <v>183.64207650273224</v>
      </c>
      <c r="F255" s="11">
        <v>189.53150684931489</v>
      </c>
      <c r="G255" s="11">
        <v>160.01917808219176</v>
      </c>
      <c r="H255" s="11">
        <v>155.96164383561646</v>
      </c>
      <c r="I255" s="11">
        <v>140.2431693989071</v>
      </c>
      <c r="J255" s="11">
        <v>140.26027397260273</v>
      </c>
      <c r="K255" s="11">
        <v>170.46027397260275</v>
      </c>
      <c r="L255" s="11">
        <f>+P2a!D324</f>
        <v>167.48767123287675</v>
      </c>
      <c r="M255" s="11">
        <f>+P2a!E324</f>
        <v>167.8306010928961</v>
      </c>
      <c r="N255" s="11">
        <f>+P2a!F324</f>
        <v>162.34153005464486</v>
      </c>
      <c r="O255" s="11">
        <v>167.38356164383561</v>
      </c>
      <c r="P255" s="11">
        <v>160.7698630136986</v>
      </c>
      <c r="Q255" s="11">
        <v>152.59452054794536</v>
      </c>
      <c r="R255" s="11">
        <v>148.19178082191701</v>
      </c>
      <c r="S255" s="11">
        <v>150.85479452054699</v>
      </c>
      <c r="T255" s="46"/>
      <c r="U255" s="171" t="s">
        <v>564</v>
      </c>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row>
    <row r="256" spans="1:50">
      <c r="A256" s="373" t="s">
        <v>565</v>
      </c>
      <c r="B256" s="12" t="s">
        <v>349</v>
      </c>
      <c r="C256" s="293" t="s">
        <v>210</v>
      </c>
      <c r="D256" s="11">
        <v>28.241095890410957</v>
      </c>
      <c r="E256" s="11">
        <v>30.434426229508198</v>
      </c>
      <c r="F256" s="11">
        <v>28.408219178082199</v>
      </c>
      <c r="G256" s="11">
        <v>30.024657534246572</v>
      </c>
      <c r="H256" s="11">
        <v>26.561643835616437</v>
      </c>
      <c r="I256" s="11">
        <v>20.423497267759565</v>
      </c>
      <c r="J256" s="11">
        <v>16.657534246575342</v>
      </c>
      <c r="K256" s="11">
        <v>18.287671232876711</v>
      </c>
      <c r="L256" s="11">
        <f>+P2a!D325</f>
        <v>17.635616438356166</v>
      </c>
      <c r="M256" s="11">
        <f>+P2a!E325</f>
        <v>18</v>
      </c>
      <c r="N256" s="11">
        <f>+P2a!F325</f>
        <v>16</v>
      </c>
      <c r="O256" s="11">
        <v>16.586301369863016</v>
      </c>
      <c r="P256" s="11">
        <v>17.745205479452057</v>
      </c>
      <c r="Q256" s="11">
        <v>18.986301369863011</v>
      </c>
      <c r="R256" s="11">
        <v>19.301369863013701</v>
      </c>
      <c r="S256" s="11">
        <v>20.2438356164383</v>
      </c>
      <c r="T256" s="46"/>
      <c r="U256" s="171" t="s">
        <v>566</v>
      </c>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row>
    <row r="257" spans="1:50">
      <c r="A257" s="373" t="s">
        <v>567</v>
      </c>
      <c r="B257" s="12" t="s">
        <v>352</v>
      </c>
      <c r="C257" s="293" t="s">
        <v>210</v>
      </c>
      <c r="D257" s="11">
        <v>5.353424657534247</v>
      </c>
      <c r="E257" s="11">
        <v>6.9617486338797816</v>
      </c>
      <c r="F257" s="11">
        <v>5.6328767123287671</v>
      </c>
      <c r="G257" s="11">
        <v>5.7424657534246579</v>
      </c>
      <c r="H257" s="11">
        <v>5.7287671232876711</v>
      </c>
      <c r="I257" s="11">
        <v>5.5245901639344268</v>
      </c>
      <c r="J257" s="11">
        <v>3.0657534246575344</v>
      </c>
      <c r="K257" s="11">
        <v>4.3561643835616435</v>
      </c>
      <c r="L257" s="11">
        <f>+P2a!D326</f>
        <v>2.6219178082191781</v>
      </c>
      <c r="M257" s="11">
        <f>+P2a!E326</f>
        <v>2.5027322404371586</v>
      </c>
      <c r="N257" s="11">
        <f>+P2a!F326</f>
        <v>2</v>
      </c>
      <c r="O257" s="11">
        <v>2</v>
      </c>
      <c r="P257" s="11">
        <v>2</v>
      </c>
      <c r="Q257" s="11">
        <v>1.9999999999999996</v>
      </c>
      <c r="R257" s="11">
        <v>2</v>
      </c>
      <c r="S257" s="11">
        <v>2</v>
      </c>
      <c r="T257" s="46"/>
      <c r="U257" s="171" t="s">
        <v>568</v>
      </c>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row>
    <row r="258" spans="1:50">
      <c r="A258" s="373" t="s">
        <v>569</v>
      </c>
      <c r="B258" s="16" t="s">
        <v>225</v>
      </c>
      <c r="C258" s="294" t="s">
        <v>160</v>
      </c>
      <c r="D258" s="6">
        <f>SUM(D251:D257)</f>
        <v>75802.222931432567</v>
      </c>
      <c r="E258" s="6">
        <f t="shared" ref="E258:K258" si="156">SUM(E251:E257)</f>
        <v>85862.625683060134</v>
      </c>
      <c r="F258" s="6">
        <f t="shared" si="156"/>
        <v>87678.147945204822</v>
      </c>
      <c r="G258" s="6">
        <f t="shared" si="156"/>
        <v>88630.465753424302</v>
      </c>
      <c r="H258" s="6">
        <f t="shared" si="156"/>
        <v>89366.145205480876</v>
      </c>
      <c r="I258" s="6">
        <f t="shared" si="156"/>
        <v>91115.68579235005</v>
      </c>
      <c r="J258" s="6">
        <f t="shared" si="156"/>
        <v>93131.750684933708</v>
      </c>
      <c r="K258" s="6">
        <f t="shared" si="156"/>
        <v>103720.95342465925</v>
      </c>
      <c r="L258" s="6">
        <f>SUM(L251:L257)</f>
        <v>104567.15890411132</v>
      </c>
      <c r="M258" s="6">
        <f>SUM(M251:M257)</f>
        <v>105865.91256830508</v>
      </c>
      <c r="N258" s="6">
        <f>SUM(N251:N257)</f>
        <v>106081.44535519423</v>
      </c>
      <c r="O258" s="6">
        <f>SUM(O251:O257)</f>
        <v>106563.31232876259</v>
      </c>
      <c r="P258" s="6">
        <f t="shared" ref="P258:Q258" si="157">SUM(P251:P257)</f>
        <v>106896.1561643835</v>
      </c>
      <c r="Q258" s="6">
        <f t="shared" si="157"/>
        <v>108034.5726027349</v>
      </c>
      <c r="R258" s="6">
        <f>SUM(R251:R257)</f>
        <v>107771.4767123276</v>
      </c>
      <c r="S258" s="6">
        <f t="shared" ref="S258" si="158">SUM(S251:S257)</f>
        <v>108814.84657533198</v>
      </c>
      <c r="T258" s="46"/>
      <c r="U258" s="171" t="s">
        <v>570</v>
      </c>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row>
    <row r="259" spans="1:50">
      <c r="A259" s="375" t="s">
        <v>178</v>
      </c>
      <c r="B259" s="9"/>
      <c r="C259" s="291"/>
      <c r="D259" s="7"/>
      <c r="E259" s="7"/>
      <c r="F259" s="7"/>
      <c r="G259" s="7"/>
      <c r="H259" s="7"/>
      <c r="I259" s="7"/>
      <c r="J259" s="7"/>
      <c r="K259" s="7"/>
      <c r="L259" s="7"/>
      <c r="M259" s="7"/>
      <c r="N259" s="7"/>
      <c r="O259" s="7"/>
      <c r="P259" s="7"/>
      <c r="Q259" s="7"/>
      <c r="T259" s="46"/>
      <c r="U259" s="171"/>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row>
    <row r="260" spans="1:50">
      <c r="A260" s="373" t="s">
        <v>571</v>
      </c>
      <c r="B260" s="12" t="s">
        <v>366</v>
      </c>
      <c r="C260" s="293" t="s">
        <v>210</v>
      </c>
      <c r="D260" s="413">
        <v>0</v>
      </c>
      <c r="E260" s="11">
        <v>0</v>
      </c>
      <c r="F260" s="11">
        <v>0</v>
      </c>
      <c r="G260" s="413">
        <v>0.41643835616438357</v>
      </c>
      <c r="H260" s="11">
        <v>267.54246575342472</v>
      </c>
      <c r="I260" s="11">
        <v>2183.5546448087293</v>
      </c>
      <c r="J260" s="413">
        <v>3893.8794520547958</v>
      </c>
      <c r="K260" s="11">
        <v>4955.5863013698672</v>
      </c>
      <c r="L260" s="413">
        <v>6196.6547945205557</v>
      </c>
      <c r="M260" s="11">
        <v>6957.8224043715845</v>
      </c>
      <c r="N260" s="11">
        <f>7362.51912568313-N262</f>
        <v>6890.2267759563529</v>
      </c>
      <c r="O260" s="11">
        <v>7320.2767123287667</v>
      </c>
      <c r="P260" s="11">
        <v>7351</v>
      </c>
      <c r="Q260" s="11">
        <v>8145</v>
      </c>
      <c r="R260" s="11">
        <v>8074.6931506849296</v>
      </c>
      <c r="S260" s="11">
        <v>8799.5999999999894</v>
      </c>
      <c r="T260" s="46"/>
      <c r="U260" s="185" t="s">
        <v>572</v>
      </c>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row>
    <row r="261" spans="1:50">
      <c r="A261" s="373" t="s">
        <v>573</v>
      </c>
      <c r="B261" s="12" t="s">
        <v>369</v>
      </c>
      <c r="C261" s="293" t="s">
        <v>210</v>
      </c>
      <c r="D261" s="413">
        <v>12212.72054794524</v>
      </c>
      <c r="E261" s="11">
        <v>11469.349726775936</v>
      </c>
      <c r="F261" s="11">
        <v>9981.1150684931508</v>
      </c>
      <c r="G261" s="413">
        <v>9079.7589041095507</v>
      </c>
      <c r="H261" s="11">
        <v>8887.0849315067589</v>
      </c>
      <c r="I261" s="11">
        <v>8987.7158469946298</v>
      </c>
      <c r="J261" s="413">
        <v>8850.150684931481</v>
      </c>
      <c r="K261" s="11">
        <v>7430.1260273972521</v>
      </c>
      <c r="L261" s="413">
        <v>7434.0465753424642</v>
      </c>
      <c r="M261" s="11">
        <f>7913.19398907104-M262</f>
        <v>7435.5163934426246</v>
      </c>
      <c r="N261" s="11">
        <f>7767.00546448087-N262</f>
        <v>7294.7131147540931</v>
      </c>
      <c r="O261" s="11">
        <f>12645.3178082192-O262</f>
        <v>11832.515068493174</v>
      </c>
      <c r="P261" s="11">
        <v>8805</v>
      </c>
      <c r="Q261" s="11">
        <v>8113</v>
      </c>
      <c r="R261" s="11">
        <v>8216.20547945205</v>
      </c>
      <c r="S261" s="11">
        <v>8092.76438356164</v>
      </c>
      <c r="T261" s="46"/>
      <c r="U261" s="185" t="s">
        <v>574</v>
      </c>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row>
    <row r="262" spans="1:50">
      <c r="A262" s="373" t="s">
        <v>575</v>
      </c>
      <c r="B262" s="12" t="s">
        <v>372</v>
      </c>
      <c r="C262" s="293" t="s">
        <v>210</v>
      </c>
      <c r="D262" s="413">
        <v>0</v>
      </c>
      <c r="E262" s="11">
        <v>0</v>
      </c>
      <c r="F262" s="11">
        <v>0</v>
      </c>
      <c r="G262" s="413">
        <v>6.8493150684931503E-2</v>
      </c>
      <c r="H262" s="11">
        <v>36.569863013698622</v>
      </c>
      <c r="I262" s="11">
        <v>204.40437158469939</v>
      </c>
      <c r="J262" s="413">
        <v>327.20821917808195</v>
      </c>
      <c r="K262" s="11">
        <v>412.9753424657535</v>
      </c>
      <c r="L262" s="413">
        <v>446.45205479452068</v>
      </c>
      <c r="M262" s="11">
        <v>477.67759562841536</v>
      </c>
      <c r="N262" s="11">
        <v>472.29234972677705</v>
      </c>
      <c r="O262" s="11">
        <v>812.80273972602743</v>
      </c>
      <c r="P262" s="11">
        <v>655</v>
      </c>
      <c r="Q262" s="11">
        <v>578</v>
      </c>
      <c r="R262" s="11">
        <v>568.47397260273897</v>
      </c>
      <c r="S262" s="11">
        <v>554.42465753424597</v>
      </c>
      <c r="T262" s="46"/>
      <c r="U262" s="185" t="s">
        <v>576</v>
      </c>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row>
    <row r="263" spans="1:50">
      <c r="A263" s="373" t="s">
        <v>577</v>
      </c>
      <c r="B263" s="12" t="s">
        <v>237</v>
      </c>
      <c r="C263" s="293" t="s">
        <v>210</v>
      </c>
      <c r="D263" s="413">
        <v>0</v>
      </c>
      <c r="E263" s="413">
        <v>0</v>
      </c>
      <c r="F263" s="413">
        <v>0</v>
      </c>
      <c r="G263" s="413">
        <v>230.33</v>
      </c>
      <c r="H263" s="413">
        <v>115258.46</v>
      </c>
      <c r="I263" s="413">
        <v>730388.04</v>
      </c>
      <c r="J263" s="413">
        <v>1063703.72</v>
      </c>
      <c r="K263" s="413">
        <v>1334574.42</v>
      </c>
      <c r="L263" s="413">
        <v>1289500.1399999997</v>
      </c>
      <c r="M263" s="413">
        <v>1650764.7007999995</v>
      </c>
      <c r="N263" s="413">
        <f>1558508.1002-N264</f>
        <v>1523720.1202</v>
      </c>
      <c r="O263" s="413">
        <f>1507611.9518-O264</f>
        <v>1479234.2892999998</v>
      </c>
      <c r="P263" s="11">
        <v>1396740.3563000001</v>
      </c>
      <c r="Q263" s="11">
        <v>1756906.0932999901</v>
      </c>
      <c r="R263" s="11">
        <v>1709864.875</v>
      </c>
      <c r="S263" s="11">
        <v>2014842.83389999</v>
      </c>
      <c r="T263" s="46"/>
      <c r="U263" s="185" t="s">
        <v>237</v>
      </c>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row>
    <row r="264" spans="1:50">
      <c r="A264" s="373" t="s">
        <v>578</v>
      </c>
      <c r="B264" s="12" t="s">
        <v>239</v>
      </c>
      <c r="C264" s="293" t="s">
        <v>210</v>
      </c>
      <c r="D264" s="413">
        <v>0</v>
      </c>
      <c r="E264" s="413">
        <v>0</v>
      </c>
      <c r="F264" s="413">
        <v>0</v>
      </c>
      <c r="G264" s="413">
        <v>0</v>
      </c>
      <c r="H264" s="413">
        <v>0</v>
      </c>
      <c r="I264" s="413">
        <v>0</v>
      </c>
      <c r="J264" s="413">
        <v>0</v>
      </c>
      <c r="K264" s="413">
        <v>20615.490000000002</v>
      </c>
      <c r="L264" s="413">
        <v>28841.919999999995</v>
      </c>
      <c r="M264" s="413">
        <v>16183.339</v>
      </c>
      <c r="N264" s="413">
        <v>34787.980000000003</v>
      </c>
      <c r="O264" s="413">
        <v>28377.662499999999</v>
      </c>
      <c r="P264" s="11">
        <v>37435</v>
      </c>
      <c r="Q264" s="11">
        <v>21352</v>
      </c>
      <c r="R264" s="11">
        <v>39890.629999999997</v>
      </c>
      <c r="S264" s="11">
        <v>18179.9987</v>
      </c>
      <c r="T264" s="46"/>
      <c r="U264" s="185" t="s">
        <v>239</v>
      </c>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row>
    <row r="265" spans="1:50">
      <c r="A265" s="373" t="s">
        <v>579</v>
      </c>
      <c r="B265" s="12" t="s">
        <v>241</v>
      </c>
      <c r="C265" s="293" t="s">
        <v>210</v>
      </c>
      <c r="D265" s="413">
        <v>0</v>
      </c>
      <c r="E265" s="413">
        <v>0</v>
      </c>
      <c r="F265" s="413">
        <v>0</v>
      </c>
      <c r="G265" s="414">
        <f>+G263/G260</f>
        <v>553.09506578947367</v>
      </c>
      <c r="H265" s="414">
        <f t="shared" ref="H265:M265" si="159">+H263/H260</f>
        <v>430.80435726500968</v>
      </c>
      <c r="I265" s="414">
        <f t="shared" si="159"/>
        <v>334.49496752300382</v>
      </c>
      <c r="J265" s="414">
        <f t="shared" si="159"/>
        <v>273.17325384551509</v>
      </c>
      <c r="K265" s="414">
        <f t="shared" si="159"/>
        <v>269.30706859672387</v>
      </c>
      <c r="L265" s="414">
        <f t="shared" si="159"/>
        <v>208.09617168609279</v>
      </c>
      <c r="M265" s="414">
        <f t="shared" si="159"/>
        <v>237.25306638508445</v>
      </c>
      <c r="N265" s="414">
        <f>+N263/N260</f>
        <v>221.14223083586535</v>
      </c>
      <c r="O265" s="414">
        <f>+O263/O260</f>
        <v>202.07354823195169</v>
      </c>
      <c r="P265" s="165">
        <f t="shared" ref="P265:S265" si="160">+P263/P260</f>
        <v>190.00685026527003</v>
      </c>
      <c r="Q265" s="165">
        <f t="shared" si="160"/>
        <v>215.70363330877717</v>
      </c>
      <c r="R265" s="165">
        <f t="shared" si="160"/>
        <v>211.75601884697772</v>
      </c>
      <c r="S265" s="165">
        <f t="shared" si="160"/>
        <v>228.96982066230197</v>
      </c>
      <c r="T265" s="46"/>
      <c r="U265" s="185" t="s">
        <v>241</v>
      </c>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row>
    <row r="266" spans="1:50">
      <c r="A266" s="375" t="s">
        <v>178</v>
      </c>
      <c r="B266" s="9"/>
      <c r="C266" s="291"/>
      <c r="D266" s="7"/>
      <c r="E266" s="7"/>
      <c r="F266" s="7"/>
      <c r="G266" s="7"/>
      <c r="H266" s="7"/>
      <c r="I266" s="7"/>
      <c r="J266" s="7"/>
      <c r="K266" s="7"/>
      <c r="L266" s="7"/>
      <c r="M266" s="7"/>
      <c r="N266" s="7"/>
      <c r="O266" s="7"/>
      <c r="P266" s="7"/>
      <c r="Q266" s="7"/>
      <c r="T266" s="46"/>
      <c r="U266" s="171"/>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row>
    <row r="267" spans="1:50">
      <c r="A267" s="445" t="s">
        <v>178</v>
      </c>
      <c r="B267" s="284" t="s">
        <v>510</v>
      </c>
      <c r="C267" s="295"/>
      <c r="D267" s="7"/>
      <c r="E267" s="7"/>
      <c r="F267" s="7"/>
      <c r="G267" s="7"/>
      <c r="H267" s="7"/>
      <c r="I267" s="7"/>
      <c r="J267" s="7"/>
      <c r="K267" s="7"/>
      <c r="L267" s="7"/>
      <c r="M267" s="7"/>
      <c r="N267" s="7"/>
      <c r="O267" s="7"/>
      <c r="P267" s="7"/>
      <c r="Q267" s="7"/>
      <c r="T267" s="46"/>
      <c r="U267" s="171"/>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row>
    <row r="268" spans="1:50">
      <c r="A268" s="376" t="s">
        <v>580</v>
      </c>
      <c r="B268" s="12" t="s">
        <v>581</v>
      </c>
      <c r="C268" s="293" t="s">
        <v>210</v>
      </c>
      <c r="D268" s="11">
        <v>4464324.9851012016</v>
      </c>
      <c r="E268" s="11">
        <v>4693696.9172677621</v>
      </c>
      <c r="F268" s="11">
        <v>4773374.9357534219</v>
      </c>
      <c r="G268" s="11">
        <v>4822523.1245205551</v>
      </c>
      <c r="H268" s="11">
        <v>4824203.0202739816</v>
      </c>
      <c r="I268" s="11">
        <v>4841113.1262295088</v>
      </c>
      <c r="J268" s="11">
        <v>4790261.2290410949</v>
      </c>
      <c r="K268" s="11">
        <v>4877761.6713698572</v>
      </c>
      <c r="L268" s="11">
        <f>+P2a!D330</f>
        <v>4832236.4104109667</v>
      </c>
      <c r="M268" s="11">
        <f>+P2a!E330</f>
        <v>4815973.2602980947</v>
      </c>
      <c r="N268" s="11">
        <f>+P2a!F330</f>
        <v>4771208.3934649946</v>
      </c>
      <c r="O268" s="11">
        <v>4779215.3728357246</v>
      </c>
      <c r="P268" s="11">
        <v>4458112</v>
      </c>
      <c r="Q268" s="11">
        <v>4629660</v>
      </c>
      <c r="R268" s="11">
        <v>4656209.4106575297</v>
      </c>
      <c r="S268" s="11">
        <v>4729925.7544657504</v>
      </c>
      <c r="T268" s="46"/>
      <c r="U268" s="171" t="s">
        <v>582</v>
      </c>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row>
    <row r="269" spans="1:50">
      <c r="A269" s="373" t="s">
        <v>583</v>
      </c>
      <c r="B269" s="16" t="s">
        <v>265</v>
      </c>
      <c r="C269" s="293" t="s">
        <v>210</v>
      </c>
      <c r="D269" s="11">
        <v>48451137.546303652</v>
      </c>
      <c r="E269" s="11">
        <v>47015701.144317053</v>
      </c>
      <c r="F269" s="11">
        <v>46107853.98273956</v>
      </c>
      <c r="G269" s="11">
        <v>47163690.985890336</v>
      </c>
      <c r="H269" s="11">
        <v>47007115.693972796</v>
      </c>
      <c r="I269" s="11">
        <v>47708226.9029506</v>
      </c>
      <c r="J269" s="11">
        <v>48872347.993561625</v>
      </c>
      <c r="K269" s="11">
        <v>49699448.266438492</v>
      </c>
      <c r="L269" s="11">
        <f>+P2a!D331</f>
        <v>49611241.227945499</v>
      </c>
      <c r="M269" s="11">
        <f>+P2a!E331</f>
        <v>50778348.943581596</v>
      </c>
      <c r="N269" s="11">
        <f>+P2a!F331</f>
        <v>48775769.294932507</v>
      </c>
      <c r="O269" s="11">
        <v>39520480.090227872</v>
      </c>
      <c r="P269" s="11">
        <v>37785839</v>
      </c>
      <c r="Q269" s="11">
        <v>43423640</v>
      </c>
      <c r="R269" s="11">
        <v>43234907.831572399</v>
      </c>
      <c r="S269" s="11">
        <v>46610590.122440301</v>
      </c>
      <c r="T269" s="46"/>
      <c r="U269" s="171" t="s">
        <v>584</v>
      </c>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row>
    <row r="270" spans="1:50">
      <c r="A270" s="375" t="s">
        <v>178</v>
      </c>
      <c r="B270" s="9"/>
      <c r="C270" s="291"/>
      <c r="D270" s="7"/>
      <c r="E270" s="7"/>
      <c r="F270" s="7"/>
      <c r="G270" s="7"/>
      <c r="H270" s="7"/>
      <c r="I270" s="7"/>
      <c r="J270" s="7"/>
      <c r="K270" s="7"/>
      <c r="L270" s="7"/>
      <c r="M270" s="7"/>
      <c r="N270" s="7"/>
      <c r="O270" s="7"/>
      <c r="P270" s="7"/>
      <c r="Q270" s="7"/>
      <c r="T270" s="46"/>
      <c r="U270" s="171"/>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row>
    <row r="271" spans="1:50">
      <c r="A271" s="445" t="s">
        <v>178</v>
      </c>
      <c r="B271" s="284" t="s">
        <v>585</v>
      </c>
      <c r="C271" s="295"/>
      <c r="D271" s="7"/>
      <c r="E271" s="7"/>
      <c r="F271" s="7"/>
      <c r="G271" s="7"/>
      <c r="H271" s="7"/>
      <c r="I271" s="7"/>
      <c r="J271" s="7"/>
      <c r="K271" s="7"/>
      <c r="L271" s="7"/>
      <c r="M271" s="7"/>
      <c r="N271" s="7"/>
      <c r="O271" s="7"/>
      <c r="P271" s="7"/>
      <c r="Q271" s="7"/>
      <c r="T271" s="46"/>
      <c r="U271" s="171"/>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row>
    <row r="272" spans="1:50">
      <c r="A272" s="376" t="s">
        <v>586</v>
      </c>
      <c r="B272" s="16" t="s">
        <v>209</v>
      </c>
      <c r="C272" s="293" t="s">
        <v>210</v>
      </c>
      <c r="D272" s="11">
        <v>70</v>
      </c>
      <c r="E272" s="11">
        <v>57</v>
      </c>
      <c r="F272" s="11">
        <v>51</v>
      </c>
      <c r="G272" s="11">
        <v>49</v>
      </c>
      <c r="H272" s="11">
        <v>47</v>
      </c>
      <c r="I272" s="11">
        <v>47</v>
      </c>
      <c r="J272" s="11">
        <v>47</v>
      </c>
      <c r="K272" s="11">
        <v>47</v>
      </c>
      <c r="L272" s="11">
        <f>+P2a!D334</f>
        <v>48</v>
      </c>
      <c r="M272" s="11">
        <f>+P2a!E334</f>
        <v>49</v>
      </c>
      <c r="N272" s="11">
        <f>+P2a!F334</f>
        <v>49</v>
      </c>
      <c r="O272" s="11">
        <v>50</v>
      </c>
      <c r="P272" s="11">
        <v>50</v>
      </c>
      <c r="Q272" s="11">
        <v>51</v>
      </c>
      <c r="R272" s="11">
        <v>51</v>
      </c>
      <c r="S272" s="11">
        <v>53</v>
      </c>
      <c r="T272" s="46"/>
      <c r="U272" s="171" t="s">
        <v>587</v>
      </c>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row>
    <row r="273" spans="1:50">
      <c r="A273" s="373" t="s">
        <v>588</v>
      </c>
      <c r="B273" s="12" t="s">
        <v>213</v>
      </c>
      <c r="C273" s="293" t="s">
        <v>210</v>
      </c>
      <c r="D273" s="11">
        <v>140</v>
      </c>
      <c r="E273" s="11">
        <v>115</v>
      </c>
      <c r="F273" s="11">
        <v>105</v>
      </c>
      <c r="G273" s="11">
        <v>102</v>
      </c>
      <c r="H273" s="11">
        <v>98</v>
      </c>
      <c r="I273" s="11">
        <v>99</v>
      </c>
      <c r="J273" s="11">
        <v>99</v>
      </c>
      <c r="K273" s="11">
        <v>100</v>
      </c>
      <c r="L273" s="11">
        <f>+P2a!D335</f>
        <v>101</v>
      </c>
      <c r="M273" s="11">
        <f>+P2a!E335</f>
        <v>102</v>
      </c>
      <c r="N273" s="11">
        <f>+P2a!F335</f>
        <v>102</v>
      </c>
      <c r="O273" s="11">
        <v>103</v>
      </c>
      <c r="P273" s="11">
        <v>103</v>
      </c>
      <c r="Q273" s="11">
        <v>106</v>
      </c>
      <c r="R273" s="11">
        <v>106</v>
      </c>
      <c r="S273" s="11">
        <v>110</v>
      </c>
      <c r="T273" s="46"/>
      <c r="U273" s="171" t="s">
        <v>589</v>
      </c>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row>
    <row r="274" spans="1:50">
      <c r="A274" s="373" t="s">
        <v>590</v>
      </c>
      <c r="B274" s="12" t="s">
        <v>216</v>
      </c>
      <c r="C274" s="293" t="s">
        <v>210</v>
      </c>
      <c r="D274" s="11">
        <v>553</v>
      </c>
      <c r="E274" s="11">
        <v>454</v>
      </c>
      <c r="F274" s="11">
        <v>413</v>
      </c>
      <c r="G274" s="11">
        <v>400</v>
      </c>
      <c r="H274" s="11">
        <v>385</v>
      </c>
      <c r="I274" s="11">
        <v>389</v>
      </c>
      <c r="J274" s="11">
        <v>387</v>
      </c>
      <c r="K274" s="11">
        <v>389</v>
      </c>
      <c r="L274" s="11">
        <f>+P2a!D336</f>
        <v>397</v>
      </c>
      <c r="M274" s="11">
        <f>+P2a!E336</f>
        <v>404</v>
      </c>
      <c r="N274" s="11">
        <f>+P2a!F336</f>
        <v>404</v>
      </c>
      <c r="O274" s="11">
        <v>412</v>
      </c>
      <c r="P274" s="11">
        <v>412</v>
      </c>
      <c r="Q274" s="11">
        <v>422</v>
      </c>
      <c r="R274" s="11">
        <v>422</v>
      </c>
      <c r="S274" s="11">
        <v>440</v>
      </c>
      <c r="T274" s="46"/>
      <c r="U274" s="171" t="s">
        <v>420</v>
      </c>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row>
    <row r="275" spans="1:50">
      <c r="A275" s="373" t="s">
        <v>591</v>
      </c>
      <c r="B275" s="12" t="s">
        <v>219</v>
      </c>
      <c r="C275" s="293" t="s">
        <v>210</v>
      </c>
      <c r="D275" s="11">
        <v>823</v>
      </c>
      <c r="E275" s="11">
        <v>677</v>
      </c>
      <c r="F275" s="11">
        <v>615</v>
      </c>
      <c r="G275" s="11">
        <v>596</v>
      </c>
      <c r="H275" s="11">
        <v>574</v>
      </c>
      <c r="I275" s="11">
        <v>580</v>
      </c>
      <c r="J275" s="11">
        <v>578</v>
      </c>
      <c r="K275" s="11">
        <v>581</v>
      </c>
      <c r="L275" s="11">
        <f>+P2a!D337</f>
        <v>593</v>
      </c>
      <c r="M275" s="11">
        <f>+P2a!E337</f>
        <v>605</v>
      </c>
      <c r="N275" s="11">
        <f>+P2a!F337</f>
        <v>605</v>
      </c>
      <c r="O275" s="11">
        <v>617</v>
      </c>
      <c r="P275" s="11">
        <v>617</v>
      </c>
      <c r="Q275" s="11">
        <v>632</v>
      </c>
      <c r="R275" s="11">
        <v>632</v>
      </c>
      <c r="S275" s="11">
        <v>659</v>
      </c>
      <c r="T275" s="46"/>
      <c r="U275" s="171" t="s">
        <v>275</v>
      </c>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row>
    <row r="276" spans="1:50">
      <c r="A276" s="373" t="s">
        <v>592</v>
      </c>
      <c r="B276" s="12" t="s">
        <v>222</v>
      </c>
      <c r="C276" s="293" t="s">
        <v>210</v>
      </c>
      <c r="D276" s="11">
        <v>2230</v>
      </c>
      <c r="E276" s="11">
        <v>1834</v>
      </c>
      <c r="F276" s="11">
        <v>1667</v>
      </c>
      <c r="G276" s="11">
        <v>1616</v>
      </c>
      <c r="H276" s="11">
        <v>1556</v>
      </c>
      <c r="I276" s="11">
        <v>1572</v>
      </c>
      <c r="J276" s="11">
        <v>1566</v>
      </c>
      <c r="K276" s="11">
        <v>1575</v>
      </c>
      <c r="L276" s="11">
        <f>+P2a!D338</f>
        <v>1607</v>
      </c>
      <c r="M276" s="11">
        <f>+P2a!E338</f>
        <v>1639</v>
      </c>
      <c r="N276" s="11">
        <f>+P2a!F338</f>
        <v>1639</v>
      </c>
      <c r="O276" s="11">
        <v>1672</v>
      </c>
      <c r="P276" s="11">
        <v>1672</v>
      </c>
      <c r="Q276" s="11">
        <v>1714</v>
      </c>
      <c r="R276" s="11">
        <v>1714</v>
      </c>
      <c r="S276" s="11">
        <v>1786</v>
      </c>
      <c r="T276" s="46"/>
      <c r="U276" s="171" t="s">
        <v>593</v>
      </c>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row>
    <row r="277" spans="1:50">
      <c r="A277" s="373" t="s">
        <v>594</v>
      </c>
      <c r="B277" s="12" t="s">
        <v>349</v>
      </c>
      <c r="C277" s="293" t="s">
        <v>210</v>
      </c>
      <c r="D277" s="11">
        <v>3961</v>
      </c>
      <c r="E277" s="11">
        <v>3257</v>
      </c>
      <c r="F277" s="11">
        <v>2962</v>
      </c>
      <c r="G277" s="11">
        <v>2871</v>
      </c>
      <c r="H277" s="11">
        <v>2765</v>
      </c>
      <c r="I277" s="11">
        <v>2793</v>
      </c>
      <c r="J277" s="11">
        <v>2782</v>
      </c>
      <c r="K277" s="11">
        <v>2799</v>
      </c>
      <c r="L277" s="11">
        <f>+P2a!D339</f>
        <v>2855</v>
      </c>
      <c r="M277" s="11">
        <f>+P2a!E339</f>
        <v>2912</v>
      </c>
      <c r="N277" s="11">
        <f>+P2a!F339</f>
        <v>2912</v>
      </c>
      <c r="O277" s="11">
        <v>2970</v>
      </c>
      <c r="P277" s="11">
        <v>2970</v>
      </c>
      <c r="Q277" s="11">
        <v>3044</v>
      </c>
      <c r="R277" s="11">
        <v>3044</v>
      </c>
      <c r="S277" s="11">
        <v>3172</v>
      </c>
      <c r="T277" s="46"/>
      <c r="U277" s="171" t="s">
        <v>595</v>
      </c>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row>
    <row r="278" spans="1:50">
      <c r="A278" s="373" t="s">
        <v>596</v>
      </c>
      <c r="B278" s="16" t="s">
        <v>352</v>
      </c>
      <c r="C278" s="293" t="s">
        <v>210</v>
      </c>
      <c r="D278" s="11">
        <v>12690</v>
      </c>
      <c r="E278" s="11">
        <v>10436</v>
      </c>
      <c r="F278" s="11">
        <v>9488</v>
      </c>
      <c r="G278" s="11">
        <v>9198</v>
      </c>
      <c r="H278" s="11">
        <v>8858</v>
      </c>
      <c r="I278" s="11">
        <v>8947</v>
      </c>
      <c r="J278" s="11">
        <v>8911</v>
      </c>
      <c r="K278" s="11">
        <v>8964</v>
      </c>
      <c r="L278" s="11">
        <f>+P2a!D340</f>
        <v>9143</v>
      </c>
      <c r="M278" s="11">
        <f>+P2a!E340</f>
        <v>9326</v>
      </c>
      <c r="N278" s="11">
        <f>+P2a!F340</f>
        <v>9326</v>
      </c>
      <c r="O278" s="11">
        <v>9513</v>
      </c>
      <c r="P278" s="11">
        <v>9513</v>
      </c>
      <c r="Q278" s="11">
        <v>9751</v>
      </c>
      <c r="R278" s="11">
        <v>9751</v>
      </c>
      <c r="S278" s="11">
        <v>10161</v>
      </c>
      <c r="T278" s="46"/>
      <c r="U278" s="171" t="s">
        <v>426</v>
      </c>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row>
    <row r="279" spans="1:50">
      <c r="A279" s="375" t="s">
        <v>178</v>
      </c>
      <c r="B279" s="9"/>
      <c r="C279" s="291"/>
      <c r="D279" s="7"/>
      <c r="E279" s="7"/>
      <c r="F279" s="7"/>
      <c r="G279" s="7"/>
      <c r="H279" s="7"/>
      <c r="I279" s="7"/>
      <c r="J279" s="7"/>
      <c r="K279" s="7"/>
      <c r="L279" s="7"/>
      <c r="M279" s="7"/>
      <c r="N279" s="7"/>
      <c r="O279" s="7"/>
      <c r="P279" s="7"/>
      <c r="Q279" s="7"/>
      <c r="T279" s="46"/>
      <c r="U279" s="171"/>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row>
    <row r="280" spans="1:50">
      <c r="A280" s="445" t="s">
        <v>178</v>
      </c>
      <c r="B280" s="284" t="s">
        <v>522</v>
      </c>
      <c r="C280" s="295"/>
      <c r="D280" s="7"/>
      <c r="E280" s="7"/>
      <c r="F280" s="7"/>
      <c r="G280" s="7"/>
      <c r="H280" s="7"/>
      <c r="I280" s="7"/>
      <c r="J280" s="7"/>
      <c r="K280" s="7"/>
      <c r="L280" s="7"/>
      <c r="M280" s="7"/>
      <c r="N280" s="7"/>
      <c r="O280" s="7"/>
      <c r="P280" s="7"/>
      <c r="Q280" s="7"/>
      <c r="T280" s="46"/>
      <c r="U280" s="171"/>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row>
    <row r="281" spans="1:50">
      <c r="A281" s="376" t="s">
        <v>597</v>
      </c>
      <c r="B281" s="16" t="s">
        <v>283</v>
      </c>
      <c r="C281" s="293" t="s">
        <v>210</v>
      </c>
      <c r="D281" s="11">
        <v>0.93559999999999999</v>
      </c>
      <c r="E281" s="11">
        <v>0.76939999999999997</v>
      </c>
      <c r="F281" s="11">
        <v>0.69950000000000001</v>
      </c>
      <c r="G281" s="11">
        <v>0.67810000000000004</v>
      </c>
      <c r="H281" s="11">
        <v>0.65300000000000002</v>
      </c>
      <c r="I281" s="11">
        <v>0.65949999999999998</v>
      </c>
      <c r="J281" s="11">
        <v>0.65690000000000004</v>
      </c>
      <c r="K281" s="11">
        <v>0.66080000000000005</v>
      </c>
      <c r="L281" s="11">
        <f>+P2a!D343</f>
        <v>0.67400000000000004</v>
      </c>
      <c r="M281" s="11">
        <f>+P2a!E343</f>
        <v>0.6875</v>
      </c>
      <c r="N281" s="11">
        <f>+P2a!F343</f>
        <v>0.6875</v>
      </c>
      <c r="O281" s="11">
        <v>0.70130000000000003</v>
      </c>
      <c r="P281" s="11">
        <v>0.70130000000000003</v>
      </c>
      <c r="Q281" s="11">
        <v>0.71879999999999999</v>
      </c>
      <c r="R281" s="11">
        <v>0.71879999999999999</v>
      </c>
      <c r="S281" s="11">
        <v>0.749</v>
      </c>
      <c r="T281" s="46"/>
      <c r="U281" s="171" t="s">
        <v>524</v>
      </c>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row>
    <row r="282" spans="1:50">
      <c r="A282" s="373" t="s">
        <v>598</v>
      </c>
      <c r="B282" s="16" t="s">
        <v>526</v>
      </c>
      <c r="C282" s="293" t="s">
        <v>210</v>
      </c>
      <c r="D282" s="11">
        <v>1.1217999999999999</v>
      </c>
      <c r="E282" s="11">
        <v>0.92249999999999999</v>
      </c>
      <c r="F282" s="11">
        <v>0.83879999999999999</v>
      </c>
      <c r="G282" s="11">
        <v>0.81310000000000004</v>
      </c>
      <c r="H282" s="11">
        <v>0.78300000000000003</v>
      </c>
      <c r="I282" s="11">
        <v>0.79079999999999995</v>
      </c>
      <c r="J282" s="11">
        <v>0.78720000000000001</v>
      </c>
      <c r="K282" s="11">
        <v>0.79190000000000005</v>
      </c>
      <c r="L282" s="11">
        <f>+P2a!D344</f>
        <v>0.80769999999999997</v>
      </c>
      <c r="M282" s="11">
        <f>+P2a!E344</f>
        <v>0.82389999999999997</v>
      </c>
      <c r="N282" s="11">
        <f>+P2a!F344</f>
        <v>0.82389999999999997</v>
      </c>
      <c r="O282" s="11">
        <v>0.84040000000000004</v>
      </c>
      <c r="P282" s="11">
        <v>0.84040000000000004</v>
      </c>
      <c r="Q282" s="11">
        <v>0.86140000000000005</v>
      </c>
      <c r="R282" s="11">
        <v>0.86140000000000005</v>
      </c>
      <c r="S282" s="11">
        <v>0.89759999999999995</v>
      </c>
      <c r="T282" s="46"/>
      <c r="U282" s="171" t="s">
        <v>527</v>
      </c>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row>
    <row r="283" spans="1:50">
      <c r="A283" s="375" t="s">
        <v>178</v>
      </c>
      <c r="B283" s="21"/>
      <c r="C283" s="22"/>
      <c r="D283" s="21"/>
      <c r="E283" s="21"/>
      <c r="F283" s="21"/>
      <c r="G283" s="21"/>
      <c r="H283" s="21"/>
      <c r="I283" s="21"/>
      <c r="J283" s="21"/>
      <c r="K283" s="21"/>
      <c r="L283" s="21"/>
      <c r="M283" s="21"/>
      <c r="N283" s="21"/>
      <c r="O283" s="21"/>
      <c r="P283" s="21"/>
      <c r="Q283" s="21"/>
      <c r="R283" s="21"/>
      <c r="S283" s="21"/>
      <c r="T283" s="46"/>
      <c r="U283" s="171"/>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row>
    <row r="284" spans="1:50">
      <c r="A284" s="445" t="s">
        <v>178</v>
      </c>
      <c r="B284" s="284" t="s">
        <v>461</v>
      </c>
      <c r="C284" s="295"/>
      <c r="D284" s="7"/>
      <c r="E284" s="7"/>
      <c r="F284" s="7"/>
      <c r="G284" s="7"/>
      <c r="H284" s="7"/>
      <c r="I284" s="7"/>
      <c r="J284" s="7"/>
      <c r="K284" s="7"/>
      <c r="L284" s="7"/>
      <c r="M284" s="7"/>
      <c r="N284" s="7"/>
      <c r="O284" s="7"/>
      <c r="P284" s="7"/>
      <c r="Q284" s="7"/>
      <c r="T284" s="46"/>
      <c r="U284" s="171"/>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row>
    <row r="285" spans="1:50">
      <c r="A285" s="376" t="s">
        <v>599</v>
      </c>
      <c r="B285" s="16" t="s">
        <v>600</v>
      </c>
      <c r="C285" s="293" t="s">
        <v>210</v>
      </c>
      <c r="D285" s="11">
        <v>154457.18</v>
      </c>
      <c r="E285" s="11">
        <v>229381.75699999998</v>
      </c>
      <c r="F285" s="11">
        <v>147867.51</v>
      </c>
      <c r="G285" s="11">
        <v>168919.8</v>
      </c>
      <c r="H285" s="11">
        <v>178152.86000000002</v>
      </c>
      <c r="I285" s="11">
        <v>165126.00999999998</v>
      </c>
      <c r="J285" s="11">
        <v>178045.03</v>
      </c>
      <c r="K285" s="11">
        <v>179286.39999999999</v>
      </c>
      <c r="L285" s="11">
        <f>+P2a!D347</f>
        <v>70303.3</v>
      </c>
      <c r="M285" s="11">
        <f>+P2a!E347</f>
        <v>75686.877899999934</v>
      </c>
      <c r="N285" s="11">
        <f>+P2a!F347</f>
        <v>71196.950500000006</v>
      </c>
      <c r="O285" s="11">
        <v>96054.141799999998</v>
      </c>
      <c r="P285" s="11">
        <v>73708</v>
      </c>
      <c r="Q285" s="11">
        <v>82146</v>
      </c>
      <c r="R285" s="11">
        <v>61718.25</v>
      </c>
      <c r="S285" s="11">
        <v>0</v>
      </c>
      <c r="T285" s="46"/>
      <c r="U285" s="171" t="s">
        <v>601</v>
      </c>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row>
    <row r="286" spans="1:50">
      <c r="A286" s="373" t="s">
        <v>602</v>
      </c>
      <c r="B286" s="16" t="s">
        <v>603</v>
      </c>
      <c r="C286" s="293" t="s">
        <v>210</v>
      </c>
      <c r="D286" s="11">
        <v>145804.70990000002</v>
      </c>
      <c r="E286" s="11">
        <v>121070.4397</v>
      </c>
      <c r="F286" s="11">
        <v>170094.44510000004</v>
      </c>
      <c r="G286" s="11">
        <v>80853.002899999992</v>
      </c>
      <c r="H286" s="11">
        <v>94287.87410000003</v>
      </c>
      <c r="I286" s="11">
        <v>105940.2257</v>
      </c>
      <c r="J286" s="11">
        <v>129275.52190000001</v>
      </c>
      <c r="K286" s="11">
        <v>154847.51439999999</v>
      </c>
      <c r="L286" s="11">
        <f>+P2a!D348</f>
        <v>75239.027700000006</v>
      </c>
      <c r="M286" s="11">
        <f>+P2a!E348</f>
        <v>99247.954200000022</v>
      </c>
      <c r="N286" s="11">
        <f>+P2a!F348</f>
        <v>77179.753599999982</v>
      </c>
      <c r="O286" s="11">
        <v>107706.9436</v>
      </c>
      <c r="P286" s="11">
        <v>64302.17</v>
      </c>
      <c r="Q286" s="11">
        <v>93387</v>
      </c>
      <c r="R286" s="11">
        <v>51071.02</v>
      </c>
      <c r="S286" s="11">
        <v>0</v>
      </c>
      <c r="T286" s="46"/>
      <c r="U286" s="171" t="s">
        <v>604</v>
      </c>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row>
    <row r="287" spans="1:50">
      <c r="A287" s="375" t="s">
        <v>178</v>
      </c>
      <c r="B287" s="9"/>
      <c r="C287" s="291"/>
      <c r="D287" s="7"/>
      <c r="E287" s="7"/>
      <c r="F287" s="7"/>
      <c r="G287" s="7"/>
      <c r="H287" s="7"/>
      <c r="I287" s="7"/>
      <c r="J287" s="7"/>
      <c r="K287" s="7"/>
      <c r="L287" s="7"/>
      <c r="M287" s="7"/>
      <c r="N287" s="7"/>
      <c r="O287" s="7"/>
      <c r="P287" s="7"/>
      <c r="Q287" s="7"/>
      <c r="T287" s="46"/>
      <c r="U287" s="171"/>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row>
    <row r="288" spans="1:50">
      <c r="A288" s="445" t="s">
        <v>178</v>
      </c>
      <c r="B288" s="284" t="s">
        <v>303</v>
      </c>
      <c r="C288" s="295"/>
      <c r="D288" s="7"/>
      <c r="E288" s="7"/>
      <c r="F288" s="7"/>
      <c r="G288" s="7"/>
      <c r="H288" s="7"/>
      <c r="I288" s="7"/>
      <c r="J288" s="7"/>
      <c r="K288" s="7"/>
      <c r="L288" s="7"/>
      <c r="M288" s="7"/>
      <c r="N288" s="7"/>
      <c r="O288" s="7"/>
      <c r="P288" s="7"/>
      <c r="Q288" s="7"/>
      <c r="T288" s="46"/>
      <c r="U288" s="171"/>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row>
    <row r="289" spans="1:50">
      <c r="A289" s="376" t="s">
        <v>605</v>
      </c>
      <c r="B289" s="175" t="s">
        <v>606</v>
      </c>
      <c r="C289" s="294" t="s">
        <v>160</v>
      </c>
      <c r="D289" s="6">
        <f>SUMPRODUCT(D251:D257,D272:D278)</f>
        <v>7446658.8285400029</v>
      </c>
      <c r="E289" s="6">
        <f t="shared" ref="E289:G289" si="161">SUMPRODUCT(E251:E257,E272:E278)</f>
        <v>6755613.6885245908</v>
      </c>
      <c r="F289" s="6">
        <f t="shared" si="161"/>
        <v>6203567.4493150339</v>
      </c>
      <c r="G289" s="6">
        <f t="shared" si="161"/>
        <v>6007627.772602723</v>
      </c>
      <c r="H289" s="6">
        <f t="shared" ref="H289:M289" si="162">SUMPRODUCT(H251:H257,H272:H278)</f>
        <v>5815663.2931507528</v>
      </c>
      <c r="I289" s="6">
        <f t="shared" si="162"/>
        <v>5846935.8196721468</v>
      </c>
      <c r="J289" s="6">
        <f t="shared" si="162"/>
        <v>5891132.8000001032</v>
      </c>
      <c r="K289" s="6">
        <f t="shared" si="162"/>
        <v>6532958.8794521373</v>
      </c>
      <c r="L289" s="6">
        <f t="shared" si="162"/>
        <v>6657488.4000000823</v>
      </c>
      <c r="M289" s="6">
        <f t="shared" si="162"/>
        <v>6865968.5519125238</v>
      </c>
      <c r="N289" s="6">
        <f t="shared" ref="N289:S289" si="163">SUMPRODUCT(N251:N257,N272:N278)</f>
        <v>6847307.1885247398</v>
      </c>
      <c r="O289" s="6">
        <f t="shared" si="163"/>
        <v>7021343.6082189521</v>
      </c>
      <c r="P289" s="6">
        <f t="shared" si="163"/>
        <v>7019438.0191780776</v>
      </c>
      <c r="Q289" s="6">
        <f t="shared" si="163"/>
        <v>7235178.8164381078</v>
      </c>
      <c r="R289" s="6">
        <f t="shared" si="163"/>
        <v>7209785.2246574694</v>
      </c>
      <c r="S289" s="6">
        <f t="shared" si="163"/>
        <v>7571916.6876706602</v>
      </c>
      <c r="T289" s="46"/>
      <c r="U289" s="171" t="s">
        <v>469</v>
      </c>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row>
    <row r="290" spans="1:50">
      <c r="A290" s="373" t="s">
        <v>607</v>
      </c>
      <c r="B290" s="175" t="s">
        <v>308</v>
      </c>
      <c r="C290" s="294" t="s">
        <v>160</v>
      </c>
      <c r="D290" s="6">
        <f t="shared" ref="D290:G290" si="164">D268*D281</f>
        <v>4176822.4560606843</v>
      </c>
      <c r="E290" s="6">
        <f t="shared" si="164"/>
        <v>3611330.4081458161</v>
      </c>
      <c r="F290" s="6">
        <f t="shared" si="164"/>
        <v>3338975.7675595186</v>
      </c>
      <c r="G290" s="6">
        <f t="shared" si="164"/>
        <v>3270152.9307373888</v>
      </c>
      <c r="H290" s="6">
        <f t="shared" ref="H290:K291" si="165">H268*H281</f>
        <v>3150204.57223891</v>
      </c>
      <c r="I290" s="6">
        <f t="shared" si="165"/>
        <v>3192714.1067483611</v>
      </c>
      <c r="J290" s="6">
        <f t="shared" si="165"/>
        <v>3146722.6013570954</v>
      </c>
      <c r="K290" s="6">
        <f t="shared" si="165"/>
        <v>3223224.912441202</v>
      </c>
      <c r="L290" s="6">
        <f t="shared" ref="L290:S291" si="166">L268*L281</f>
        <v>3256927.3406169917</v>
      </c>
      <c r="M290" s="6">
        <f t="shared" si="166"/>
        <v>3310981.6164549403</v>
      </c>
      <c r="N290" s="6">
        <f t="shared" si="166"/>
        <v>3280205.7705071839</v>
      </c>
      <c r="O290" s="6">
        <f t="shared" si="166"/>
        <v>3351663.7409696938</v>
      </c>
      <c r="P290" s="6">
        <f t="shared" si="166"/>
        <v>3126473.9456000002</v>
      </c>
      <c r="Q290" s="6">
        <f t="shared" si="166"/>
        <v>3327799.608</v>
      </c>
      <c r="R290" s="6">
        <f t="shared" si="166"/>
        <v>3346883.3243806325</v>
      </c>
      <c r="S290" s="6">
        <f t="shared" si="166"/>
        <v>3542714.390094847</v>
      </c>
      <c r="T290" s="46"/>
      <c r="U290" s="171" t="s">
        <v>471</v>
      </c>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row>
    <row r="291" spans="1:50">
      <c r="A291" s="373" t="s">
        <v>608</v>
      </c>
      <c r="B291" s="175" t="s">
        <v>311</v>
      </c>
      <c r="C291" s="294" t="s">
        <v>160</v>
      </c>
      <c r="D291" s="6">
        <f t="shared" ref="D291:G291" si="167">D269*D282</f>
        <v>54352486.099443436</v>
      </c>
      <c r="E291" s="6">
        <f t="shared" si="167"/>
        <v>43371984.305632479</v>
      </c>
      <c r="F291" s="6">
        <f t="shared" si="167"/>
        <v>38675267.920721941</v>
      </c>
      <c r="G291" s="6">
        <f t="shared" si="167"/>
        <v>38348797.140627436</v>
      </c>
      <c r="H291" s="6">
        <f t="shared" si="165"/>
        <v>36806571.588380702</v>
      </c>
      <c r="I291" s="6">
        <f t="shared" si="165"/>
        <v>37727665.834853329</v>
      </c>
      <c r="J291" s="6">
        <f t="shared" si="165"/>
        <v>38472312.340531714</v>
      </c>
      <c r="K291" s="6">
        <f t="shared" si="165"/>
        <v>39356993.082192644</v>
      </c>
      <c r="L291" s="6">
        <f t="shared" si="166"/>
        <v>40070999.539811581</v>
      </c>
      <c r="M291" s="6">
        <f t="shared" si="166"/>
        <v>41836281.694616877</v>
      </c>
      <c r="N291" s="6">
        <f t="shared" si="166"/>
        <v>40186356.322094887</v>
      </c>
      <c r="O291" s="6">
        <f t="shared" si="166"/>
        <v>33213011.467827506</v>
      </c>
      <c r="P291" s="6">
        <f t="shared" si="166"/>
        <v>31755219.095600002</v>
      </c>
      <c r="Q291" s="6">
        <f t="shared" si="166"/>
        <v>37405123.495999999</v>
      </c>
      <c r="R291" s="6">
        <f t="shared" si="166"/>
        <v>37242549.606116466</v>
      </c>
      <c r="S291" s="6">
        <f t="shared" si="166"/>
        <v>41837665.693902411</v>
      </c>
      <c r="T291" s="46"/>
      <c r="U291" s="171" t="s">
        <v>473</v>
      </c>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row>
    <row r="292" spans="1:50">
      <c r="A292" s="373" t="s">
        <v>609</v>
      </c>
      <c r="B292" s="175" t="s">
        <v>475</v>
      </c>
      <c r="C292" s="294" t="s">
        <v>160</v>
      </c>
      <c r="D292" s="6">
        <f>D286</f>
        <v>145804.70990000002</v>
      </c>
      <c r="E292" s="6">
        <f t="shared" ref="E292:G292" si="168">E286</f>
        <v>121070.4397</v>
      </c>
      <c r="F292" s="6">
        <f t="shared" si="168"/>
        <v>170094.44510000004</v>
      </c>
      <c r="G292" s="6">
        <f t="shared" si="168"/>
        <v>80853.002899999992</v>
      </c>
      <c r="H292" s="6">
        <f t="shared" ref="H292:M292" si="169">H286</f>
        <v>94287.87410000003</v>
      </c>
      <c r="I292" s="6">
        <f t="shared" si="169"/>
        <v>105940.2257</v>
      </c>
      <c r="J292" s="6">
        <f t="shared" si="169"/>
        <v>129275.52190000001</v>
      </c>
      <c r="K292" s="6">
        <f t="shared" si="169"/>
        <v>154847.51439999999</v>
      </c>
      <c r="L292" s="6">
        <f t="shared" si="169"/>
        <v>75239.027700000006</v>
      </c>
      <c r="M292" s="6">
        <f t="shared" si="169"/>
        <v>99247.954200000022</v>
      </c>
      <c r="N292" s="6">
        <f t="shared" ref="N292:R292" si="170">N286</f>
        <v>77179.753599999982</v>
      </c>
      <c r="O292" s="6">
        <f t="shared" si="170"/>
        <v>107706.9436</v>
      </c>
      <c r="P292" s="6">
        <f t="shared" si="170"/>
        <v>64302.17</v>
      </c>
      <c r="Q292" s="6">
        <f t="shared" si="170"/>
        <v>93387</v>
      </c>
      <c r="R292" s="6">
        <f t="shared" si="170"/>
        <v>51071.02</v>
      </c>
      <c r="S292" s="6">
        <f>S286</f>
        <v>0</v>
      </c>
      <c r="T292" s="46"/>
      <c r="U292" s="171" t="str">
        <f>U286</f>
        <v>Total revenue from foul sewerage for customers subject to schedule 3 agreements</v>
      </c>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row>
    <row r="293" spans="1:50">
      <c r="A293" s="373" t="s">
        <v>610</v>
      </c>
      <c r="B293" s="175" t="s">
        <v>176</v>
      </c>
      <c r="C293" s="294" t="s">
        <v>160</v>
      </c>
      <c r="D293" s="6">
        <f>SUM(D289:D292)</f>
        <v>66121772.093944125</v>
      </c>
      <c r="E293" s="6">
        <f t="shared" ref="E293:G293" si="171">SUM(E289:E292)</f>
        <v>53859998.842002891</v>
      </c>
      <c r="F293" s="6">
        <f t="shared" si="171"/>
        <v>48387905.582696497</v>
      </c>
      <c r="G293" s="6">
        <f t="shared" si="171"/>
        <v>47707430.846867546</v>
      </c>
      <c r="H293" s="6">
        <f t="shared" ref="H293:M293" si="172">SUM(H289:H292)</f>
        <v>45866727.327870369</v>
      </c>
      <c r="I293" s="6">
        <f t="shared" si="172"/>
        <v>46873255.986973837</v>
      </c>
      <c r="J293" s="6">
        <f t="shared" si="172"/>
        <v>47639443.263788909</v>
      </c>
      <c r="K293" s="6">
        <f t="shared" si="172"/>
        <v>49268024.388485983</v>
      </c>
      <c r="L293" s="6">
        <f t="shared" si="172"/>
        <v>50060654.308128655</v>
      </c>
      <c r="M293" s="6">
        <f t="shared" si="172"/>
        <v>52112479.817184344</v>
      </c>
      <c r="N293" s="6">
        <f t="shared" ref="N293:S293" si="173">SUM(N289:N292)</f>
        <v>50391049.034726813</v>
      </c>
      <c r="O293" s="6">
        <f t="shared" si="173"/>
        <v>43693725.760616153</v>
      </c>
      <c r="P293" s="6">
        <f t="shared" si="173"/>
        <v>41965433.230378076</v>
      </c>
      <c r="Q293" s="6">
        <f t="shared" si="173"/>
        <v>48061488.920438111</v>
      </c>
      <c r="R293" s="6">
        <f t="shared" si="173"/>
        <v>47850289.175154574</v>
      </c>
      <c r="S293" s="6">
        <f t="shared" si="173"/>
        <v>52952296.77166792</v>
      </c>
      <c r="T293" s="46"/>
      <c r="U293" s="171" t="s">
        <v>166</v>
      </c>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row>
    <row r="294" spans="1:50">
      <c r="A294" s="375" t="s">
        <v>178</v>
      </c>
      <c r="C294" s="238"/>
      <c r="D294" s="7"/>
      <c r="E294" s="7"/>
      <c r="F294" s="7"/>
      <c r="G294" s="7"/>
      <c r="H294" s="7"/>
      <c r="I294" s="7"/>
      <c r="J294" s="7"/>
      <c r="K294" s="7"/>
      <c r="L294" s="7"/>
      <c r="M294" s="7"/>
      <c r="N294" s="7"/>
      <c r="O294" s="7"/>
      <c r="P294" s="7"/>
      <c r="Q294" s="7"/>
      <c r="T294" s="46"/>
      <c r="U294" s="171"/>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row>
    <row r="295" spans="1:50">
      <c r="A295" s="445" t="s">
        <v>178</v>
      </c>
      <c r="B295" s="443" t="s">
        <v>611</v>
      </c>
      <c r="C295" s="290"/>
      <c r="D295" s="8"/>
      <c r="E295" s="8"/>
      <c r="F295" s="8"/>
      <c r="G295" s="8"/>
      <c r="H295" s="8"/>
      <c r="I295" s="8"/>
      <c r="J295" s="8"/>
      <c r="K295" s="8"/>
      <c r="L295" s="8"/>
      <c r="M295" s="8"/>
      <c r="N295" s="8"/>
      <c r="O295" s="8"/>
      <c r="P295" s="8"/>
      <c r="Q295" s="8"/>
      <c r="R295" s="8"/>
      <c r="S295" s="8"/>
      <c r="T295" s="46"/>
      <c r="U295" s="171"/>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row>
    <row r="296" spans="1:50">
      <c r="A296" s="376" t="s">
        <v>612</v>
      </c>
      <c r="B296" s="20" t="s">
        <v>613</v>
      </c>
      <c r="C296" s="293" t="s">
        <v>210</v>
      </c>
      <c r="D296" s="11">
        <v>0</v>
      </c>
      <c r="E296" s="11">
        <v>0</v>
      </c>
      <c r="F296" s="11">
        <v>0</v>
      </c>
      <c r="G296" s="11">
        <v>217.16359999999997</v>
      </c>
      <c r="H296" s="11">
        <v>108206.8419</v>
      </c>
      <c r="I296" s="11">
        <v>719660.4860000005</v>
      </c>
      <c r="J296" s="11">
        <v>1078054.980500001</v>
      </c>
      <c r="K296" s="11">
        <v>1371965.8533999999</v>
      </c>
      <c r="L296" s="11">
        <f>+P2a!D358-L300</f>
        <v>1372272.9916999955</v>
      </c>
      <c r="M296" s="11">
        <f>+P2a!E358</f>
        <v>1784507.7345000047</v>
      </c>
      <c r="N296" s="11">
        <f>+P2a!F358</f>
        <v>1726221.8398999886</v>
      </c>
      <c r="O296" s="11">
        <v>1712874.4494999889</v>
      </c>
      <c r="P296" s="11">
        <v>1629422</v>
      </c>
      <c r="Q296" s="11">
        <v>2029575</v>
      </c>
      <c r="R296" s="11">
        <v>1988693.3293999999</v>
      </c>
      <c r="S296" s="11">
        <v>2389379.89679999</v>
      </c>
      <c r="T296" s="46"/>
      <c r="U296" s="171" t="s">
        <v>614</v>
      </c>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row>
    <row r="297" spans="1:50">
      <c r="A297" s="373" t="s">
        <v>615</v>
      </c>
      <c r="B297" s="20" t="s">
        <v>616</v>
      </c>
      <c r="C297" s="294" t="s">
        <v>160</v>
      </c>
      <c r="D297" s="35">
        <f>D296/D293</f>
        <v>0</v>
      </c>
      <c r="E297" s="35">
        <f>E296/E293</f>
        <v>0</v>
      </c>
      <c r="F297" s="35">
        <f>F296/F293</f>
        <v>0</v>
      </c>
      <c r="G297" s="35">
        <f t="shared" ref="G297:K297" si="174">G296/G293</f>
        <v>4.5519868948100954E-6</v>
      </c>
      <c r="H297" s="35">
        <f t="shared" si="174"/>
        <v>2.3591576771218514E-3</v>
      </c>
      <c r="I297" s="35">
        <f t="shared" si="174"/>
        <v>1.5353328264629098E-2</v>
      </c>
      <c r="J297" s="35">
        <f t="shared" si="174"/>
        <v>2.2629462198594553E-2</v>
      </c>
      <c r="K297" s="35">
        <f t="shared" si="174"/>
        <v>2.7846983320902768E-2</v>
      </c>
      <c r="L297" s="35">
        <f>L296/L293</f>
        <v>2.7412206465650832E-2</v>
      </c>
      <c r="M297" s="35">
        <f>M296/M293</f>
        <v>3.4243385476189804E-2</v>
      </c>
      <c r="N297" s="35">
        <f>N296/N293</f>
        <v>3.4256517238019174E-2</v>
      </c>
      <c r="O297" s="35">
        <f>O296/O293</f>
        <v>3.920184007388787E-2</v>
      </c>
      <c r="P297" s="35">
        <f t="shared" ref="P297:S297" si="175">P296/P293</f>
        <v>3.8827717828026347E-2</v>
      </c>
      <c r="Q297" s="35">
        <f t="shared" si="175"/>
        <v>4.2228716704132835E-2</v>
      </c>
      <c r="R297" s="35">
        <f t="shared" si="175"/>
        <v>4.1560737953337056E-2</v>
      </c>
      <c r="S297" s="35">
        <f t="shared" si="175"/>
        <v>4.5123253238723078E-2</v>
      </c>
      <c r="T297" s="46"/>
      <c r="U297" s="171" t="s">
        <v>617</v>
      </c>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row>
    <row r="298" spans="1:50">
      <c r="A298" s="373" t="s">
        <v>618</v>
      </c>
      <c r="B298" s="20" t="s">
        <v>619</v>
      </c>
      <c r="C298" s="293" t="s">
        <v>210</v>
      </c>
      <c r="D298" s="11"/>
      <c r="E298" s="11"/>
      <c r="F298" s="11"/>
      <c r="G298" s="11"/>
      <c r="H298" s="11">
        <v>0</v>
      </c>
      <c r="I298" s="11">
        <v>0</v>
      </c>
      <c r="J298" s="11">
        <v>0</v>
      </c>
      <c r="K298" s="11">
        <v>998183.0307</v>
      </c>
      <c r="L298" s="11">
        <f>+P2a!D360-L300</f>
        <v>926688.9535000053</v>
      </c>
      <c r="M298" s="11">
        <f>+P2a!E360-M300</f>
        <v>807005.69570000004</v>
      </c>
      <c r="N298" s="11">
        <f>+P2a!F360-N300</f>
        <v>953674.39209999493</v>
      </c>
      <c r="O298" s="11">
        <v>968108.44509998022</v>
      </c>
      <c r="P298" s="11">
        <v>1072802</v>
      </c>
      <c r="Q298" s="11">
        <v>823489</v>
      </c>
      <c r="R298" s="11">
        <v>1173017.5197999999</v>
      </c>
      <c r="S298" s="11">
        <v>909934.0024</v>
      </c>
      <c r="T298" s="46"/>
      <c r="U298" s="171" t="s">
        <v>620</v>
      </c>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row>
    <row r="299" spans="1:50">
      <c r="A299" s="373" t="s">
        <v>621</v>
      </c>
      <c r="B299" s="20" t="s">
        <v>622</v>
      </c>
      <c r="C299" s="294" t="s">
        <v>160</v>
      </c>
      <c r="D299" s="35">
        <f>D298/D293</f>
        <v>0</v>
      </c>
      <c r="E299" s="35">
        <f>E298/E293</f>
        <v>0</v>
      </c>
      <c r="F299" s="35">
        <f>F298/F293</f>
        <v>0</v>
      </c>
      <c r="G299" s="35">
        <f t="shared" ref="G299:K299" si="176">G298/G293</f>
        <v>0</v>
      </c>
      <c r="H299" s="35">
        <f t="shared" si="176"/>
        <v>0</v>
      </c>
      <c r="I299" s="35">
        <f t="shared" si="176"/>
        <v>0</v>
      </c>
      <c r="J299" s="35">
        <f t="shared" si="176"/>
        <v>0</v>
      </c>
      <c r="K299" s="35">
        <f t="shared" si="176"/>
        <v>2.0260260951995408E-2</v>
      </c>
      <c r="L299" s="35">
        <f>L298/L293</f>
        <v>1.8511323239926832E-2</v>
      </c>
      <c r="M299" s="35">
        <f>M298/M293</f>
        <v>1.5485843286119844E-2</v>
      </c>
      <c r="N299" s="35">
        <f>N298/N293</f>
        <v>1.8925472090147867E-2</v>
      </c>
      <c r="O299" s="35">
        <f>O298/O293</f>
        <v>2.2156692482667523E-2</v>
      </c>
      <c r="P299" s="35">
        <f t="shared" ref="P299:S299" si="177">P298/P293</f>
        <v>2.5563944356552397E-2</v>
      </c>
      <c r="Q299" s="35">
        <f t="shared" si="177"/>
        <v>1.7134071758850816E-2</v>
      </c>
      <c r="R299" s="35">
        <f t="shared" si="177"/>
        <v>2.4514324574010489E-2</v>
      </c>
      <c r="S299" s="35">
        <f t="shared" si="177"/>
        <v>1.7184032759214693E-2</v>
      </c>
      <c r="T299" s="46"/>
      <c r="U299" s="171" t="s">
        <v>623</v>
      </c>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row>
    <row r="300" spans="1:50">
      <c r="A300" s="373" t="s">
        <v>624</v>
      </c>
      <c r="B300" s="20" t="s">
        <v>332</v>
      </c>
      <c r="C300" s="293" t="s">
        <v>210</v>
      </c>
      <c r="D300" s="11"/>
      <c r="E300" s="11"/>
      <c r="F300" s="11"/>
      <c r="G300" s="11"/>
      <c r="H300" s="11">
        <v>0</v>
      </c>
      <c r="I300" s="11">
        <v>0</v>
      </c>
      <c r="J300" s="11">
        <v>0</v>
      </c>
      <c r="K300" s="11">
        <v>37181.536399999997</v>
      </c>
      <c r="L300" s="11">
        <f>+P2a!D362</f>
        <v>45910.614300000001</v>
      </c>
      <c r="M300" s="11">
        <f>+P2a!E362</f>
        <v>38425.034299999963</v>
      </c>
      <c r="N300" s="11">
        <f>+P2a!F362</f>
        <v>54021.73410000006</v>
      </c>
      <c r="O300" s="11">
        <v>62407.757400000053</v>
      </c>
      <c r="P300" s="11">
        <v>67330</v>
      </c>
      <c r="Q300" s="11">
        <v>52276</v>
      </c>
      <c r="R300" s="11">
        <v>67276.217699999994</v>
      </c>
      <c r="S300" s="11">
        <v>49211.560899999997</v>
      </c>
      <c r="T300" s="46"/>
      <c r="U300" s="171" t="s">
        <v>333</v>
      </c>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row>
    <row r="301" spans="1:50">
      <c r="A301" s="373" t="s">
        <v>625</v>
      </c>
      <c r="B301" s="20" t="s">
        <v>335</v>
      </c>
      <c r="C301" s="294" t="s">
        <v>160</v>
      </c>
      <c r="D301" s="35">
        <f t="shared" ref="D301:M301" si="178">D300/D293</f>
        <v>0</v>
      </c>
      <c r="E301" s="35">
        <f t="shared" si="178"/>
        <v>0</v>
      </c>
      <c r="F301" s="35">
        <f t="shared" si="178"/>
        <v>0</v>
      </c>
      <c r="G301" s="35">
        <f t="shared" si="178"/>
        <v>0</v>
      </c>
      <c r="H301" s="35">
        <f t="shared" si="178"/>
        <v>0</v>
      </c>
      <c r="I301" s="35">
        <f t="shared" si="178"/>
        <v>0</v>
      </c>
      <c r="J301" s="35">
        <f t="shared" si="178"/>
        <v>0</v>
      </c>
      <c r="K301" s="35">
        <f t="shared" si="178"/>
        <v>7.5467885837714622E-4</v>
      </c>
      <c r="L301" s="35">
        <f t="shared" si="178"/>
        <v>9.1709976496542141E-4</v>
      </c>
      <c r="M301" s="35">
        <f t="shared" si="178"/>
        <v>7.3734802939331859E-4</v>
      </c>
      <c r="N301" s="35">
        <f t="shared" ref="N301:S301" si="179">N300/N293</f>
        <v>1.0720501980971099E-3</v>
      </c>
      <c r="O301" s="35">
        <f t="shared" si="179"/>
        <v>1.4283002036015891E-3</v>
      </c>
      <c r="P301" s="35">
        <f t="shared" si="179"/>
        <v>1.6044157016175146E-3</v>
      </c>
      <c r="Q301" s="35">
        <f t="shared" si="179"/>
        <v>1.0876899816095725E-3</v>
      </c>
      <c r="R301" s="35">
        <f t="shared" si="179"/>
        <v>1.405973064316025E-3</v>
      </c>
      <c r="S301" s="35">
        <f t="shared" si="179"/>
        <v>9.2935649443501756E-4</v>
      </c>
      <c r="T301" s="46"/>
      <c r="U301" s="171"/>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row>
    <row r="302" spans="1:50">
      <c r="A302" s="375" t="s">
        <v>178</v>
      </c>
      <c r="C302" s="238"/>
      <c r="D302" s="7"/>
      <c r="E302" s="7"/>
      <c r="F302" s="7"/>
      <c r="G302" s="7"/>
      <c r="H302" s="7"/>
      <c r="I302" s="7"/>
      <c r="J302" s="7"/>
      <c r="K302" s="7"/>
      <c r="L302" s="7"/>
      <c r="M302" s="7"/>
      <c r="N302" s="7"/>
      <c r="O302" s="7"/>
      <c r="P302" s="7"/>
      <c r="Q302" s="7"/>
      <c r="T302" s="46"/>
      <c r="U302" s="171"/>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row>
    <row r="303" spans="1:50">
      <c r="A303" s="375" t="s">
        <v>178</v>
      </c>
      <c r="C303" s="238"/>
      <c r="D303" s="7"/>
      <c r="E303" s="7"/>
      <c r="F303" s="7"/>
      <c r="G303" s="7"/>
      <c r="H303" s="7"/>
      <c r="I303" s="7"/>
      <c r="J303" s="7"/>
      <c r="K303" s="7"/>
      <c r="L303" s="7"/>
      <c r="M303" s="7"/>
      <c r="N303" s="7"/>
      <c r="O303" s="7"/>
      <c r="P303" s="7"/>
      <c r="Q303" s="7"/>
      <c r="T303" s="46"/>
      <c r="U303" s="171"/>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row>
    <row r="304" spans="1:50">
      <c r="A304" s="375" t="s">
        <v>178</v>
      </c>
      <c r="C304" s="238"/>
      <c r="D304" s="7"/>
      <c r="E304" s="7"/>
      <c r="F304" s="7"/>
      <c r="G304" s="7"/>
      <c r="H304" s="7"/>
      <c r="I304" s="7"/>
      <c r="J304" s="7"/>
      <c r="K304" s="7"/>
      <c r="L304" s="7"/>
      <c r="M304" s="7"/>
      <c r="N304" s="7"/>
      <c r="O304" s="7"/>
      <c r="P304" s="7"/>
      <c r="Q304" s="7"/>
      <c r="T304" s="46"/>
      <c r="U304" s="171"/>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row>
    <row r="305" spans="1:50">
      <c r="A305" s="375" t="s">
        <v>178</v>
      </c>
      <c r="B305" s="9" t="s">
        <v>626</v>
      </c>
      <c r="C305" s="291"/>
      <c r="D305" s="7"/>
      <c r="E305" s="7"/>
      <c r="F305" s="7"/>
      <c r="G305" s="7"/>
      <c r="H305" s="7"/>
      <c r="I305" s="7"/>
      <c r="J305" s="7"/>
      <c r="K305" s="7"/>
      <c r="L305" s="7"/>
      <c r="M305" s="7"/>
      <c r="N305" s="7"/>
      <c r="O305" s="7"/>
      <c r="P305" s="7"/>
      <c r="Q305" s="7"/>
      <c r="T305" s="46"/>
      <c r="U305" s="171"/>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row>
    <row r="306" spans="1:50">
      <c r="A306" s="445" t="s">
        <v>178</v>
      </c>
      <c r="B306" s="284" t="s">
        <v>627</v>
      </c>
      <c r="C306" s="26" t="s">
        <v>152</v>
      </c>
      <c r="D306" s="26" t="str">
        <f>+D$14</f>
        <v>2010-11 RF</v>
      </c>
      <c r="E306" s="26" t="str">
        <f t="shared" ref="E306:O306" si="180">+E$14</f>
        <v>2011-12 RF</v>
      </c>
      <c r="F306" s="26" t="str">
        <f t="shared" si="180"/>
        <v>2012-13 RF</v>
      </c>
      <c r="G306" s="26" t="str">
        <f t="shared" si="180"/>
        <v>2013-14 RF</v>
      </c>
      <c r="H306" s="26" t="str">
        <f t="shared" si="180"/>
        <v>2014-15 RF</v>
      </c>
      <c r="I306" s="26" t="str">
        <f t="shared" si="180"/>
        <v>2015-16 RF</v>
      </c>
      <c r="J306" s="26" t="str">
        <f t="shared" si="180"/>
        <v>2016-17 RF</v>
      </c>
      <c r="K306" s="26" t="str">
        <f t="shared" si="180"/>
        <v>2017-18 RF</v>
      </c>
      <c r="L306" s="26" t="str">
        <f t="shared" si="180"/>
        <v>2018-19 RF</v>
      </c>
      <c r="M306" s="26" t="str">
        <f t="shared" si="180"/>
        <v>2019-20 month</v>
      </c>
      <c r="N306" s="26" t="str">
        <f t="shared" si="180"/>
        <v>2019-20 RF</v>
      </c>
      <c r="O306" s="26" t="str">
        <f t="shared" si="180"/>
        <v>2020-21 month</v>
      </c>
      <c r="P306" s="440" t="s">
        <v>18</v>
      </c>
      <c r="Q306" s="440" t="s">
        <v>155</v>
      </c>
      <c r="R306" s="26" t="s">
        <v>20</v>
      </c>
      <c r="S306" s="26" t="s">
        <v>156</v>
      </c>
      <c r="T306" s="46"/>
      <c r="U306" s="171"/>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row>
    <row r="307" spans="1:50">
      <c r="A307" s="376" t="s">
        <v>628</v>
      </c>
      <c r="B307" s="175" t="s">
        <v>629</v>
      </c>
      <c r="C307" s="293" t="s">
        <v>210</v>
      </c>
      <c r="D307" s="413">
        <v>2614732222.5205336</v>
      </c>
      <c r="E307" s="11">
        <v>2655234622.5567617</v>
      </c>
      <c r="F307" s="11">
        <v>2744554672.0861602</v>
      </c>
      <c r="G307" s="11">
        <v>2779583031.0562944</v>
      </c>
      <c r="H307" s="11">
        <v>2874867748.9518571</v>
      </c>
      <c r="I307" s="11">
        <v>3069356313.7407422</v>
      </c>
      <c r="J307" s="11">
        <v>3209828348.5939918</v>
      </c>
      <c r="K307" s="11">
        <v>3609328387.5288062</v>
      </c>
      <c r="L307" s="11">
        <f>+P2a!D367+(P2a!D369/3*2)+(P2a!D371/3)</f>
        <v>4093044862.1558781</v>
      </c>
      <c r="M307" s="11">
        <f>+P2a!E367+(P2a!E369/3)+(P2a!E371/3*2)</f>
        <v>4569185717.5262146</v>
      </c>
      <c r="N307" s="11">
        <f>+P2a!F367+(P2a!F369/3)+(P2a!F371/3*2)</f>
        <v>4554479015.2522049</v>
      </c>
      <c r="O307" s="11">
        <v>4869057750.7250719</v>
      </c>
      <c r="P307" s="11">
        <v>4875400741</v>
      </c>
      <c r="Q307" s="11">
        <v>4899792604</v>
      </c>
      <c r="R307" s="11">
        <v>4855415661.4207296</v>
      </c>
      <c r="S307" s="11">
        <v>4894168968.3231697</v>
      </c>
      <c r="T307" s="46"/>
      <c r="U307" s="171" t="s">
        <v>630</v>
      </c>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row>
    <row r="308" spans="1:50">
      <c r="A308" s="373" t="s">
        <v>631</v>
      </c>
      <c r="B308" s="175" t="s">
        <v>632</v>
      </c>
      <c r="C308" s="293" t="s">
        <v>210</v>
      </c>
      <c r="D308" s="413">
        <v>2845743915.797246</v>
      </c>
      <c r="E308" s="11">
        <v>3017787633.6910071</v>
      </c>
      <c r="F308" s="11">
        <v>3148282401.7379413</v>
      </c>
      <c r="G308" s="11">
        <v>3213655806.5432534</v>
      </c>
      <c r="H308" s="11">
        <v>3297537497.3651471</v>
      </c>
      <c r="I308" s="11">
        <v>3459572375.1382794</v>
      </c>
      <c r="J308" s="11">
        <v>3605182422.689878</v>
      </c>
      <c r="K308" s="11">
        <v>4002472959.9315491</v>
      </c>
      <c r="L308" s="11">
        <f>+P2a!D368+(P2a!D370/3*2)+(P2a!D372/3)</f>
        <v>4540375178.9290533</v>
      </c>
      <c r="M308" s="11">
        <f>+P2a!E368+(P2a!E370/3)+(P2a!E372/3*2)</f>
        <v>5071578705.0197144</v>
      </c>
      <c r="N308" s="11">
        <f>+P2a!F368+(P2a!F370/3)+(P2a!F372/3*2)</f>
        <v>5066213581.331542</v>
      </c>
      <c r="O308" s="11">
        <v>5427136670.6909542</v>
      </c>
      <c r="P308" s="11">
        <v>5451578602</v>
      </c>
      <c r="Q308" s="11">
        <v>0</v>
      </c>
      <c r="R308" s="11">
        <v>0</v>
      </c>
      <c r="S308" s="11">
        <v>0</v>
      </c>
      <c r="T308" s="46"/>
      <c r="U308" s="374" t="s">
        <v>633</v>
      </c>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row>
    <row r="309" spans="1:50">
      <c r="A309" s="373" t="s">
        <v>634</v>
      </c>
      <c r="B309" s="175" t="s">
        <v>635</v>
      </c>
      <c r="C309" s="293" t="s">
        <v>210</v>
      </c>
      <c r="D309" s="413">
        <v>10355</v>
      </c>
      <c r="E309" s="11">
        <v>10355</v>
      </c>
      <c r="F309" s="11">
        <v>10355</v>
      </c>
      <c r="G309" s="11">
        <v>10774</v>
      </c>
      <c r="H309" s="11">
        <v>10505</v>
      </c>
      <c r="I309" s="11">
        <v>11200</v>
      </c>
      <c r="J309" s="11">
        <v>11163</v>
      </c>
      <c r="K309" s="11">
        <v>11144</v>
      </c>
      <c r="L309" s="11">
        <f>P2a!D373</f>
        <v>11144</v>
      </c>
      <c r="M309" s="11">
        <f>P2a!E373</f>
        <v>11144</v>
      </c>
      <c r="N309" s="11">
        <f>P2a!F373</f>
        <v>8159</v>
      </c>
      <c r="O309" s="11">
        <v>36269</v>
      </c>
      <c r="P309" s="11">
        <v>43470</v>
      </c>
      <c r="Q309" s="11">
        <v>46310</v>
      </c>
      <c r="R309" s="11">
        <v>58171.061643835601</v>
      </c>
      <c r="S309" s="11">
        <v>63045.2307692307</v>
      </c>
      <c r="T309" s="46"/>
      <c r="U309" s="171" t="s">
        <v>636</v>
      </c>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row>
    <row r="310" spans="1:50">
      <c r="A310" s="375" t="s">
        <v>178</v>
      </c>
      <c r="C310" s="238"/>
      <c r="D310" s="7"/>
      <c r="E310" s="7"/>
      <c r="F310" s="7"/>
      <c r="G310" s="7"/>
      <c r="H310" s="7"/>
      <c r="I310" s="7"/>
      <c r="J310" s="7"/>
      <c r="K310" s="7"/>
      <c r="L310" s="7"/>
      <c r="M310" s="7"/>
      <c r="N310" s="7"/>
      <c r="O310" s="7"/>
      <c r="P310" s="7"/>
      <c r="Q310" s="7"/>
      <c r="T310" s="46"/>
      <c r="U310" s="171"/>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row>
    <row r="311" spans="1:50">
      <c r="A311" s="373" t="s">
        <v>637</v>
      </c>
      <c r="B311" s="12" t="s">
        <v>638</v>
      </c>
      <c r="C311" s="293" t="s">
        <v>210</v>
      </c>
      <c r="D311" s="413">
        <v>0</v>
      </c>
      <c r="E311" s="11">
        <v>3110.655737704918</v>
      </c>
      <c r="F311" s="11">
        <v>11500</v>
      </c>
      <c r="G311" s="413">
        <v>174829.39452054791</v>
      </c>
      <c r="H311" s="11">
        <v>20231245.433698531</v>
      </c>
      <c r="I311" s="11">
        <v>109866837.92131136</v>
      </c>
      <c r="J311" s="413">
        <v>203134059.60027465</v>
      </c>
      <c r="K311" s="11">
        <v>262481302.77013743</v>
      </c>
      <c r="L311" s="413">
        <v>323946197.98648518</v>
      </c>
      <c r="M311" s="11">
        <v>314862313.15978396</v>
      </c>
      <c r="N311" s="11">
        <f>347472972-N313</f>
        <v>313652338</v>
      </c>
      <c r="O311" s="11">
        <v>319305855.41380435</v>
      </c>
      <c r="P311" s="11">
        <v>316600231</v>
      </c>
      <c r="Q311" s="11">
        <v>332695657</v>
      </c>
      <c r="R311" s="11">
        <v>326507516.21780699</v>
      </c>
      <c r="S311" s="11">
        <v>353183890.56986302</v>
      </c>
      <c r="T311" s="46"/>
      <c r="U311" s="185" t="s">
        <v>639</v>
      </c>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row>
    <row r="312" spans="1:50">
      <c r="A312" s="373" t="s">
        <v>640</v>
      </c>
      <c r="B312" s="12" t="s">
        <v>641</v>
      </c>
      <c r="C312" s="293" t="s">
        <v>210</v>
      </c>
      <c r="D312" s="413">
        <v>417255889.05753452</v>
      </c>
      <c r="E312" s="11">
        <v>514484169.477597</v>
      </c>
      <c r="F312" s="11">
        <v>457497356.48125988</v>
      </c>
      <c r="G312" s="413">
        <v>376155783.08821875</v>
      </c>
      <c r="H312" s="11">
        <v>335046828.32492971</v>
      </c>
      <c r="I312" s="11">
        <v>318974811.51174873</v>
      </c>
      <c r="J312" s="413">
        <v>297068051.34273821</v>
      </c>
      <c r="K312" s="11">
        <v>222234102.27139607</v>
      </c>
      <c r="L312" s="413">
        <v>266405713.53424281</v>
      </c>
      <c r="M312" s="11">
        <f>287853556.827593-M313</f>
        <v>251444440.77853683</v>
      </c>
      <c r="N312" s="11">
        <v>279235624</v>
      </c>
      <c r="O312" s="11">
        <v>326333592.90699685</v>
      </c>
      <c r="P312" s="11">
        <v>299737620</v>
      </c>
      <c r="Q312" s="11">
        <v>292367437</v>
      </c>
      <c r="R312" s="11">
        <v>299311941.15534103</v>
      </c>
      <c r="S312" s="11">
        <v>287092200.81260097</v>
      </c>
      <c r="T312" s="46"/>
      <c r="U312" s="185" t="s">
        <v>642</v>
      </c>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row>
    <row r="313" spans="1:50">
      <c r="A313" s="373" t="s">
        <v>643</v>
      </c>
      <c r="B313" s="12" t="s">
        <v>644</v>
      </c>
      <c r="C313" s="293" t="s">
        <v>210</v>
      </c>
      <c r="D313" s="413">
        <v>0</v>
      </c>
      <c r="E313" s="11">
        <v>0</v>
      </c>
      <c r="F313" s="11">
        <v>0</v>
      </c>
      <c r="G313" s="413">
        <v>53129.219178082181</v>
      </c>
      <c r="H313" s="11">
        <v>7155060.5479452433</v>
      </c>
      <c r="I313" s="11">
        <v>23706142.319398917</v>
      </c>
      <c r="J313" s="413">
        <v>41528711.494246632</v>
      </c>
      <c r="K313" s="11">
        <v>40611097.946301371</v>
      </c>
      <c r="L313" s="413">
        <v>39357072.970776185</v>
      </c>
      <c r="M313" s="11">
        <v>36409116.04905621</v>
      </c>
      <c r="N313" s="11">
        <v>33820634</v>
      </c>
      <c r="O313" s="11">
        <v>37042688.91069676</v>
      </c>
      <c r="P313" s="11">
        <v>34700976</v>
      </c>
      <c r="Q313" s="11">
        <v>33883948</v>
      </c>
      <c r="R313" s="11">
        <v>35265674.765479401</v>
      </c>
      <c r="S313" s="11">
        <v>35731807.835890397</v>
      </c>
      <c r="T313" s="46"/>
      <c r="U313" s="185" t="s">
        <v>645</v>
      </c>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row>
    <row r="314" spans="1:50">
      <c r="A314" s="375" t="s">
        <v>178</v>
      </c>
      <c r="C314" s="238"/>
      <c r="D314" s="7"/>
      <c r="E314" s="7"/>
      <c r="F314" s="7"/>
      <c r="G314" s="7"/>
      <c r="H314" s="7"/>
      <c r="I314" s="7"/>
      <c r="J314" s="7"/>
      <c r="K314" s="7"/>
      <c r="L314" s="7"/>
      <c r="M314" s="7"/>
      <c r="N314" s="7"/>
      <c r="O314" s="7"/>
      <c r="P314" s="7"/>
      <c r="Q314" s="7"/>
      <c r="T314" s="46"/>
      <c r="U314" s="171"/>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row>
    <row r="315" spans="1:50">
      <c r="A315" s="373" t="s">
        <v>646</v>
      </c>
      <c r="B315" s="12" t="s">
        <v>647</v>
      </c>
      <c r="C315" s="293" t="s">
        <v>210</v>
      </c>
      <c r="D315" s="413">
        <v>0</v>
      </c>
      <c r="E315" s="11">
        <v>3110.655737704918</v>
      </c>
      <c r="F315" s="11">
        <v>11500</v>
      </c>
      <c r="G315" s="413">
        <v>175088.29863013694</v>
      </c>
      <c r="H315" s="11">
        <v>20535095.022739612</v>
      </c>
      <c r="I315" s="11">
        <v>116472790.6398911</v>
      </c>
      <c r="J315" s="413">
        <v>219772616.28986374</v>
      </c>
      <c r="K315" s="11">
        <v>286548848.9345212</v>
      </c>
      <c r="L315" s="413">
        <v>355043014.49369794</v>
      </c>
      <c r="M315" s="11">
        <v>346485787.22840941</v>
      </c>
      <c r="N315" s="11">
        <f>382137269-N317</f>
        <v>345577892</v>
      </c>
      <c r="O315" s="11">
        <v>352635362.41782635</v>
      </c>
      <c r="P315" s="11">
        <v>355154854</v>
      </c>
      <c r="Q315" s="11">
        <v>0</v>
      </c>
      <c r="R315" s="11">
        <v>0</v>
      </c>
      <c r="S315" s="11">
        <v>0</v>
      </c>
      <c r="T315" s="46"/>
      <c r="U315" s="185" t="s">
        <v>648</v>
      </c>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row>
    <row r="316" spans="1:50">
      <c r="A316" s="373" t="s">
        <v>649</v>
      </c>
      <c r="B316" s="12" t="s">
        <v>650</v>
      </c>
      <c r="C316" s="293" t="s">
        <v>210</v>
      </c>
      <c r="D316" s="413">
        <v>431268132.5424661</v>
      </c>
      <c r="E316" s="11">
        <v>535091313.78360808</v>
      </c>
      <c r="F316" s="11">
        <v>475457081.16893113</v>
      </c>
      <c r="G316" s="413">
        <v>393624865.71835577</v>
      </c>
      <c r="H316" s="11">
        <v>355620246.51123071</v>
      </c>
      <c r="I316" s="11">
        <v>333775085.12377048</v>
      </c>
      <c r="J316" s="413">
        <v>313595344.53150547</v>
      </c>
      <c r="K316" s="11">
        <v>233353809.09139571</v>
      </c>
      <c r="L316" s="413">
        <v>284248781.51278144</v>
      </c>
      <c r="M316" s="11">
        <f>313470359.612265-M317</f>
        <v>274358827.60339326</v>
      </c>
      <c r="N316" s="11">
        <v>303270545</v>
      </c>
      <c r="O316" s="11">
        <v>353855811.13293242</v>
      </c>
      <c r="P316" s="11">
        <v>327881138</v>
      </c>
      <c r="Q316" s="11">
        <v>0</v>
      </c>
      <c r="R316" s="11">
        <v>0</v>
      </c>
      <c r="S316" s="11">
        <v>0</v>
      </c>
      <c r="T316" s="46"/>
      <c r="U316" s="185" t="s">
        <v>651</v>
      </c>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row>
    <row r="317" spans="1:50">
      <c r="A317" s="373" t="s">
        <v>652</v>
      </c>
      <c r="B317" s="12" t="s">
        <v>653</v>
      </c>
      <c r="C317" s="293" t="s">
        <v>210</v>
      </c>
      <c r="D317" s="413">
        <v>0</v>
      </c>
      <c r="E317" s="11">
        <v>0</v>
      </c>
      <c r="F317" s="11">
        <v>0</v>
      </c>
      <c r="G317" s="413">
        <v>53129.219178082181</v>
      </c>
      <c r="H317" s="11">
        <v>7177465.4794520931</v>
      </c>
      <c r="I317" s="11">
        <v>24108655.494262304</v>
      </c>
      <c r="J317" s="413">
        <v>44003924.73835627</v>
      </c>
      <c r="K317" s="11">
        <v>43300930.71342463</v>
      </c>
      <c r="L317" s="413">
        <v>42235574.38484019</v>
      </c>
      <c r="M317" s="11">
        <v>39111532.008871712</v>
      </c>
      <c r="N317" s="11">
        <v>36559377</v>
      </c>
      <c r="O317" s="11">
        <v>39811662.255613424</v>
      </c>
      <c r="P317" s="11">
        <v>39156213</v>
      </c>
      <c r="Q317" s="11">
        <v>0</v>
      </c>
      <c r="R317" s="11">
        <v>0</v>
      </c>
      <c r="S317" s="11">
        <v>0</v>
      </c>
      <c r="T317" s="7"/>
      <c r="U317" s="185" t="s">
        <v>654</v>
      </c>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row>
    <row r="318" spans="1:50">
      <c r="A318" s="375" t="s">
        <v>178</v>
      </c>
      <c r="C318" s="238"/>
      <c r="D318" s="7"/>
      <c r="E318" s="7"/>
      <c r="F318" s="7"/>
      <c r="G318" s="7"/>
      <c r="H318" s="7"/>
      <c r="I318" s="7"/>
      <c r="J318" s="7"/>
      <c r="K318" s="7"/>
      <c r="L318" s="7"/>
      <c r="M318" s="7"/>
      <c r="N318" s="7"/>
      <c r="O318" s="7"/>
      <c r="P318" s="7"/>
      <c r="Q318" s="7"/>
      <c r="T318" s="46"/>
      <c r="U318" s="171"/>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row>
    <row r="319" spans="1:50">
      <c r="A319" s="373" t="s">
        <v>655</v>
      </c>
      <c r="B319" s="12" t="s">
        <v>656</v>
      </c>
      <c r="C319" s="293" t="s">
        <v>210</v>
      </c>
      <c r="D319" s="413">
        <v>0</v>
      </c>
      <c r="E319" s="11">
        <v>0</v>
      </c>
      <c r="F319" s="11">
        <v>0</v>
      </c>
      <c r="G319" s="413">
        <v>0</v>
      </c>
      <c r="H319" s="11">
        <v>0</v>
      </c>
      <c r="I319" s="11">
        <v>0</v>
      </c>
      <c r="J319" s="413">
        <v>0</v>
      </c>
      <c r="K319" s="11">
        <v>0</v>
      </c>
      <c r="L319" s="11"/>
      <c r="M319" s="413"/>
      <c r="N319" s="413"/>
      <c r="O319" s="413"/>
      <c r="P319" s="11">
        <v>0</v>
      </c>
      <c r="Q319" s="11">
        <v>2831</v>
      </c>
      <c r="R319" s="11">
        <v>2720.0616438356101</v>
      </c>
      <c r="S319" s="11">
        <v>5095</v>
      </c>
      <c r="T319" s="46"/>
      <c r="U319" s="185" t="s">
        <v>657</v>
      </c>
      <c r="V319" s="7"/>
      <c r="W319" s="7"/>
      <c r="X319" s="7"/>
      <c r="Y319" s="7"/>
      <c r="Z319" s="7"/>
      <c r="AA319" s="7"/>
      <c r="AB319" s="7"/>
      <c r="AC319" s="7"/>
      <c r="AD319" s="7"/>
      <c r="AE319" s="7"/>
      <c r="AF319" s="7"/>
      <c r="AG319" s="7"/>
      <c r="AH319" s="7"/>
      <c r="AI319" s="7"/>
      <c r="AJ319" s="7"/>
      <c r="AK319" s="7"/>
      <c r="AL319" s="7"/>
      <c r="AM319" s="7"/>
      <c r="AN319" s="7"/>
      <c r="AO319" s="7"/>
      <c r="AP319" s="7"/>
      <c r="AQ319" s="7"/>
      <c r="AR319" s="7"/>
      <c r="AS319" s="7"/>
      <c r="AT319" s="7"/>
      <c r="AU319" s="7"/>
      <c r="AV319" s="7"/>
      <c r="AW319" s="7"/>
      <c r="AX319" s="7"/>
    </row>
    <row r="320" spans="1:50">
      <c r="A320" s="373" t="s">
        <v>658</v>
      </c>
      <c r="B320" s="12" t="s">
        <v>659</v>
      </c>
      <c r="C320" s="293" t="s">
        <v>210</v>
      </c>
      <c r="D320" s="413">
        <v>81</v>
      </c>
      <c r="E320" s="11">
        <v>231</v>
      </c>
      <c r="F320" s="11">
        <v>434</v>
      </c>
      <c r="G320" s="413">
        <v>703</v>
      </c>
      <c r="H320" s="11">
        <v>703</v>
      </c>
      <c r="I320" s="11">
        <v>1129</v>
      </c>
      <c r="J320" s="413">
        <v>958</v>
      </c>
      <c r="K320" s="11">
        <v>651</v>
      </c>
      <c r="L320" s="11">
        <v>426</v>
      </c>
      <c r="M320" s="413">
        <v>426</v>
      </c>
      <c r="N320" s="413"/>
      <c r="O320" s="413"/>
      <c r="P320" s="11">
        <v>703</v>
      </c>
      <c r="Q320" s="11">
        <v>701</v>
      </c>
      <c r="R320" s="11">
        <v>658.27671232876696</v>
      </c>
      <c r="S320" s="11">
        <v>885.99999999999898</v>
      </c>
      <c r="T320" s="46"/>
      <c r="U320" s="185" t="s">
        <v>660</v>
      </c>
      <c r="V320" s="7"/>
      <c r="W320" s="7"/>
      <c r="X320" s="7"/>
      <c r="Y320" s="7"/>
      <c r="Z320" s="7"/>
      <c r="AA320" s="7"/>
      <c r="AB320" s="7"/>
      <c r="AC320" s="7"/>
      <c r="AD320" s="7"/>
      <c r="AE320" s="7"/>
      <c r="AF320" s="7"/>
      <c r="AG320" s="7"/>
      <c r="AH320" s="7"/>
      <c r="AI320" s="7"/>
      <c r="AJ320" s="7"/>
      <c r="AK320" s="7"/>
      <c r="AL320" s="7"/>
      <c r="AM320" s="7"/>
      <c r="AN320" s="7"/>
      <c r="AO320" s="7"/>
      <c r="AP320" s="7"/>
      <c r="AQ320" s="7"/>
      <c r="AR320" s="7"/>
      <c r="AS320" s="7"/>
      <c r="AT320" s="7"/>
      <c r="AU320" s="7"/>
      <c r="AV320" s="7"/>
      <c r="AW320" s="7"/>
      <c r="AX320" s="7"/>
    </row>
    <row r="321" spans="1:50">
      <c r="A321" s="373" t="s">
        <v>661</v>
      </c>
      <c r="B321" s="12" t="s">
        <v>662</v>
      </c>
      <c r="C321" s="293" t="s">
        <v>210</v>
      </c>
      <c r="D321" s="413">
        <v>0</v>
      </c>
      <c r="E321" s="11">
        <v>0</v>
      </c>
      <c r="F321" s="11">
        <v>0</v>
      </c>
      <c r="G321" s="413">
        <v>0</v>
      </c>
      <c r="H321" s="11">
        <v>0</v>
      </c>
      <c r="I321" s="11">
        <v>0</v>
      </c>
      <c r="J321" s="413">
        <v>0</v>
      </c>
      <c r="K321" s="11">
        <v>0</v>
      </c>
      <c r="L321" s="11"/>
      <c r="M321" s="413"/>
      <c r="N321" s="413"/>
      <c r="O321" s="413"/>
      <c r="P321" s="11">
        <v>0</v>
      </c>
      <c r="Q321" s="11">
        <v>0</v>
      </c>
      <c r="R321" s="11">
        <v>0</v>
      </c>
      <c r="S321" s="11">
        <v>0</v>
      </c>
      <c r="T321" s="46"/>
      <c r="U321" s="185" t="s">
        <v>663</v>
      </c>
      <c r="V321" s="7"/>
      <c r="W321" s="7"/>
      <c r="X321" s="7"/>
      <c r="Y321" s="7"/>
      <c r="Z321" s="7"/>
      <c r="AA321" s="7"/>
      <c r="AB321" s="7"/>
      <c r="AC321" s="7"/>
      <c r="AD321" s="7"/>
      <c r="AE321" s="7"/>
      <c r="AF321" s="7"/>
      <c r="AG321" s="7"/>
      <c r="AH321" s="7"/>
      <c r="AI321" s="7"/>
      <c r="AJ321" s="7"/>
      <c r="AK321" s="7"/>
      <c r="AL321" s="7"/>
      <c r="AM321" s="7"/>
      <c r="AN321" s="7"/>
      <c r="AO321" s="7"/>
      <c r="AP321" s="7"/>
      <c r="AQ321" s="7"/>
      <c r="AR321" s="7"/>
      <c r="AS321" s="7"/>
      <c r="AT321" s="7"/>
      <c r="AU321" s="7"/>
      <c r="AV321" s="7"/>
      <c r="AW321" s="7"/>
      <c r="AX321" s="7"/>
    </row>
    <row r="322" spans="1:50">
      <c r="A322" s="375" t="s">
        <v>178</v>
      </c>
      <c r="C322" s="238"/>
      <c r="D322" s="7"/>
      <c r="E322" s="7"/>
      <c r="F322" s="7"/>
      <c r="G322" s="7"/>
      <c r="H322" s="7"/>
      <c r="I322" s="7"/>
      <c r="J322" s="7"/>
      <c r="K322" s="7"/>
      <c r="L322" s="7"/>
      <c r="M322" s="7"/>
      <c r="N322" s="7"/>
      <c r="O322" s="7"/>
      <c r="P322" s="7"/>
      <c r="Q322" s="7"/>
      <c r="T322" s="46"/>
      <c r="U322" s="171"/>
      <c r="V322" s="7"/>
      <c r="W322" s="7"/>
      <c r="X322" s="7"/>
      <c r="Y322" s="7"/>
      <c r="Z322" s="7"/>
      <c r="AA322" s="7"/>
      <c r="AB322" s="7"/>
      <c r="AC322" s="7"/>
      <c r="AD322" s="7"/>
      <c r="AE322" s="7"/>
      <c r="AF322" s="7"/>
      <c r="AG322" s="7"/>
      <c r="AH322" s="7"/>
      <c r="AI322" s="7"/>
      <c r="AJ322" s="7"/>
      <c r="AK322" s="7"/>
      <c r="AL322" s="7"/>
      <c r="AM322" s="7"/>
      <c r="AN322" s="7"/>
      <c r="AO322" s="7"/>
      <c r="AP322" s="7"/>
      <c r="AQ322" s="7"/>
      <c r="AR322" s="7"/>
      <c r="AS322" s="7"/>
      <c r="AT322" s="7"/>
      <c r="AU322" s="7"/>
      <c r="AV322" s="7"/>
      <c r="AW322" s="7"/>
      <c r="AX322" s="7"/>
    </row>
    <row r="323" spans="1:50">
      <c r="A323" s="445" t="s">
        <v>178</v>
      </c>
      <c r="B323" s="284" t="s">
        <v>664</v>
      </c>
      <c r="C323" s="295"/>
      <c r="D323" s="7"/>
      <c r="E323" s="7"/>
      <c r="F323" s="7"/>
      <c r="G323" s="7"/>
      <c r="H323" s="7"/>
      <c r="I323" s="7"/>
      <c r="J323" s="7"/>
      <c r="K323" s="7"/>
      <c r="L323" s="7"/>
      <c r="M323" s="7"/>
      <c r="N323" s="7"/>
      <c r="O323" s="7"/>
      <c r="P323" s="7"/>
      <c r="Q323" s="7"/>
      <c r="T323" s="46"/>
      <c r="U323" s="171"/>
      <c r="V323" s="7"/>
      <c r="W323" s="7"/>
      <c r="X323" s="7"/>
      <c r="Y323" s="7"/>
      <c r="Z323" s="7"/>
      <c r="AA323" s="7"/>
      <c r="AB323" s="7"/>
      <c r="AC323" s="7"/>
      <c r="AD323" s="7"/>
      <c r="AE323" s="7"/>
      <c r="AF323" s="7"/>
      <c r="AG323" s="7"/>
      <c r="AH323" s="7"/>
      <c r="AI323" s="7"/>
      <c r="AJ323" s="7"/>
      <c r="AK323" s="7"/>
      <c r="AL323" s="7"/>
      <c r="AM323" s="7"/>
      <c r="AN323" s="7"/>
      <c r="AO323" s="7"/>
      <c r="AP323" s="7"/>
      <c r="AQ323" s="7"/>
      <c r="AR323" s="7"/>
      <c r="AS323" s="7"/>
      <c r="AT323" s="7"/>
      <c r="AU323" s="7"/>
      <c r="AV323" s="7"/>
      <c r="AW323" s="7"/>
      <c r="AX323" s="7"/>
    </row>
    <row r="324" spans="1:50">
      <c r="A324" s="376" t="s">
        <v>665</v>
      </c>
      <c r="B324" s="175" t="s">
        <v>666</v>
      </c>
      <c r="C324" s="293" t="s">
        <v>210</v>
      </c>
      <c r="D324" s="30">
        <v>2.1706E-2</v>
      </c>
      <c r="E324" s="30">
        <v>2.2690999999999999E-2</v>
      </c>
      <c r="F324" s="30">
        <v>2.3643999999999998E-2</v>
      </c>
      <c r="G324" s="30">
        <v>2.2919999999999999E-2</v>
      </c>
      <c r="H324" s="30">
        <v>2.2072000000000001E-2</v>
      </c>
      <c r="I324" s="30">
        <v>2.2293E-2</v>
      </c>
      <c r="J324" s="30">
        <v>2.2204000000000002E-2</v>
      </c>
      <c r="K324" s="30">
        <v>2.2336999999999999E-2</v>
      </c>
      <c r="L324" s="11"/>
      <c r="M324" s="11"/>
      <c r="N324" s="11"/>
      <c r="O324" s="11">
        <v>1.8342000000000001E-2</v>
      </c>
      <c r="P324" s="49">
        <v>1.8342000000000001E-2</v>
      </c>
      <c r="Q324" s="49">
        <v>3.0806E-2</v>
      </c>
      <c r="R324" s="49">
        <v>3.0806E-2</v>
      </c>
      <c r="S324" s="49">
        <v>3.2099999999999997E-2</v>
      </c>
      <c r="T324" s="46"/>
      <c r="U324" s="171" t="s">
        <v>667</v>
      </c>
      <c r="V324" s="7"/>
      <c r="W324" s="7"/>
      <c r="X324" s="7"/>
      <c r="Y324" s="7"/>
      <c r="Z324" s="7"/>
      <c r="AA324" s="7"/>
      <c r="AB324" s="7"/>
      <c r="AC324" s="7"/>
      <c r="AD324" s="7"/>
      <c r="AE324" s="7"/>
      <c r="AF324" s="7"/>
      <c r="AG324" s="7"/>
      <c r="AH324" s="7"/>
      <c r="AI324" s="7"/>
      <c r="AJ324" s="7"/>
      <c r="AK324" s="7"/>
      <c r="AL324" s="7"/>
      <c r="AM324" s="7"/>
      <c r="AN324" s="7"/>
      <c r="AO324" s="7"/>
      <c r="AP324" s="7"/>
      <c r="AQ324" s="7"/>
      <c r="AR324" s="7"/>
      <c r="AS324" s="7"/>
      <c r="AT324" s="7"/>
      <c r="AU324" s="7"/>
      <c r="AV324" s="7"/>
      <c r="AW324" s="7"/>
      <c r="AX324" s="7"/>
    </row>
    <row r="325" spans="1:50">
      <c r="A325" s="373" t="s">
        <v>668</v>
      </c>
      <c r="B325" s="175" t="s">
        <v>1736</v>
      </c>
      <c r="C325" s="293" t="s">
        <v>210</v>
      </c>
      <c r="D325" s="30">
        <v>1.3936E-2</v>
      </c>
      <c r="E325" s="30">
        <v>1.4569E-2</v>
      </c>
      <c r="F325" s="30">
        <v>1.5181E-2</v>
      </c>
      <c r="G325" s="30">
        <v>1.4716E-2</v>
      </c>
      <c r="H325" s="30">
        <v>1.4172000000000001E-2</v>
      </c>
      <c r="I325" s="30">
        <v>1.4314E-2</v>
      </c>
      <c r="J325" s="30">
        <v>1.4257000000000001E-2</v>
      </c>
      <c r="K325" s="30">
        <v>1.4343E-2</v>
      </c>
      <c r="L325" s="11"/>
      <c r="M325" s="11"/>
      <c r="N325" s="11"/>
      <c r="O325" s="11">
        <v>1.1712999999999999E-2</v>
      </c>
      <c r="P325" s="49">
        <v>1.1712999999999999E-2</v>
      </c>
      <c r="Q325" s="49">
        <v>0</v>
      </c>
      <c r="R325" s="49">
        <v>0</v>
      </c>
      <c r="S325" s="49">
        <v>0</v>
      </c>
      <c r="T325" s="46"/>
      <c r="U325" s="171" t="s">
        <v>669</v>
      </c>
      <c r="V325" s="7"/>
      <c r="W325" s="7"/>
      <c r="X325" s="7"/>
      <c r="Y325" s="7"/>
      <c r="Z325" s="7"/>
      <c r="AA325" s="7"/>
      <c r="AB325" s="7"/>
      <c r="AC325" s="7"/>
      <c r="AD325" s="7"/>
      <c r="AE325" s="7"/>
      <c r="AF325" s="7"/>
      <c r="AG325" s="7"/>
      <c r="AH325" s="7"/>
      <c r="AI325" s="7"/>
      <c r="AJ325" s="7"/>
      <c r="AK325" s="7"/>
      <c r="AL325" s="7"/>
      <c r="AM325" s="7"/>
      <c r="AN325" s="7"/>
      <c r="AO325" s="7"/>
      <c r="AP325" s="7"/>
      <c r="AQ325" s="7"/>
      <c r="AR325" s="7"/>
      <c r="AS325" s="7"/>
      <c r="AT325" s="7"/>
      <c r="AU325" s="7"/>
      <c r="AV325" s="7"/>
      <c r="AW325" s="7"/>
      <c r="AX325" s="7"/>
    </row>
    <row r="326" spans="1:50">
      <c r="A326" s="373" t="s">
        <v>670</v>
      </c>
      <c r="B326" s="175" t="s">
        <v>671</v>
      </c>
      <c r="C326" s="293" t="s">
        <v>210</v>
      </c>
      <c r="D326" s="30">
        <v>0.31520199999999998</v>
      </c>
      <c r="E326" s="30">
        <v>0.32951200000000003</v>
      </c>
      <c r="F326" s="30">
        <v>0.34335199999999999</v>
      </c>
      <c r="G326" s="30">
        <v>0.332845</v>
      </c>
      <c r="H326" s="30">
        <v>0.32052999999999998</v>
      </c>
      <c r="I326" s="30">
        <v>0.32373499999999999</v>
      </c>
      <c r="J326" s="30">
        <v>0.32244</v>
      </c>
      <c r="K326" s="30">
        <v>0.32438</v>
      </c>
      <c r="L326" s="11"/>
      <c r="M326" s="11"/>
      <c r="N326" s="11"/>
      <c r="O326" s="11">
        <v>0.34422999999999998</v>
      </c>
      <c r="P326" s="49">
        <v>0.34422999999999998</v>
      </c>
      <c r="Q326" s="49">
        <v>0.82777000000000001</v>
      </c>
      <c r="R326" s="49">
        <v>0.82777000000000001</v>
      </c>
      <c r="S326" s="49">
        <v>0.86253599999999997</v>
      </c>
      <c r="T326" s="46"/>
      <c r="U326" s="171" t="s">
        <v>672</v>
      </c>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c r="AT326" s="7"/>
      <c r="AU326" s="7"/>
      <c r="AV326" s="7"/>
      <c r="AW326" s="7"/>
      <c r="AX326" s="7"/>
    </row>
    <row r="327" spans="1:50">
      <c r="A327" s="375" t="s">
        <v>178</v>
      </c>
      <c r="C327" s="238"/>
      <c r="D327" s="7"/>
      <c r="E327" s="7"/>
      <c r="F327" s="7"/>
      <c r="G327" s="7"/>
      <c r="H327" s="7"/>
      <c r="I327" s="7"/>
      <c r="J327" s="7"/>
      <c r="K327" s="7"/>
      <c r="L327" s="7"/>
      <c r="M327" s="7"/>
      <c r="N327" s="7"/>
      <c r="O327" s="7"/>
      <c r="P327" s="7"/>
      <c r="Q327" s="7"/>
      <c r="T327" s="46"/>
      <c r="U327" s="171"/>
      <c r="V327" s="7"/>
      <c r="W327" s="7"/>
      <c r="X327" s="7"/>
      <c r="Y327" s="7"/>
      <c r="Z327" s="7"/>
      <c r="AA327" s="7"/>
      <c r="AB327" s="7"/>
      <c r="AC327" s="7"/>
      <c r="AD327" s="7"/>
      <c r="AE327" s="7"/>
      <c r="AF327" s="7"/>
      <c r="AG327" s="7"/>
      <c r="AH327" s="7"/>
      <c r="AI327" s="7"/>
      <c r="AJ327" s="7"/>
      <c r="AK327" s="7"/>
      <c r="AL327" s="7"/>
      <c r="AM327" s="7"/>
      <c r="AN327" s="7"/>
      <c r="AO327" s="7"/>
      <c r="AP327" s="7"/>
      <c r="AQ327" s="7"/>
      <c r="AR327" s="7"/>
      <c r="AS327" s="7"/>
      <c r="AT327" s="7"/>
      <c r="AU327" s="7"/>
      <c r="AV327" s="7"/>
      <c r="AW327" s="7"/>
      <c r="AX327" s="7"/>
    </row>
    <row r="328" spans="1:50">
      <c r="A328" s="445" t="s">
        <v>178</v>
      </c>
      <c r="B328" s="284" t="s">
        <v>303</v>
      </c>
      <c r="C328" s="295"/>
      <c r="D328" s="7"/>
      <c r="E328" s="7"/>
      <c r="F328" s="7"/>
      <c r="G328" s="7"/>
      <c r="H328" s="7"/>
      <c r="I328" s="7"/>
      <c r="J328" s="7"/>
      <c r="K328" s="7"/>
      <c r="L328" s="7"/>
      <c r="M328" s="7"/>
      <c r="N328" s="7"/>
      <c r="O328" s="7"/>
      <c r="P328" s="7"/>
      <c r="Q328" s="7"/>
      <c r="T328" s="7"/>
      <c r="U328" s="171"/>
      <c r="V328" s="7"/>
      <c r="W328" s="7"/>
      <c r="X328" s="7"/>
      <c r="Y328" s="7"/>
      <c r="Z328" s="7"/>
      <c r="AA328" s="7"/>
      <c r="AB328" s="7"/>
      <c r="AC328" s="7"/>
      <c r="AD328" s="7"/>
      <c r="AE328" s="7"/>
      <c r="AF328" s="7"/>
      <c r="AG328" s="7"/>
      <c r="AH328" s="7"/>
      <c r="AI328" s="7"/>
      <c r="AJ328" s="7"/>
      <c r="AK328" s="7"/>
      <c r="AL328" s="7"/>
      <c r="AM328" s="7"/>
      <c r="AN328" s="7"/>
      <c r="AO328" s="7"/>
      <c r="AP328" s="7"/>
      <c r="AQ328" s="7"/>
      <c r="AR328" s="7"/>
      <c r="AS328" s="7"/>
      <c r="AT328" s="7"/>
      <c r="AU328" s="7"/>
      <c r="AV328" s="7"/>
      <c r="AW328" s="7"/>
      <c r="AX328" s="7"/>
    </row>
    <row r="329" spans="1:50">
      <c r="A329" s="376" t="s">
        <v>673</v>
      </c>
      <c r="B329" s="175" t="s">
        <v>674</v>
      </c>
      <c r="C329" s="294" t="s">
        <v>160</v>
      </c>
      <c r="D329" s="6">
        <f t="shared" ref="D329:K329" si="181">D307*D324</f>
        <v>56755377.622030698</v>
      </c>
      <c r="E329" s="6">
        <f t="shared" si="181"/>
        <v>60249928.820435479</v>
      </c>
      <c r="F329" s="6">
        <f t="shared" si="181"/>
        <v>64892250.66680517</v>
      </c>
      <c r="G329" s="6">
        <f t="shared" si="181"/>
        <v>63708043.071810268</v>
      </c>
      <c r="H329" s="6">
        <f t="shared" si="181"/>
        <v>63454080.954865396</v>
      </c>
      <c r="I329" s="6">
        <f t="shared" si="181"/>
        <v>68425160.302222371</v>
      </c>
      <c r="J329" s="6">
        <f t="shared" si="181"/>
        <v>71271028.652181</v>
      </c>
      <c r="K329" s="6">
        <f t="shared" si="181"/>
        <v>80621568.19223094</v>
      </c>
      <c r="L329" s="6">
        <f>+P2a!D385+P2a!D387+P2a!D389</f>
        <v>84001073.732739702</v>
      </c>
      <c r="M329" s="6">
        <f>+P2a!E385+P2a!E387+P2a!E389</f>
        <v>88087521.463001385</v>
      </c>
      <c r="N329" s="6">
        <f>+P2a!F385+P2a!F387+P2a!F389</f>
        <v>87779801.217135176</v>
      </c>
      <c r="O329" s="6">
        <f t="shared" ref="O329:S331" si="182">O307*O324</f>
        <v>89308257.263799265</v>
      </c>
      <c r="P329" s="6">
        <f t="shared" si="182"/>
        <v>89424600.391422004</v>
      </c>
      <c r="Q329" s="6">
        <f t="shared" si="182"/>
        <v>150943010.95882401</v>
      </c>
      <c r="R329" s="6">
        <f>R307*R324</f>
        <v>149575934.86572701</v>
      </c>
      <c r="S329" s="6">
        <f t="shared" ref="S329" si="183">S307*S324</f>
        <v>157102823.88317373</v>
      </c>
      <c r="T329" s="46"/>
      <c r="U329" s="171" t="s">
        <v>675</v>
      </c>
      <c r="V329" s="7"/>
      <c r="W329" s="7"/>
      <c r="X329" s="7"/>
      <c r="Y329" s="7"/>
      <c r="Z329" s="7"/>
      <c r="AA329" s="7"/>
      <c r="AB329" s="7"/>
      <c r="AC329" s="7"/>
      <c r="AD329" s="7"/>
      <c r="AE329" s="7"/>
      <c r="AF329" s="7"/>
      <c r="AG329" s="7"/>
      <c r="AH329" s="7"/>
      <c r="AI329" s="7"/>
      <c r="AJ329" s="7"/>
      <c r="AK329" s="7"/>
      <c r="AL329" s="7"/>
      <c r="AM329" s="7"/>
      <c r="AN329" s="7"/>
      <c r="AO329" s="7"/>
      <c r="AP329" s="7"/>
      <c r="AQ329" s="7"/>
      <c r="AR329" s="7"/>
      <c r="AS329" s="7"/>
      <c r="AT329" s="7"/>
      <c r="AU329" s="7"/>
      <c r="AV329" s="7"/>
      <c r="AW329" s="7"/>
      <c r="AX329" s="7"/>
    </row>
    <row r="330" spans="1:50">
      <c r="A330" s="373" t="s">
        <v>676</v>
      </c>
      <c r="B330" s="175" t="s">
        <v>677</v>
      </c>
      <c r="C330" s="294" t="s">
        <v>160</v>
      </c>
      <c r="D330" s="6">
        <f>D308*D325</f>
        <v>39658287.21055042</v>
      </c>
      <c r="E330" s="6">
        <f t="shared" ref="E330:G331" si="184">E308*E325</f>
        <v>43966148.035244286</v>
      </c>
      <c r="F330" s="6">
        <f t="shared" si="184"/>
        <v>47794075.14078369</v>
      </c>
      <c r="G330" s="6">
        <f t="shared" si="184"/>
        <v>47292158.849090517</v>
      </c>
      <c r="H330" s="6">
        <f t="shared" ref="H330:K331" si="185">H308*H325</f>
        <v>46732701.41265887</v>
      </c>
      <c r="I330" s="6">
        <f t="shared" si="185"/>
        <v>49520318.977729335</v>
      </c>
      <c r="J330" s="6">
        <f t="shared" si="185"/>
        <v>51399085.800289594</v>
      </c>
      <c r="K330" s="6">
        <f t="shared" si="185"/>
        <v>57407469.664298207</v>
      </c>
      <c r="L330" s="6">
        <f>+P2a!D386+P2a!D388+P2a!D390</f>
        <v>59719626.979486465</v>
      </c>
      <c r="M330" s="6">
        <f>+P2a!E386+P2a!E388+P2a!E390</f>
        <v>62546466.911298484</v>
      </c>
      <c r="N330" s="6">
        <f>+P2a!F386+P2a!F388+P2a!F390</f>
        <v>62458080.624810867</v>
      </c>
      <c r="O330" s="6">
        <f t="shared" si="182"/>
        <v>63568051.823803142</v>
      </c>
      <c r="P330" s="6">
        <f t="shared" si="182"/>
        <v>63854340.165225998</v>
      </c>
      <c r="Q330" s="6">
        <f t="shared" si="182"/>
        <v>0</v>
      </c>
      <c r="R330" s="6">
        <f t="shared" si="182"/>
        <v>0</v>
      </c>
      <c r="S330" s="6">
        <f t="shared" si="182"/>
        <v>0</v>
      </c>
      <c r="T330" s="46"/>
      <c r="U330" s="171" t="s">
        <v>678</v>
      </c>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c r="AT330" s="7"/>
      <c r="AU330" s="7"/>
      <c r="AV330" s="7"/>
      <c r="AW330" s="7"/>
      <c r="AX330" s="7"/>
    </row>
    <row r="331" spans="1:50">
      <c r="A331" s="373" t="s">
        <v>679</v>
      </c>
      <c r="B331" s="175" t="s">
        <v>680</v>
      </c>
      <c r="C331" s="294" t="s">
        <v>160</v>
      </c>
      <c r="D331" s="6">
        <f>D309*D326</f>
        <v>3263.91671</v>
      </c>
      <c r="E331" s="6">
        <f t="shared" si="184"/>
        <v>3412.0967600000004</v>
      </c>
      <c r="F331" s="6">
        <f t="shared" si="184"/>
        <v>3555.40996</v>
      </c>
      <c r="G331" s="6">
        <f t="shared" si="184"/>
        <v>3586.0720299999998</v>
      </c>
      <c r="H331" s="6">
        <f t="shared" si="185"/>
        <v>3367.1676499999999</v>
      </c>
      <c r="I331" s="6">
        <f t="shared" si="185"/>
        <v>3625.8319999999999</v>
      </c>
      <c r="J331" s="6">
        <f t="shared" si="185"/>
        <v>3599.3977199999999</v>
      </c>
      <c r="K331" s="6">
        <f t="shared" si="185"/>
        <v>3614.8907199999999</v>
      </c>
      <c r="L331" s="6">
        <f>+P2a!D391</f>
        <v>3687.1038399999998</v>
      </c>
      <c r="M331" s="6">
        <f>+P2a!E391</f>
        <v>3760.8771200000001</v>
      </c>
      <c r="N331" s="6">
        <f>+P2a!F391</f>
        <v>2753.4993199999999</v>
      </c>
      <c r="O331" s="6">
        <f t="shared" si="182"/>
        <v>12484.877869999998</v>
      </c>
      <c r="P331" s="6">
        <f t="shared" si="182"/>
        <v>14963.678099999999</v>
      </c>
      <c r="Q331" s="6">
        <f t="shared" si="182"/>
        <v>38334.028700000003</v>
      </c>
      <c r="R331" s="6">
        <f>R309*R326</f>
        <v>48152.259696917798</v>
      </c>
      <c r="S331" s="6">
        <f t="shared" si="182"/>
        <v>54378.781166769171</v>
      </c>
      <c r="T331" s="46"/>
      <c r="U331" s="171" t="s">
        <v>681</v>
      </c>
      <c r="V331" s="7"/>
      <c r="W331" s="7"/>
      <c r="X331" s="7"/>
      <c r="Y331" s="7"/>
      <c r="Z331" s="7"/>
      <c r="AA331" s="7"/>
      <c r="AB331" s="7"/>
      <c r="AC331" s="7"/>
      <c r="AD331" s="7"/>
      <c r="AE331" s="7"/>
      <c r="AF331" s="7"/>
      <c r="AG331" s="7"/>
      <c r="AH331" s="7"/>
      <c r="AI331" s="7"/>
      <c r="AJ331" s="7"/>
      <c r="AK331" s="7"/>
      <c r="AL331" s="7"/>
      <c r="AM331" s="7"/>
      <c r="AN331" s="7"/>
      <c r="AO331" s="7"/>
      <c r="AP331" s="7"/>
      <c r="AQ331" s="7"/>
      <c r="AR331" s="7"/>
      <c r="AS331" s="7"/>
      <c r="AT331" s="7"/>
      <c r="AU331" s="7"/>
      <c r="AV331" s="7"/>
      <c r="AW331" s="7"/>
      <c r="AX331" s="7"/>
    </row>
    <row r="332" spans="1:50">
      <c r="A332" s="373" t="s">
        <v>682</v>
      </c>
      <c r="B332" s="175" t="s">
        <v>176</v>
      </c>
      <c r="C332" s="294" t="s">
        <v>160</v>
      </c>
      <c r="D332" s="6">
        <f>SUM(D329:D331)</f>
        <v>96416928.749291122</v>
      </c>
      <c r="E332" s="6">
        <f t="shared" ref="E332:G332" si="186">SUM(E329:E331)</f>
        <v>104219488.95243977</v>
      </c>
      <c r="F332" s="6">
        <f t="shared" si="186"/>
        <v>112689881.21754886</v>
      </c>
      <c r="G332" s="6">
        <f t="shared" si="186"/>
        <v>111003787.99293078</v>
      </c>
      <c r="H332" s="6">
        <f t="shared" ref="H332:M332" si="187">SUM(H329:H331)</f>
        <v>110190149.53517427</v>
      </c>
      <c r="I332" s="6">
        <f t="shared" si="187"/>
        <v>117949105.11195171</v>
      </c>
      <c r="J332" s="6">
        <f t="shared" si="187"/>
        <v>122673713.85019059</v>
      </c>
      <c r="K332" s="6">
        <f t="shared" si="187"/>
        <v>138032652.74724916</v>
      </c>
      <c r="L332" s="6">
        <f t="shared" si="187"/>
        <v>143724387.81606615</v>
      </c>
      <c r="M332" s="6">
        <f t="shared" si="187"/>
        <v>150637749.25141987</v>
      </c>
      <c r="N332" s="6">
        <f t="shared" ref="N332:S332" si="188">SUM(N329:N331)</f>
        <v>150240635.34126604</v>
      </c>
      <c r="O332" s="6">
        <f t="shared" si="188"/>
        <v>152888793.9654724</v>
      </c>
      <c r="P332" s="6">
        <f t="shared" si="188"/>
        <v>153293904.23474801</v>
      </c>
      <c r="Q332" s="6">
        <f t="shared" si="188"/>
        <v>150981344.987524</v>
      </c>
      <c r="R332" s="6">
        <f t="shared" si="188"/>
        <v>149624087.12542394</v>
      </c>
      <c r="S332" s="6">
        <f t="shared" si="188"/>
        <v>157157202.6643405</v>
      </c>
      <c r="T332" s="46"/>
      <c r="U332" s="171" t="s">
        <v>170</v>
      </c>
      <c r="V332" s="7"/>
      <c r="W332" s="7"/>
      <c r="X332" s="7"/>
      <c r="Y332" s="7"/>
      <c r="Z332" s="7"/>
      <c r="AA332" s="7"/>
      <c r="AB332" s="7"/>
      <c r="AC332" s="7"/>
      <c r="AD332" s="7"/>
      <c r="AE332" s="7"/>
      <c r="AF332" s="7"/>
      <c r="AG332" s="7"/>
      <c r="AH332" s="7"/>
      <c r="AI332" s="7"/>
      <c r="AJ332" s="7"/>
      <c r="AK332" s="7"/>
      <c r="AL332" s="7"/>
      <c r="AM332" s="7"/>
      <c r="AN332" s="7"/>
      <c r="AO332" s="7"/>
      <c r="AP332" s="7"/>
      <c r="AQ332" s="7"/>
      <c r="AR332" s="7"/>
      <c r="AS332" s="7"/>
      <c r="AT332" s="7"/>
      <c r="AU332" s="7"/>
      <c r="AV332" s="7"/>
      <c r="AW332" s="7"/>
      <c r="AX332" s="7"/>
    </row>
    <row r="333" spans="1:50">
      <c r="A333" s="375" t="s">
        <v>178</v>
      </c>
      <c r="C333" s="238"/>
      <c r="D333" s="7"/>
      <c r="E333" s="7"/>
      <c r="F333" s="7"/>
      <c r="G333" s="7"/>
      <c r="H333" s="7"/>
      <c r="I333" s="7"/>
      <c r="J333" s="7"/>
      <c r="K333" s="7"/>
      <c r="L333" s="7"/>
      <c r="M333" s="7"/>
      <c r="N333" s="7"/>
      <c r="O333" s="7"/>
      <c r="P333" s="7"/>
      <c r="Q333" s="7"/>
      <c r="T333" s="46"/>
      <c r="U333" s="171"/>
      <c r="V333" s="7"/>
      <c r="W333" s="7"/>
      <c r="X333" s="7"/>
      <c r="Y333" s="7"/>
      <c r="Z333" s="7"/>
      <c r="AA333" s="7"/>
      <c r="AB333" s="7"/>
      <c r="AC333" s="7"/>
      <c r="AD333" s="7"/>
      <c r="AE333" s="7"/>
      <c r="AF333" s="7"/>
      <c r="AG333" s="7"/>
      <c r="AH333" s="7"/>
      <c r="AI333" s="7"/>
      <c r="AJ333" s="7"/>
      <c r="AK333" s="7"/>
      <c r="AL333" s="7"/>
      <c r="AM333" s="7"/>
      <c r="AN333" s="7"/>
      <c r="AO333" s="7"/>
      <c r="AP333" s="7"/>
      <c r="AQ333" s="7"/>
      <c r="AR333" s="7"/>
      <c r="AS333" s="7"/>
      <c r="AT333" s="7"/>
      <c r="AU333" s="7"/>
      <c r="AV333" s="7"/>
      <c r="AW333" s="7"/>
      <c r="AX333" s="7"/>
    </row>
    <row r="334" spans="1:50">
      <c r="A334" s="445" t="s">
        <v>178</v>
      </c>
      <c r="B334" s="443" t="s">
        <v>683</v>
      </c>
      <c r="C334" s="290"/>
      <c r="D334" s="8"/>
      <c r="E334" s="8"/>
      <c r="F334" s="8"/>
      <c r="G334" s="8"/>
      <c r="H334" s="8"/>
      <c r="I334" s="8"/>
      <c r="J334" s="8"/>
      <c r="K334" s="8"/>
      <c r="L334" s="8"/>
      <c r="M334" s="8"/>
      <c r="N334" s="8"/>
      <c r="O334" s="8"/>
      <c r="P334" s="8"/>
      <c r="Q334" s="8"/>
      <c r="R334" s="8"/>
      <c r="S334" s="8"/>
      <c r="T334" s="46"/>
      <c r="U334" s="171"/>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c r="AT334" s="7"/>
      <c r="AU334" s="7"/>
      <c r="AV334" s="7"/>
      <c r="AW334" s="7"/>
      <c r="AX334" s="7"/>
    </row>
    <row r="335" spans="1:50">
      <c r="A335" s="376" t="s">
        <v>684</v>
      </c>
      <c r="B335" s="20" t="s">
        <v>685</v>
      </c>
      <c r="C335" s="293" t="s">
        <v>210</v>
      </c>
      <c r="D335" s="11">
        <v>0</v>
      </c>
      <c r="E335" s="11">
        <v>115.90299999999999</v>
      </c>
      <c r="F335" s="11">
        <v>446</v>
      </c>
      <c r="G335" s="11">
        <v>6583.6886999999997</v>
      </c>
      <c r="H335" s="11">
        <v>737567.41409999668</v>
      </c>
      <c r="I335" s="11">
        <v>4116442.8272000239</v>
      </c>
      <c r="J335" s="11">
        <v>7643686.9194997521</v>
      </c>
      <c r="K335" s="11">
        <v>9973015.2227999959</v>
      </c>
      <c r="L335" s="11">
        <f>+P2a!D395-L339</f>
        <v>10006420.956999807</v>
      </c>
      <c r="M335" s="11">
        <f>+P2a!E395</f>
        <v>10360410.861200139</v>
      </c>
      <c r="N335" s="11">
        <f>+P2a!F395-N339</f>
        <v>10319477.341099862</v>
      </c>
      <c r="O335" s="11">
        <v>9987126.2013000473</v>
      </c>
      <c r="P335" s="11">
        <v>9967010</v>
      </c>
      <c r="Q335" s="11">
        <v>10240246</v>
      </c>
      <c r="R335" s="11">
        <v>10060828.6269999</v>
      </c>
      <c r="S335" s="11">
        <v>11341597.578199901</v>
      </c>
      <c r="T335" s="46"/>
      <c r="U335" s="171" t="s">
        <v>686</v>
      </c>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c r="AT335" s="7"/>
      <c r="AU335" s="7"/>
      <c r="AV335" s="7"/>
      <c r="AW335" s="7"/>
      <c r="AX335" s="7"/>
    </row>
    <row r="336" spans="1:50">
      <c r="A336" s="373" t="s">
        <v>687</v>
      </c>
      <c r="B336" s="20" t="s">
        <v>688</v>
      </c>
      <c r="C336" s="294" t="s">
        <v>160</v>
      </c>
      <c r="D336" s="35">
        <f>D335/D332</f>
        <v>0</v>
      </c>
      <c r="E336" s="35">
        <f>E335/E332</f>
        <v>1.1121048583618747E-6</v>
      </c>
      <c r="F336" s="35">
        <f>F335/F332</f>
        <v>3.9577643989081229E-6</v>
      </c>
      <c r="G336" s="35">
        <f t="shared" ref="G336:K336" si="189">G335/G332</f>
        <v>5.9310486777435722E-5</v>
      </c>
      <c r="H336" s="35">
        <f t="shared" si="189"/>
        <v>6.6935875594265771E-3</v>
      </c>
      <c r="I336" s="35">
        <f t="shared" si="189"/>
        <v>3.4900161584887748E-2</v>
      </c>
      <c r="J336" s="35">
        <f t="shared" si="189"/>
        <v>6.2309085456027188E-2</v>
      </c>
      <c r="K336" s="35">
        <f t="shared" si="189"/>
        <v>7.2251130615170675E-2</v>
      </c>
      <c r="L336" s="35">
        <f>L335/L332</f>
        <v>6.9622289640959914E-2</v>
      </c>
      <c r="M336" s="35">
        <f>M335/M332</f>
        <v>6.8776989251932041E-2</v>
      </c>
      <c r="N336" s="35">
        <f>N335/N332</f>
        <v>6.8686326556457594E-2</v>
      </c>
      <c r="O336" s="35">
        <f>O335/O332</f>
        <v>6.5322813675641175E-2</v>
      </c>
      <c r="P336" s="35">
        <f t="shared" ref="P336:S336" si="190">P335/P332</f>
        <v>6.5018958514729511E-2</v>
      </c>
      <c r="Q336" s="35">
        <f t="shared" si="190"/>
        <v>6.7824577936076672E-2</v>
      </c>
      <c r="R336" s="35">
        <f t="shared" si="190"/>
        <v>6.7240701816722231E-2</v>
      </c>
      <c r="S336" s="35">
        <f t="shared" si="190"/>
        <v>7.2167214648274899E-2</v>
      </c>
      <c r="T336" s="46"/>
      <c r="U336" s="171" t="s">
        <v>689</v>
      </c>
      <c r="V336" s="7"/>
      <c r="W336" s="7"/>
      <c r="X336" s="7"/>
      <c r="Y336" s="7"/>
      <c r="Z336" s="7"/>
      <c r="AA336" s="7"/>
      <c r="AB336" s="7"/>
      <c r="AC336" s="7"/>
      <c r="AD336" s="7"/>
      <c r="AE336" s="7"/>
      <c r="AF336" s="7"/>
      <c r="AG336" s="7"/>
      <c r="AH336" s="7"/>
      <c r="AI336" s="7"/>
      <c r="AJ336" s="7"/>
      <c r="AK336" s="7"/>
      <c r="AL336" s="7"/>
      <c r="AM336" s="7"/>
      <c r="AN336" s="7"/>
      <c r="AO336" s="7"/>
      <c r="AP336" s="7"/>
      <c r="AQ336" s="7"/>
      <c r="AR336" s="7"/>
      <c r="AS336" s="7"/>
      <c r="AT336" s="7"/>
      <c r="AU336" s="7"/>
      <c r="AV336" s="7"/>
      <c r="AW336" s="7"/>
      <c r="AX336" s="7"/>
    </row>
    <row r="337" spans="1:50">
      <c r="A337" s="373" t="s">
        <v>690</v>
      </c>
      <c r="B337" s="20" t="s">
        <v>691</v>
      </c>
      <c r="C337" s="293" t="s">
        <v>210</v>
      </c>
      <c r="D337" s="11"/>
      <c r="E337" s="11"/>
      <c r="F337" s="11"/>
      <c r="G337" s="11"/>
      <c r="H337" s="11">
        <v>0</v>
      </c>
      <c r="I337" s="11">
        <v>0</v>
      </c>
      <c r="J337" s="11">
        <v>0</v>
      </c>
      <c r="K337" s="11">
        <v>8311072.7668000041</v>
      </c>
      <c r="L337" s="11">
        <f>+P2a!D397-L339</f>
        <v>7848046.2812993508</v>
      </c>
      <c r="M337" s="11">
        <f>+P2a!E397-M339</f>
        <v>8256166.4038000014</v>
      </c>
      <c r="N337" s="11">
        <f>+P2a!F397-N339</f>
        <v>8028316.1998999901</v>
      </c>
      <c r="O337" s="11">
        <f>11276105.3177002-O339</f>
        <v>10130323.876900202</v>
      </c>
      <c r="P337" s="11">
        <v>9339772</v>
      </c>
      <c r="Q337" s="11">
        <v>9002627</v>
      </c>
      <c r="R337" s="11">
        <v>9221148.59170001</v>
      </c>
      <c r="S337" s="11">
        <v>9216424.0779999997</v>
      </c>
      <c r="T337" s="46"/>
      <c r="U337" s="171" t="s">
        <v>692</v>
      </c>
      <c r="V337" s="7"/>
      <c r="W337" s="7"/>
      <c r="X337" s="7"/>
      <c r="Y337" s="7"/>
      <c r="Z337" s="7"/>
      <c r="AA337" s="7"/>
      <c r="AB337" s="7"/>
      <c r="AC337" s="7"/>
      <c r="AD337" s="7"/>
      <c r="AE337" s="7"/>
      <c r="AF337" s="7"/>
      <c r="AG337" s="7"/>
      <c r="AH337" s="7"/>
      <c r="AI337" s="7"/>
      <c r="AJ337" s="7"/>
      <c r="AK337" s="7"/>
      <c r="AL337" s="7"/>
      <c r="AM337" s="7"/>
      <c r="AN337" s="7"/>
      <c r="AO337" s="7"/>
      <c r="AP337" s="7"/>
      <c r="AQ337" s="7"/>
      <c r="AR337" s="7"/>
      <c r="AS337" s="7"/>
      <c r="AT337" s="7"/>
      <c r="AU337" s="7"/>
      <c r="AV337" s="7"/>
      <c r="AW337" s="7"/>
      <c r="AX337" s="7"/>
    </row>
    <row r="338" spans="1:50">
      <c r="A338" s="373" t="s">
        <v>693</v>
      </c>
      <c r="B338" s="20" t="s">
        <v>694</v>
      </c>
      <c r="C338" s="294" t="s">
        <v>160</v>
      </c>
      <c r="D338" s="35">
        <f>D337/D332</f>
        <v>0</v>
      </c>
      <c r="E338" s="35">
        <f>E337/E332</f>
        <v>0</v>
      </c>
      <c r="F338" s="35">
        <f>F337/F332</f>
        <v>0</v>
      </c>
      <c r="G338" s="35">
        <f t="shared" ref="G338:K338" si="191">G337/G332</f>
        <v>0</v>
      </c>
      <c r="H338" s="35">
        <f t="shared" si="191"/>
        <v>0</v>
      </c>
      <c r="I338" s="35">
        <f t="shared" si="191"/>
        <v>0</v>
      </c>
      <c r="J338" s="35">
        <f t="shared" si="191"/>
        <v>0</v>
      </c>
      <c r="K338" s="35">
        <f t="shared" si="191"/>
        <v>6.0210918223953608E-2</v>
      </c>
      <c r="L338" s="35">
        <f>L337/L332</f>
        <v>5.4604833602373927E-2</v>
      </c>
      <c r="M338" s="35">
        <f>M337/M332</f>
        <v>5.4808083928684831E-2</v>
      </c>
      <c r="N338" s="35">
        <f>N337/N332</f>
        <v>5.3436383450216167E-2</v>
      </c>
      <c r="O338" s="35">
        <f>O337/O332</f>
        <v>6.6259426960932011E-2</v>
      </c>
      <c r="P338" s="35">
        <f t="shared" ref="P338:S338" si="192">P337/P332</f>
        <v>6.092722373159376E-2</v>
      </c>
      <c r="Q338" s="35">
        <f t="shared" si="192"/>
        <v>5.9627412914780374E-2</v>
      </c>
      <c r="R338" s="35">
        <f t="shared" si="192"/>
        <v>6.1628770934256644E-2</v>
      </c>
      <c r="S338" s="35">
        <f t="shared" si="192"/>
        <v>5.8644617756938723E-2</v>
      </c>
      <c r="T338" s="46"/>
      <c r="U338" s="171" t="s">
        <v>695</v>
      </c>
      <c r="V338" s="7"/>
      <c r="W338" s="7"/>
      <c r="X338" s="7"/>
      <c r="Y338" s="7"/>
      <c r="Z338" s="7"/>
      <c r="AA338" s="7"/>
      <c r="AB338" s="7"/>
      <c r="AC338" s="7"/>
      <c r="AD338" s="7"/>
      <c r="AE338" s="7"/>
      <c r="AF338" s="7"/>
      <c r="AG338" s="7"/>
      <c r="AH338" s="7"/>
      <c r="AI338" s="7"/>
      <c r="AJ338" s="7"/>
      <c r="AK338" s="7"/>
      <c r="AL338" s="7"/>
      <c r="AM338" s="7"/>
      <c r="AN338" s="7"/>
      <c r="AO338" s="7"/>
      <c r="AP338" s="7"/>
      <c r="AQ338" s="7"/>
      <c r="AR338" s="7"/>
      <c r="AS338" s="7"/>
      <c r="AT338" s="7"/>
      <c r="AU338" s="7"/>
      <c r="AV338" s="7"/>
      <c r="AW338" s="7"/>
      <c r="AX338" s="7"/>
    </row>
    <row r="339" spans="1:50">
      <c r="A339" s="373" t="s">
        <v>696</v>
      </c>
      <c r="B339" s="20" t="s">
        <v>332</v>
      </c>
      <c r="C339" s="293" t="s">
        <v>210</v>
      </c>
      <c r="D339" s="11"/>
      <c r="E339" s="11"/>
      <c r="F339" s="11"/>
      <c r="G339" s="11"/>
      <c r="H339" s="11">
        <v>0</v>
      </c>
      <c r="I339" s="11">
        <v>0</v>
      </c>
      <c r="J339" s="11">
        <v>0</v>
      </c>
      <c r="K339" s="11">
        <v>1528195.3627000048</v>
      </c>
      <c r="L339" s="11">
        <f>+P2a!D399</f>
        <v>1374479.8991000149</v>
      </c>
      <c r="M339" s="11">
        <f>+P2a!E399</f>
        <v>1195923.0461999984</v>
      </c>
      <c r="N339" s="11">
        <f>+P2a!F399</f>
        <v>1115746.4663000018</v>
      </c>
      <c r="O339" s="11">
        <v>1145781.4407999977</v>
      </c>
      <c r="P339" s="11">
        <v>1095122</v>
      </c>
      <c r="Q339" s="11">
        <v>1043417</v>
      </c>
      <c r="R339" s="11">
        <v>1086394.37939999</v>
      </c>
      <c r="S339" s="11">
        <v>1146991.0485999901</v>
      </c>
      <c r="T339" s="46"/>
      <c r="U339" s="171" t="s">
        <v>333</v>
      </c>
      <c r="V339" s="7"/>
      <c r="W339" s="7"/>
      <c r="X339" s="7"/>
      <c r="Y339" s="7"/>
      <c r="Z339" s="7"/>
      <c r="AA339" s="7"/>
      <c r="AB339" s="7"/>
      <c r="AC339" s="7"/>
      <c r="AD339" s="7"/>
      <c r="AE339" s="7"/>
      <c r="AF339" s="7"/>
      <c r="AG339" s="7"/>
      <c r="AH339" s="7"/>
      <c r="AI339" s="7"/>
      <c r="AJ339" s="7"/>
      <c r="AK339" s="7"/>
      <c r="AL339" s="7"/>
      <c r="AM339" s="7"/>
      <c r="AN339" s="7"/>
      <c r="AO339" s="7"/>
      <c r="AP339" s="7"/>
      <c r="AQ339" s="7"/>
      <c r="AR339" s="7"/>
      <c r="AS339" s="7"/>
      <c r="AT339" s="7"/>
      <c r="AU339" s="7"/>
      <c r="AV339" s="7"/>
      <c r="AW339" s="7"/>
      <c r="AX339" s="7"/>
    </row>
    <row r="340" spans="1:50">
      <c r="A340" s="373" t="s">
        <v>697</v>
      </c>
      <c r="B340" s="20" t="s">
        <v>335</v>
      </c>
      <c r="C340" s="294" t="s">
        <v>160</v>
      </c>
      <c r="D340" s="35">
        <f t="shared" ref="D340:M340" si="193">D339/D332</f>
        <v>0</v>
      </c>
      <c r="E340" s="35">
        <f t="shared" si="193"/>
        <v>0</v>
      </c>
      <c r="F340" s="35">
        <f t="shared" si="193"/>
        <v>0</v>
      </c>
      <c r="G340" s="35">
        <f t="shared" si="193"/>
        <v>0</v>
      </c>
      <c r="H340" s="35">
        <f t="shared" si="193"/>
        <v>0</v>
      </c>
      <c r="I340" s="35">
        <f t="shared" si="193"/>
        <v>0</v>
      </c>
      <c r="J340" s="35">
        <f t="shared" si="193"/>
        <v>0</v>
      </c>
      <c r="K340" s="35">
        <f t="shared" si="193"/>
        <v>1.107125982355983E-2</v>
      </c>
      <c r="L340" s="35">
        <f t="shared" si="193"/>
        <v>9.5633032082142536E-3</v>
      </c>
      <c r="M340" s="35">
        <f t="shared" si="193"/>
        <v>7.9390660849821878E-3</v>
      </c>
      <c r="N340" s="35">
        <f t="shared" ref="N340:S340" si="194">N339/N332</f>
        <v>7.4263960862893386E-3</v>
      </c>
      <c r="O340" s="35">
        <f t="shared" si="194"/>
        <v>7.4942146581308952E-3</v>
      </c>
      <c r="P340" s="35">
        <f t="shared" si="194"/>
        <v>7.1439370369416324E-3</v>
      </c>
      <c r="Q340" s="35">
        <f t="shared" si="194"/>
        <v>6.9109001518447219E-3</v>
      </c>
      <c r="R340" s="35">
        <f t="shared" si="194"/>
        <v>7.2608254477723811E-3</v>
      </c>
      <c r="S340" s="35">
        <f t="shared" si="194"/>
        <v>7.2983676799704593E-3</v>
      </c>
      <c r="T340" s="46"/>
      <c r="U340" s="171"/>
      <c r="V340" s="7"/>
      <c r="W340" s="7"/>
      <c r="X340" s="7"/>
      <c r="Y340" s="7"/>
      <c r="Z340" s="7"/>
      <c r="AA340" s="7"/>
      <c r="AB340" s="7"/>
      <c r="AC340" s="7"/>
      <c r="AD340" s="7"/>
      <c r="AE340" s="7"/>
      <c r="AF340" s="7"/>
      <c r="AG340" s="7"/>
      <c r="AH340" s="7"/>
      <c r="AI340" s="7"/>
      <c r="AJ340" s="7"/>
      <c r="AK340" s="7"/>
      <c r="AL340" s="7"/>
      <c r="AM340" s="7"/>
      <c r="AN340" s="7"/>
      <c r="AO340" s="7"/>
      <c r="AP340" s="7"/>
      <c r="AQ340" s="7"/>
      <c r="AR340" s="7"/>
      <c r="AS340" s="7"/>
      <c r="AT340" s="7"/>
      <c r="AU340" s="7"/>
      <c r="AV340" s="7"/>
      <c r="AW340" s="7"/>
      <c r="AX340" s="7"/>
    </row>
    <row r="341" spans="1:50">
      <c r="A341" s="375" t="s">
        <v>178</v>
      </c>
      <c r="C341" s="238"/>
      <c r="D341" s="7"/>
      <c r="E341" s="7"/>
      <c r="F341" s="7"/>
      <c r="G341" s="7"/>
      <c r="H341" s="7"/>
      <c r="I341" s="7"/>
      <c r="J341" s="7"/>
      <c r="K341" s="7"/>
      <c r="L341" s="7"/>
      <c r="M341" s="7"/>
      <c r="N341" s="7"/>
      <c r="O341" s="7"/>
      <c r="P341" s="7"/>
      <c r="Q341" s="7"/>
      <c r="T341" s="46"/>
      <c r="U341" s="171"/>
      <c r="V341" s="7"/>
      <c r="W341" s="7"/>
      <c r="X341" s="7"/>
      <c r="Y341" s="7"/>
      <c r="Z341" s="7"/>
      <c r="AA341" s="7"/>
      <c r="AB341" s="7"/>
      <c r="AC341" s="7"/>
      <c r="AD341" s="7"/>
      <c r="AE341" s="7"/>
      <c r="AF341" s="7"/>
      <c r="AG341" s="7"/>
      <c r="AH341" s="7"/>
      <c r="AI341" s="7"/>
      <c r="AJ341" s="7"/>
      <c r="AK341" s="7"/>
      <c r="AL341" s="7"/>
      <c r="AM341" s="7"/>
      <c r="AN341" s="7"/>
      <c r="AO341" s="7"/>
      <c r="AP341" s="7"/>
      <c r="AQ341" s="7"/>
      <c r="AR341" s="7"/>
      <c r="AS341" s="7"/>
      <c r="AT341" s="7"/>
      <c r="AU341" s="7"/>
      <c r="AV341" s="7"/>
      <c r="AW341" s="7"/>
      <c r="AX341" s="7"/>
    </row>
    <row r="342" spans="1:50">
      <c r="A342" s="375" t="s">
        <v>178</v>
      </c>
      <c r="C342" s="238"/>
      <c r="D342" s="7"/>
      <c r="E342" s="7"/>
      <c r="F342" s="7"/>
      <c r="G342" s="7"/>
      <c r="H342" s="7"/>
      <c r="I342" s="7"/>
      <c r="J342" s="7"/>
      <c r="K342" s="7"/>
      <c r="L342" s="7"/>
      <c r="M342" s="7"/>
      <c r="N342" s="7"/>
      <c r="O342" s="7"/>
      <c r="P342" s="7"/>
      <c r="Q342" s="7"/>
      <c r="T342" s="46"/>
      <c r="U342" s="171"/>
      <c r="V342" s="7"/>
      <c r="W342" s="7"/>
      <c r="X342" s="7"/>
      <c r="Y342" s="7"/>
      <c r="Z342" s="7"/>
      <c r="AA342" s="7"/>
      <c r="AB342" s="7"/>
      <c r="AC342" s="7"/>
      <c r="AD342" s="7"/>
      <c r="AE342" s="7"/>
      <c r="AF342" s="7"/>
      <c r="AG342" s="7"/>
      <c r="AH342" s="7"/>
      <c r="AI342" s="7"/>
      <c r="AJ342" s="7"/>
      <c r="AK342" s="7"/>
      <c r="AL342" s="7"/>
      <c r="AM342" s="7"/>
      <c r="AN342" s="7"/>
      <c r="AO342" s="7"/>
      <c r="AP342" s="7"/>
      <c r="AQ342" s="7"/>
      <c r="AR342" s="7"/>
      <c r="AS342" s="7"/>
      <c r="AT342" s="7"/>
      <c r="AU342" s="7"/>
      <c r="AV342" s="7"/>
      <c r="AW342" s="7"/>
      <c r="AX342" s="7"/>
    </row>
    <row r="343" spans="1:50">
      <c r="A343" s="375" t="s">
        <v>178</v>
      </c>
      <c r="C343" s="238"/>
      <c r="D343" s="7"/>
      <c r="E343" s="7"/>
      <c r="F343" s="7"/>
      <c r="G343" s="7"/>
      <c r="H343" s="7"/>
      <c r="I343" s="7"/>
      <c r="J343" s="7"/>
      <c r="K343" s="7"/>
      <c r="L343" s="7"/>
      <c r="M343" s="7"/>
      <c r="N343" s="7"/>
      <c r="O343" s="7"/>
      <c r="P343" s="7"/>
      <c r="Q343" s="7"/>
      <c r="T343" s="46"/>
      <c r="U343" s="171"/>
      <c r="V343" s="7"/>
      <c r="W343" s="7"/>
      <c r="X343" s="7"/>
      <c r="Y343" s="7"/>
      <c r="Z343" s="7"/>
      <c r="AA343" s="7"/>
      <c r="AB343" s="7"/>
      <c r="AC343" s="7"/>
      <c r="AD343" s="7"/>
      <c r="AE343" s="7"/>
      <c r="AF343" s="7"/>
      <c r="AG343" s="7"/>
      <c r="AH343" s="7"/>
      <c r="AI343" s="7"/>
      <c r="AJ343" s="7"/>
      <c r="AK343" s="7"/>
      <c r="AL343" s="7"/>
      <c r="AM343" s="7"/>
      <c r="AN343" s="7"/>
      <c r="AO343" s="7"/>
      <c r="AP343" s="7"/>
      <c r="AQ343" s="7"/>
      <c r="AR343" s="7"/>
      <c r="AS343" s="7"/>
      <c r="AT343" s="7"/>
      <c r="AU343" s="7"/>
      <c r="AV343" s="7"/>
      <c r="AW343" s="7"/>
      <c r="AX343" s="7"/>
    </row>
    <row r="344" spans="1:50">
      <c r="A344" s="375" t="s">
        <v>178</v>
      </c>
      <c r="B344" s="9" t="s">
        <v>698</v>
      </c>
      <c r="C344" s="291"/>
      <c r="D344" s="7"/>
      <c r="E344" s="7"/>
      <c r="F344" s="7"/>
      <c r="G344" s="7"/>
      <c r="H344" s="7"/>
      <c r="I344" s="7"/>
      <c r="J344" s="7"/>
      <c r="K344" s="7"/>
      <c r="L344" s="7"/>
      <c r="M344" s="7"/>
      <c r="N344" s="7"/>
      <c r="O344" s="7"/>
      <c r="P344" s="7"/>
      <c r="Q344" s="7"/>
      <c r="R344" s="46"/>
      <c r="T344" s="46"/>
      <c r="U344" s="171"/>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c r="AT344" s="7"/>
      <c r="AU344" s="7"/>
      <c r="AV344" s="7"/>
      <c r="AW344" s="7"/>
      <c r="AX344" s="7"/>
    </row>
    <row r="345" spans="1:50">
      <c r="A345" s="445" t="s">
        <v>178</v>
      </c>
      <c r="B345" s="284" t="s">
        <v>699</v>
      </c>
      <c r="C345" s="26" t="s">
        <v>152</v>
      </c>
      <c r="D345" s="26" t="str">
        <f>+D$14</f>
        <v>2010-11 RF</v>
      </c>
      <c r="E345" s="26" t="str">
        <f t="shared" ref="E345:O345" si="195">+E$14</f>
        <v>2011-12 RF</v>
      </c>
      <c r="F345" s="26" t="str">
        <f t="shared" si="195"/>
        <v>2012-13 RF</v>
      </c>
      <c r="G345" s="26" t="str">
        <f t="shared" si="195"/>
        <v>2013-14 RF</v>
      </c>
      <c r="H345" s="26" t="str">
        <f t="shared" si="195"/>
        <v>2014-15 RF</v>
      </c>
      <c r="I345" s="26" t="str">
        <f t="shared" si="195"/>
        <v>2015-16 RF</v>
      </c>
      <c r="J345" s="26" t="str">
        <f t="shared" si="195"/>
        <v>2016-17 RF</v>
      </c>
      <c r="K345" s="26" t="str">
        <f t="shared" si="195"/>
        <v>2017-18 RF</v>
      </c>
      <c r="L345" s="26" t="str">
        <f t="shared" si="195"/>
        <v>2018-19 RF</v>
      </c>
      <c r="M345" s="26" t="str">
        <f t="shared" si="195"/>
        <v>2019-20 month</v>
      </c>
      <c r="N345" s="26" t="str">
        <f t="shared" si="195"/>
        <v>2019-20 RF</v>
      </c>
      <c r="O345" s="26" t="str">
        <f t="shared" si="195"/>
        <v>2020-21 month</v>
      </c>
      <c r="P345" s="440" t="s">
        <v>18</v>
      </c>
      <c r="Q345" s="440" t="s">
        <v>155</v>
      </c>
      <c r="R345" s="26" t="s">
        <v>20</v>
      </c>
      <c r="S345" s="26" t="s">
        <v>156</v>
      </c>
      <c r="T345" s="46"/>
      <c r="U345" s="171"/>
      <c r="V345" s="7"/>
      <c r="W345" s="7"/>
      <c r="X345" s="7"/>
      <c r="Y345" s="7"/>
      <c r="Z345" s="7"/>
      <c r="AA345" s="7"/>
      <c r="AB345" s="7"/>
      <c r="AC345" s="7"/>
      <c r="AD345" s="7"/>
      <c r="AE345" s="7"/>
      <c r="AF345" s="7"/>
      <c r="AG345" s="7"/>
      <c r="AH345" s="7"/>
      <c r="AI345" s="7"/>
      <c r="AJ345" s="7"/>
      <c r="AK345" s="7"/>
      <c r="AL345" s="7"/>
      <c r="AM345" s="7"/>
      <c r="AN345" s="7"/>
      <c r="AO345" s="7"/>
      <c r="AP345" s="7"/>
      <c r="AQ345" s="7"/>
      <c r="AR345" s="7"/>
      <c r="AS345" s="7"/>
      <c r="AT345" s="7"/>
      <c r="AU345" s="7"/>
      <c r="AV345" s="7"/>
      <c r="AW345" s="7"/>
      <c r="AX345" s="7"/>
    </row>
    <row r="346" spans="1:50">
      <c r="A346" s="376" t="s">
        <v>700</v>
      </c>
      <c r="B346" s="175" t="s">
        <v>701</v>
      </c>
      <c r="C346" s="293" t="s">
        <v>210</v>
      </c>
      <c r="D346" s="11">
        <v>79618.851299999995</v>
      </c>
      <c r="E346" s="11">
        <v>83156.887499999997</v>
      </c>
      <c r="F346" s="11">
        <v>78824.555800000002</v>
      </c>
      <c r="G346" s="11">
        <v>88205.385300000009</v>
      </c>
      <c r="H346" s="11">
        <f>88880.8592+610.5123+3450.947-65.2129</f>
        <v>92877.10560000001</v>
      </c>
      <c r="I346" s="11">
        <f>94977.7804-8.8429</f>
        <v>94968.9375</v>
      </c>
      <c r="J346" s="11">
        <f>95716.3391-13.6856</f>
        <v>95702.6535</v>
      </c>
      <c r="K346" s="11">
        <f>101820.2793-53.3602</f>
        <v>101766.9191</v>
      </c>
      <c r="L346" s="11">
        <f>105055.4955-66.7327</f>
        <v>104988.76280000001</v>
      </c>
      <c r="M346" s="11">
        <v>119492.874264596</v>
      </c>
      <c r="N346" s="11">
        <f>119388.970354369-149.8102</f>
        <v>119239.16015436899</v>
      </c>
      <c r="O346" s="11">
        <f>118683.504862308-242.6805</f>
        <v>118440.82436230799</v>
      </c>
      <c r="P346" s="11">
        <v>118407.4555</v>
      </c>
      <c r="Q346" s="11">
        <v>117260.12079452073</v>
      </c>
      <c r="R346" s="11">
        <v>117613.46</v>
      </c>
      <c r="S346" s="11">
        <f>115673.494-185.361</f>
        <v>115488.133</v>
      </c>
      <c r="T346" s="46"/>
      <c r="U346" s="171" t="s">
        <v>702</v>
      </c>
      <c r="V346" s="7"/>
      <c r="W346" s="7"/>
      <c r="X346" s="7"/>
      <c r="Y346" s="7"/>
      <c r="Z346" s="7"/>
      <c r="AA346" s="7"/>
      <c r="AB346" s="7"/>
      <c r="AC346" s="7"/>
      <c r="AD346" s="7"/>
      <c r="AE346" s="7"/>
      <c r="AF346" s="7"/>
      <c r="AG346" s="7"/>
      <c r="AH346" s="7"/>
      <c r="AI346" s="7"/>
      <c r="AJ346" s="7"/>
      <c r="AK346" s="7"/>
      <c r="AL346" s="7"/>
      <c r="AM346" s="7"/>
      <c r="AN346" s="7"/>
      <c r="AO346" s="7"/>
      <c r="AP346" s="7"/>
      <c r="AQ346" s="7"/>
      <c r="AR346" s="7"/>
      <c r="AS346" s="7"/>
      <c r="AT346" s="7"/>
      <c r="AU346" s="7"/>
      <c r="AV346" s="7"/>
      <c r="AW346" s="7"/>
      <c r="AX346" s="7"/>
    </row>
    <row r="347" spans="1:50">
      <c r="A347" s="373" t="s">
        <v>703</v>
      </c>
      <c r="B347" s="175" t="s">
        <v>704</v>
      </c>
      <c r="C347" s="293" t="s">
        <v>210</v>
      </c>
      <c r="D347" s="11">
        <v>36625.149000000005</v>
      </c>
      <c r="E347" s="11">
        <v>37610.7814</v>
      </c>
      <c r="F347" s="11">
        <v>36373.1728</v>
      </c>
      <c r="G347" s="11">
        <v>39934.341599999992</v>
      </c>
      <c r="H347" s="11">
        <f>42987.3132+34.3248</f>
        <v>43021.637999999999</v>
      </c>
      <c r="I347" s="11">
        <f>45103.6972+27.085</f>
        <v>45130.782200000001</v>
      </c>
      <c r="J347" s="11">
        <f>45849.5569+18.6594</f>
        <v>45868.2163</v>
      </c>
      <c r="K347" s="11">
        <f>49347.8394+20.6058</f>
        <v>49368.445199999995</v>
      </c>
      <c r="L347" s="11">
        <f>52012.0006+26.5064</f>
        <v>52038.506999999998</v>
      </c>
      <c r="M347" s="11">
        <v>57087.125339020437</v>
      </c>
      <c r="N347" s="11">
        <f>56963.6222242623+45.6792</f>
        <v>57009.301424262296</v>
      </c>
      <c r="O347" s="11">
        <f>55414.8405479423+61.5135</f>
        <v>55476.354047942303</v>
      </c>
      <c r="P347" s="11">
        <v>54676.9833</v>
      </c>
      <c r="Q347" s="11">
        <v>54991.72082191777</v>
      </c>
      <c r="R347" s="11">
        <v>54812.81</v>
      </c>
      <c r="S347" s="11">
        <f>52777.599+124.566</f>
        <v>52902.165000000001</v>
      </c>
      <c r="T347" s="46"/>
      <c r="U347" s="374" t="s">
        <v>705</v>
      </c>
      <c r="V347" s="7"/>
      <c r="W347" s="7"/>
      <c r="X347" s="7"/>
      <c r="Y347" s="7"/>
      <c r="Z347" s="7"/>
      <c r="AA347" s="7"/>
      <c r="AB347" s="7"/>
      <c r="AC347" s="7"/>
      <c r="AD347" s="7"/>
      <c r="AE347" s="7"/>
      <c r="AF347" s="7"/>
      <c r="AG347" s="7"/>
      <c r="AH347" s="7"/>
      <c r="AI347" s="7"/>
      <c r="AJ347" s="7"/>
      <c r="AK347" s="7"/>
      <c r="AL347" s="7"/>
      <c r="AM347" s="7"/>
      <c r="AN347" s="7"/>
      <c r="AO347" s="7"/>
      <c r="AP347" s="7"/>
      <c r="AQ347" s="7"/>
      <c r="AR347" s="7"/>
      <c r="AS347" s="7"/>
      <c r="AT347" s="7"/>
      <c r="AU347" s="7"/>
      <c r="AV347" s="7"/>
      <c r="AW347" s="7"/>
      <c r="AX347" s="7"/>
    </row>
    <row r="348" spans="1:50">
      <c r="A348" s="373" t="s">
        <v>706</v>
      </c>
      <c r="B348" s="175" t="s">
        <v>707</v>
      </c>
      <c r="C348" s="293" t="s">
        <v>210</v>
      </c>
      <c r="D348" s="11">
        <v>20324.861199999999</v>
      </c>
      <c r="E348" s="11">
        <v>20293.592499999999</v>
      </c>
      <c r="F348" s="11">
        <v>19579.4556999999</v>
      </c>
      <c r="G348" s="11">
        <v>21758.890100000001</v>
      </c>
      <c r="H348" s="11">
        <f>23270.1226+143.5241+61.0303</f>
        <v>23474.676999999996</v>
      </c>
      <c r="I348" s="11">
        <f>23956.9827+18.5724</f>
        <v>23975.555100000001</v>
      </c>
      <c r="J348" s="11">
        <f>24330.3477+30.2532</f>
        <v>24360.600899999998</v>
      </c>
      <c r="K348" s="11">
        <f>26946.1684+51.2167</f>
        <v>26997.3851</v>
      </c>
      <c r="L348" s="11">
        <f>27263.4091+63.0388</f>
        <v>27326.447899999999</v>
      </c>
      <c r="M348" s="11">
        <v>29400.131694045165</v>
      </c>
      <c r="N348" s="11">
        <f>29252.1681901092+103.3355</f>
        <v>29355.503690109203</v>
      </c>
      <c r="O348" s="11">
        <f>28810.0497099986+166.4049</f>
        <v>28976.4546099986</v>
      </c>
      <c r="P348" s="11">
        <v>28879.309999999998</v>
      </c>
      <c r="Q348" s="11">
        <v>28871.759698630143</v>
      </c>
      <c r="R348" s="11">
        <v>28816.78</v>
      </c>
      <c r="S348" s="11">
        <f>27886.831+52.906</f>
        <v>27939.736999999997</v>
      </c>
      <c r="T348" s="46"/>
      <c r="U348" s="171" t="s">
        <v>708</v>
      </c>
      <c r="V348" s="7"/>
      <c r="W348" s="7"/>
      <c r="X348" s="7"/>
      <c r="Y348" s="7"/>
      <c r="Z348" s="7"/>
      <c r="AA348" s="7"/>
      <c r="AB348" s="7"/>
      <c r="AC348" s="7"/>
      <c r="AD348" s="7"/>
      <c r="AE348" s="7"/>
      <c r="AF348" s="7"/>
      <c r="AG348" s="7"/>
      <c r="AH348" s="7"/>
      <c r="AI348" s="7"/>
      <c r="AJ348" s="7"/>
      <c r="AK348" s="7"/>
      <c r="AL348" s="7"/>
      <c r="AM348" s="7"/>
      <c r="AN348" s="7"/>
      <c r="AO348" s="7"/>
      <c r="AP348" s="7"/>
      <c r="AQ348" s="7"/>
      <c r="AR348" s="7"/>
      <c r="AS348" s="7"/>
      <c r="AT348" s="7"/>
      <c r="AU348" s="7"/>
      <c r="AV348" s="7"/>
      <c r="AW348" s="7"/>
      <c r="AX348" s="7"/>
    </row>
    <row r="349" spans="1:50">
      <c r="A349" s="375" t="s">
        <v>178</v>
      </c>
      <c r="C349" s="238"/>
      <c r="D349" s="7"/>
      <c r="E349" s="7"/>
      <c r="F349" s="7"/>
      <c r="G349" s="7"/>
      <c r="H349" s="7"/>
      <c r="I349" s="7"/>
      <c r="J349" s="7"/>
      <c r="K349" s="7"/>
      <c r="L349" s="7"/>
      <c r="M349" s="7"/>
      <c r="N349" s="7"/>
      <c r="O349" s="7"/>
      <c r="P349" s="7"/>
      <c r="Q349" s="7"/>
      <c r="T349" s="46"/>
      <c r="U349" s="171"/>
      <c r="V349" s="7"/>
      <c r="W349" s="7"/>
      <c r="X349" s="7"/>
      <c r="Y349" s="7"/>
      <c r="Z349" s="7"/>
      <c r="AA349" s="7"/>
      <c r="AB349" s="7"/>
      <c r="AC349" s="7"/>
      <c r="AD349" s="7"/>
      <c r="AE349" s="7"/>
      <c r="AF349" s="7"/>
      <c r="AG349" s="7"/>
      <c r="AH349" s="7"/>
      <c r="AI349" s="7"/>
      <c r="AJ349" s="7"/>
      <c r="AK349" s="7"/>
      <c r="AL349" s="7"/>
      <c r="AM349" s="7"/>
      <c r="AN349" s="7"/>
      <c r="AO349" s="7"/>
      <c r="AP349" s="7"/>
      <c r="AQ349" s="7"/>
      <c r="AR349" s="7"/>
      <c r="AS349" s="7"/>
      <c r="AT349" s="7"/>
      <c r="AU349" s="7"/>
      <c r="AV349" s="7"/>
      <c r="AW349" s="7"/>
      <c r="AX349" s="7"/>
    </row>
    <row r="350" spans="1:50">
      <c r="A350" s="445" t="s">
        <v>178</v>
      </c>
      <c r="B350" s="284" t="s">
        <v>709</v>
      </c>
      <c r="C350" s="295"/>
      <c r="D350" s="7"/>
      <c r="E350" s="7"/>
      <c r="F350" s="7"/>
      <c r="G350" s="7"/>
      <c r="H350" s="7"/>
      <c r="I350" s="7"/>
      <c r="J350" s="7"/>
      <c r="K350" s="7"/>
      <c r="L350" s="7"/>
      <c r="M350" s="7"/>
      <c r="N350" s="7"/>
      <c r="O350" s="7"/>
      <c r="P350" s="7"/>
      <c r="Q350" s="7"/>
      <c r="T350" s="46"/>
      <c r="U350" s="171"/>
      <c r="V350" s="7"/>
      <c r="W350" s="7"/>
      <c r="X350" s="7"/>
      <c r="Y350" s="7"/>
      <c r="Z350" s="7"/>
      <c r="AA350" s="7"/>
      <c r="AB350" s="7"/>
      <c r="AC350" s="7"/>
      <c r="AD350" s="7"/>
      <c r="AE350" s="7"/>
      <c r="AF350" s="7"/>
      <c r="AG350" s="7"/>
      <c r="AH350" s="7"/>
      <c r="AI350" s="7"/>
      <c r="AJ350" s="7"/>
      <c r="AK350" s="7"/>
      <c r="AL350" s="7"/>
      <c r="AM350" s="7"/>
      <c r="AN350" s="7"/>
      <c r="AO350" s="7"/>
      <c r="AP350" s="7"/>
      <c r="AQ350" s="7"/>
      <c r="AR350" s="7"/>
      <c r="AS350" s="7"/>
      <c r="AT350" s="7"/>
      <c r="AU350" s="7"/>
      <c r="AV350" s="7"/>
      <c r="AW350" s="7"/>
      <c r="AX350" s="7"/>
    </row>
    <row r="351" spans="1:50">
      <c r="A351" s="376" t="s">
        <v>710</v>
      </c>
      <c r="B351" s="175" t="s">
        <v>711</v>
      </c>
      <c r="C351" s="293" t="s">
        <v>210</v>
      </c>
      <c r="D351" s="11">
        <v>16663508.281500001</v>
      </c>
      <c r="E351" s="11">
        <v>16545285.9749</v>
      </c>
      <c r="F351" s="11">
        <v>15539765.578200001</v>
      </c>
      <c r="G351" s="11">
        <v>19119895.354599997</v>
      </c>
      <c r="H351" s="11">
        <f>18679219.2541+123456.5624+578529.6149+6327.9275</f>
        <v>19387533.358899996</v>
      </c>
      <c r="I351" s="11">
        <f>18803270.2259+6720.4758</f>
        <v>18809990.701700002</v>
      </c>
      <c r="J351" s="11">
        <f>18333130.428+6643.0402</f>
        <v>18339773.468199998</v>
      </c>
      <c r="K351" s="11">
        <f>18167266.3217+3552.8524</f>
        <v>18170819.1741</v>
      </c>
      <c r="L351" s="11">
        <f>18919377.2082422+5129.1692</f>
        <v>18924506.3774422</v>
      </c>
      <c r="M351" s="11">
        <v>21441234.489016701</v>
      </c>
      <c r="N351" s="11">
        <f>23584883.3878767+1735.0391</f>
        <v>23586618.426976699</v>
      </c>
      <c r="O351" s="11">
        <f>22015139.1253433+7026.9161</f>
        <v>22022166.0414433</v>
      </c>
      <c r="P351" s="11">
        <v>21214592.402199998</v>
      </c>
      <c r="Q351" s="11">
        <v>21581831.144733794</v>
      </c>
      <c r="R351" s="11">
        <f>22763484.58</f>
        <v>22763484.579999998</v>
      </c>
      <c r="S351" s="11">
        <f>22715184.52+7545.107</f>
        <v>22722729.627</v>
      </c>
      <c r="T351" s="46"/>
      <c r="U351" s="171" t="s">
        <v>712</v>
      </c>
      <c r="V351" s="7"/>
      <c r="W351" s="7"/>
      <c r="X351" s="7"/>
      <c r="Y351" s="7"/>
      <c r="Z351" s="7"/>
      <c r="AA351" s="7"/>
      <c r="AB351" s="7"/>
      <c r="AC351" s="7"/>
      <c r="AD351" s="7"/>
      <c r="AE351" s="7"/>
      <c r="AF351" s="7"/>
      <c r="AG351" s="7"/>
      <c r="AH351" s="7"/>
      <c r="AI351" s="7"/>
      <c r="AJ351" s="7"/>
      <c r="AK351" s="7"/>
      <c r="AL351" s="7"/>
      <c r="AM351" s="7"/>
      <c r="AN351" s="7"/>
      <c r="AO351" s="7"/>
      <c r="AP351" s="7"/>
      <c r="AQ351" s="7"/>
      <c r="AR351" s="7"/>
      <c r="AS351" s="7"/>
      <c r="AT351" s="7"/>
      <c r="AU351" s="7"/>
      <c r="AV351" s="7"/>
      <c r="AW351" s="7"/>
      <c r="AX351" s="7"/>
    </row>
    <row r="352" spans="1:50">
      <c r="A352" s="373" t="s">
        <v>713</v>
      </c>
      <c r="B352" s="175" t="s">
        <v>714</v>
      </c>
      <c r="C352" s="293" t="s">
        <v>210</v>
      </c>
      <c r="D352" s="11">
        <v>42001657.7535</v>
      </c>
      <c r="E352" s="11">
        <v>45466654.190499999</v>
      </c>
      <c r="F352" s="11">
        <v>39269552.292599998</v>
      </c>
      <c r="G352" s="11">
        <v>47485268.450199999</v>
      </c>
      <c r="H352" s="11">
        <f>48467968.6823+14884.1199</f>
        <v>48482852.802200004</v>
      </c>
      <c r="I352" s="11">
        <f>46077116.5987+10385.5353</f>
        <v>46087502.134000003</v>
      </c>
      <c r="J352" s="11">
        <f>45825657.5171+9405.0265</f>
        <v>45835062.5436</v>
      </c>
      <c r="K352" s="11">
        <f>46995885.9067+9900.3846</f>
        <v>47005786.291299999</v>
      </c>
      <c r="L352" s="11">
        <f>47680592.3856222+12651.1628</f>
        <v>47693243.548422202</v>
      </c>
      <c r="M352" s="11">
        <v>51759075.3293586</v>
      </c>
      <c r="N352" s="11">
        <f>50907223.1655306+19468.9914</f>
        <v>50926692.156930603</v>
      </c>
      <c r="O352" s="11">
        <f>41449511.5365522+13883.5553</f>
        <v>41463395.091852196</v>
      </c>
      <c r="P352" s="11">
        <v>43287695.921499997</v>
      </c>
      <c r="Q352" s="11">
        <v>45497369.367099293</v>
      </c>
      <c r="R352" s="11">
        <v>45972855.5</v>
      </c>
      <c r="S352" s="11">
        <f>47973092.79+14731.584</f>
        <v>47987824.373999998</v>
      </c>
      <c r="T352" s="46"/>
      <c r="U352" s="171" t="s">
        <v>715</v>
      </c>
      <c r="V352" s="7"/>
      <c r="W352" s="7"/>
      <c r="X352" s="7"/>
      <c r="Y352" s="7"/>
      <c r="Z352" s="7"/>
      <c r="AA352" s="7"/>
      <c r="AB352" s="7"/>
      <c r="AC352" s="7"/>
      <c r="AD352" s="7"/>
      <c r="AE352" s="7"/>
      <c r="AF352" s="7"/>
      <c r="AG352" s="7"/>
      <c r="AH352" s="7"/>
      <c r="AI352" s="7"/>
      <c r="AJ352" s="7"/>
      <c r="AK352" s="7"/>
      <c r="AL352" s="7"/>
      <c r="AM352" s="7"/>
      <c r="AN352" s="7"/>
      <c r="AO352" s="7"/>
      <c r="AP352" s="7"/>
      <c r="AQ352" s="7"/>
      <c r="AR352" s="7"/>
      <c r="AS352" s="7"/>
      <c r="AT352" s="7"/>
      <c r="AU352" s="7"/>
      <c r="AV352" s="7"/>
      <c r="AW352" s="7"/>
      <c r="AX352" s="7"/>
    </row>
    <row r="353" spans="1:50">
      <c r="A353" s="373" t="s">
        <v>716</v>
      </c>
      <c r="B353" s="175" t="s">
        <v>717</v>
      </c>
      <c r="C353" s="293" t="s">
        <v>210</v>
      </c>
      <c r="D353" s="11">
        <v>16052992.139</v>
      </c>
      <c r="E353" s="11">
        <v>14856849.835100001</v>
      </c>
      <c r="F353" s="11">
        <v>12608860.747500001</v>
      </c>
      <c r="G353" s="11">
        <v>15167439.555399999</v>
      </c>
      <c r="H353" s="11">
        <f>16291545.0985+52301.8177+2620.8657</f>
        <v>16346467.781900002</v>
      </c>
      <c r="I353" s="11">
        <f>14625189.6869+1840.9128</f>
        <v>14627030.599699998</v>
      </c>
      <c r="J353" s="11">
        <f>16480203.3156+1896.8098</f>
        <v>16482100.125400001</v>
      </c>
      <c r="K353" s="11">
        <f>14743556.221+4102.3245</f>
        <v>14747658.545500001</v>
      </c>
      <c r="L353" s="11">
        <f>15292708.3668062+2452.6626</f>
        <v>15295161.029406199</v>
      </c>
      <c r="M353" s="11">
        <v>16038579.950910799</v>
      </c>
      <c r="N353" s="11">
        <f>15860836.0692662+990.8536</f>
        <v>15861826.922866199</v>
      </c>
      <c r="O353" s="11">
        <f>14911563.918194+3340.9322</f>
        <v>14914904.850393999</v>
      </c>
      <c r="P353" s="11">
        <v>15221868.036599999</v>
      </c>
      <c r="Q353" s="11">
        <v>14691047.846677225</v>
      </c>
      <c r="R353" s="11">
        <v>14730048.27</v>
      </c>
      <c r="S353" s="11">
        <f>14876880.44+3904.9855</f>
        <v>14880785.4255</v>
      </c>
      <c r="T353" s="46"/>
      <c r="U353" s="171" t="s">
        <v>718</v>
      </c>
      <c r="V353" s="7"/>
      <c r="W353" s="7"/>
      <c r="X353" s="7"/>
      <c r="Y353" s="7"/>
      <c r="Z353" s="7"/>
      <c r="AA353" s="7"/>
      <c r="AB353" s="7"/>
      <c r="AC353" s="7"/>
      <c r="AD353" s="7"/>
      <c r="AE353" s="7"/>
      <c r="AF353" s="7"/>
      <c r="AG353" s="7"/>
      <c r="AH353" s="7"/>
      <c r="AI353" s="7"/>
      <c r="AJ353" s="7"/>
      <c r="AK353" s="7"/>
      <c r="AL353" s="7"/>
      <c r="AM353" s="7"/>
      <c r="AN353" s="7"/>
      <c r="AO353" s="7"/>
      <c r="AP353" s="7"/>
      <c r="AQ353" s="7"/>
      <c r="AR353" s="7"/>
      <c r="AS353" s="7"/>
      <c r="AT353" s="7"/>
      <c r="AU353" s="7"/>
      <c r="AV353" s="7"/>
      <c r="AW353" s="7"/>
      <c r="AX353" s="7"/>
    </row>
    <row r="354" spans="1:50">
      <c r="A354" s="375" t="s">
        <v>178</v>
      </c>
      <c r="C354" s="238"/>
      <c r="D354" s="7"/>
      <c r="E354" s="7"/>
      <c r="F354" s="7"/>
      <c r="G354" s="7"/>
      <c r="H354" s="7"/>
      <c r="I354" s="7"/>
      <c r="J354" s="7"/>
      <c r="K354" s="7"/>
      <c r="L354" s="7"/>
      <c r="M354" s="7"/>
      <c r="N354" s="7"/>
      <c r="O354" s="7"/>
      <c r="P354" s="7"/>
      <c r="Q354" s="7"/>
      <c r="T354" s="46"/>
      <c r="U354" s="171"/>
      <c r="V354" s="7"/>
      <c r="W354" s="7"/>
      <c r="X354" s="7"/>
      <c r="Y354" s="7"/>
      <c r="Z354" s="7"/>
      <c r="AA354" s="7"/>
      <c r="AB354" s="7"/>
      <c r="AC354" s="7"/>
      <c r="AD354" s="7"/>
      <c r="AE354" s="7"/>
      <c r="AF354" s="7"/>
      <c r="AG354" s="7"/>
      <c r="AH354" s="7"/>
      <c r="AI354" s="7"/>
      <c r="AJ354" s="7"/>
      <c r="AK354" s="7"/>
      <c r="AL354" s="7"/>
      <c r="AM354" s="7"/>
      <c r="AN354" s="7"/>
      <c r="AO354" s="7"/>
      <c r="AP354" s="7"/>
      <c r="AQ354" s="7"/>
      <c r="AR354" s="7"/>
      <c r="AS354" s="7"/>
      <c r="AT354" s="7"/>
      <c r="AU354" s="7"/>
      <c r="AV354" s="7"/>
      <c r="AW354" s="7"/>
      <c r="AX354" s="7"/>
    </row>
    <row r="355" spans="1:50">
      <c r="A355" s="445" t="s">
        <v>178</v>
      </c>
      <c r="B355" s="284" t="s">
        <v>719</v>
      </c>
      <c r="C355" s="295"/>
      <c r="D355" s="7"/>
      <c r="E355" s="7"/>
      <c r="F355" s="7"/>
      <c r="G355" s="7"/>
      <c r="H355" s="7"/>
      <c r="I355" s="7"/>
      <c r="J355" s="7"/>
      <c r="K355" s="7"/>
      <c r="L355" s="7"/>
      <c r="M355" s="7"/>
      <c r="N355" s="7"/>
      <c r="O355" s="7"/>
      <c r="P355" s="7"/>
      <c r="Q355" s="7"/>
      <c r="T355" s="46"/>
      <c r="U355" s="171"/>
      <c r="V355" s="7"/>
      <c r="W355" s="7"/>
      <c r="X355" s="7"/>
      <c r="Y355" s="7"/>
      <c r="Z355" s="7"/>
      <c r="AA355" s="7"/>
      <c r="AB355" s="7"/>
      <c r="AC355" s="7"/>
      <c r="AD355" s="7"/>
      <c r="AE355" s="7"/>
      <c r="AF355" s="7"/>
      <c r="AG355" s="7"/>
      <c r="AH355" s="7"/>
      <c r="AI355" s="7"/>
      <c r="AJ355" s="7"/>
      <c r="AK355" s="7"/>
      <c r="AL355" s="7"/>
      <c r="AM355" s="7"/>
      <c r="AN355" s="7"/>
      <c r="AO355" s="7"/>
      <c r="AP355" s="7"/>
      <c r="AQ355" s="7"/>
      <c r="AR355" s="7"/>
      <c r="AS355" s="7"/>
      <c r="AT355" s="7"/>
      <c r="AU355" s="7"/>
      <c r="AV355" s="7"/>
      <c r="AW355" s="7"/>
      <c r="AX355" s="7"/>
    </row>
    <row r="356" spans="1:50">
      <c r="A356" s="376" t="s">
        <v>720</v>
      </c>
      <c r="B356" s="175" t="s">
        <v>721</v>
      </c>
      <c r="C356" s="293" t="s">
        <v>210</v>
      </c>
      <c r="D356" s="30">
        <v>7.7793000000000001E-2</v>
      </c>
      <c r="E356" s="30">
        <v>8.2102999999999995E-2</v>
      </c>
      <c r="F356" s="30">
        <v>8.735699999999999E-2</v>
      </c>
      <c r="G356" s="30">
        <v>9.102600000000001E-2</v>
      </c>
      <c r="H356" s="30">
        <f>9.4276/100</f>
        <v>9.4275999999999999E-2</v>
      </c>
      <c r="I356" s="30">
        <v>9.5218999999999998E-2</v>
      </c>
      <c r="J356" s="30">
        <v>9.4838000000000006E-2</v>
      </c>
      <c r="K356" s="30">
        <f>9.5406/100</f>
        <v>9.5405999999999991E-2</v>
      </c>
      <c r="L356" s="30">
        <v>9.7312999999999997E-2</v>
      </c>
      <c r="M356" s="30">
        <v>9.9259E-2</v>
      </c>
      <c r="N356" s="30">
        <v>9.9259E-2</v>
      </c>
      <c r="O356" s="30">
        <f>10.1244/100</f>
        <v>0.101244</v>
      </c>
      <c r="P356" s="30">
        <v>0.101244</v>
      </c>
      <c r="Q356" s="30">
        <v>0.10377400000000001</v>
      </c>
      <c r="R356" s="30">
        <v>0.10377399999999999</v>
      </c>
      <c r="S356" s="30">
        <v>0.10813299999999999</v>
      </c>
      <c r="T356" s="46"/>
      <c r="U356" s="171" t="s">
        <v>722</v>
      </c>
      <c r="V356" s="7"/>
      <c r="W356" s="7"/>
      <c r="X356" s="7"/>
      <c r="Y356" s="7"/>
      <c r="Z356" s="7"/>
      <c r="AA356" s="7"/>
      <c r="AB356" s="7"/>
      <c r="AC356" s="7"/>
      <c r="AD356" s="7"/>
      <c r="AE356" s="7"/>
      <c r="AF356" s="7"/>
      <c r="AG356" s="7"/>
      <c r="AH356" s="7"/>
      <c r="AI356" s="7"/>
      <c r="AJ356" s="7"/>
      <c r="AK356" s="7"/>
      <c r="AL356" s="7"/>
      <c r="AM356" s="7"/>
      <c r="AN356" s="7"/>
      <c r="AO356" s="7"/>
      <c r="AP356" s="7"/>
      <c r="AQ356" s="7"/>
      <c r="AR356" s="7"/>
      <c r="AS356" s="7"/>
      <c r="AT356" s="7"/>
      <c r="AU356" s="7"/>
      <c r="AV356" s="7"/>
      <c r="AW356" s="7"/>
      <c r="AX356" s="7"/>
    </row>
    <row r="357" spans="1:50">
      <c r="A357" s="373" t="s">
        <v>723</v>
      </c>
      <c r="B357" s="175" t="s">
        <v>724</v>
      </c>
      <c r="C357" s="293" t="s">
        <v>210</v>
      </c>
      <c r="D357" s="30">
        <v>5.1795000000000001E-2</v>
      </c>
      <c r="E357" s="30">
        <v>5.4664000000000004E-2</v>
      </c>
      <c r="F357" s="30">
        <v>5.8162000000000005E-2</v>
      </c>
      <c r="G357" s="30">
        <v>6.0603999999999998E-2</v>
      </c>
      <c r="H357" s="30">
        <v>6.2767000000000003E-2</v>
      </c>
      <c r="I357" s="30">
        <v>6.3393000000000005E-2</v>
      </c>
      <c r="J357" s="30">
        <v>6.3139000000000001E-2</v>
      </c>
      <c r="K357" s="30">
        <f>6.3517/100</f>
        <v>6.3517000000000004E-2</v>
      </c>
      <c r="L357" s="30">
        <v>6.4785999999999996E-2</v>
      </c>
      <c r="M357" s="30">
        <v>6.6082000000000002E-2</v>
      </c>
      <c r="N357" s="30">
        <v>6.6082000000000002E-2</v>
      </c>
      <c r="O357" s="30">
        <f>6.7404/100</f>
        <v>6.7404000000000006E-2</v>
      </c>
      <c r="P357" s="30">
        <v>6.7404000000000006E-2</v>
      </c>
      <c r="Q357" s="30">
        <v>6.9088999999999998E-2</v>
      </c>
      <c r="R357" s="30">
        <v>6.9088999999999998E-2</v>
      </c>
      <c r="S357" s="30">
        <v>7.1990999999999999E-2</v>
      </c>
      <c r="T357" s="46"/>
      <c r="U357" s="171" t="s">
        <v>725</v>
      </c>
      <c r="V357" s="7"/>
      <c r="W357" s="7"/>
      <c r="X357" s="7"/>
      <c r="Y357" s="7"/>
      <c r="Z357" s="7"/>
      <c r="AA357" s="7"/>
      <c r="AB357" s="7"/>
      <c r="AC357" s="7"/>
      <c r="AD357" s="7"/>
      <c r="AE357" s="7"/>
      <c r="AF357" s="7"/>
      <c r="AG357" s="7"/>
      <c r="AH357" s="7"/>
      <c r="AI357" s="7"/>
      <c r="AJ357" s="7"/>
      <c r="AK357" s="7"/>
      <c r="AL357" s="7"/>
      <c r="AM357" s="7"/>
      <c r="AN357" s="7"/>
      <c r="AO357" s="7"/>
      <c r="AP357" s="7"/>
      <c r="AQ357" s="7"/>
      <c r="AR357" s="7"/>
      <c r="AS357" s="7"/>
      <c r="AT357" s="7"/>
      <c r="AU357" s="7"/>
      <c r="AV357" s="7"/>
      <c r="AW357" s="7"/>
      <c r="AX357" s="7"/>
    </row>
    <row r="358" spans="1:50">
      <c r="A358" s="373" t="s">
        <v>726</v>
      </c>
      <c r="B358" s="175" t="s">
        <v>727</v>
      </c>
      <c r="C358" s="293" t="s">
        <v>210</v>
      </c>
      <c r="D358" s="30">
        <v>0.19764700000000002</v>
      </c>
      <c r="E358" s="30">
        <v>0.208597</v>
      </c>
      <c r="F358" s="30">
        <v>0.22194700000000001</v>
      </c>
      <c r="G358" s="30">
        <v>0.231269</v>
      </c>
      <c r="H358" s="30">
        <v>0.23952500000000002</v>
      </c>
      <c r="I358" s="30">
        <f>24.192/100</f>
        <v>0.24192</v>
      </c>
      <c r="J358" s="30">
        <v>0.240952</v>
      </c>
      <c r="K358" s="30">
        <f>24.2397/100</f>
        <v>0.242397</v>
      </c>
      <c r="L358" s="30">
        <v>0.24724499999999999</v>
      </c>
      <c r="M358" s="30">
        <v>0.25219000000000003</v>
      </c>
      <c r="N358" s="30">
        <v>0.25219000000000003</v>
      </c>
      <c r="O358" s="30">
        <f>25.7234/100</f>
        <v>0.25723400000000002</v>
      </c>
      <c r="P358" s="30">
        <v>0.25723400000000002</v>
      </c>
      <c r="Q358" s="30">
        <v>0.26366499999999998</v>
      </c>
      <c r="R358" s="30">
        <v>0.26366499999999998</v>
      </c>
      <c r="S358" s="30">
        <v>0.27473900000000001</v>
      </c>
      <c r="T358" s="46"/>
      <c r="U358" s="171" t="s">
        <v>728</v>
      </c>
      <c r="V358" s="7"/>
      <c r="W358" s="7"/>
      <c r="X358" s="7"/>
      <c r="Y358" s="7"/>
      <c r="Z358" s="7"/>
      <c r="AA358" s="7"/>
      <c r="AB358" s="7"/>
      <c r="AC358" s="7"/>
      <c r="AD358" s="7"/>
      <c r="AE358" s="7"/>
      <c r="AF358" s="7"/>
      <c r="AG358" s="7"/>
      <c r="AH358" s="7"/>
      <c r="AI358" s="7"/>
      <c r="AJ358" s="7"/>
      <c r="AK358" s="7"/>
      <c r="AL358" s="7"/>
      <c r="AM358" s="7"/>
      <c r="AN358" s="7"/>
      <c r="AO358" s="7"/>
      <c r="AP358" s="7"/>
      <c r="AQ358" s="7"/>
      <c r="AR358" s="7"/>
      <c r="AS358" s="7"/>
      <c r="AT358" s="7"/>
      <c r="AU358" s="7"/>
      <c r="AV358" s="7"/>
      <c r="AW358" s="7"/>
      <c r="AX358" s="7"/>
    </row>
    <row r="359" spans="1:50">
      <c r="A359" s="373" t="s">
        <v>729</v>
      </c>
      <c r="B359" s="175" t="s">
        <v>730</v>
      </c>
      <c r="C359" s="293" t="s">
        <v>210</v>
      </c>
      <c r="D359" s="30">
        <v>0.16940999999999998</v>
      </c>
      <c r="E359" s="30">
        <v>0.17879500000000001</v>
      </c>
      <c r="F359" s="30">
        <v>0.19023800000000002</v>
      </c>
      <c r="G359" s="30">
        <v>0.19822800000000002</v>
      </c>
      <c r="H359" s="30">
        <v>0.20530499999999999</v>
      </c>
      <c r="I359" s="30">
        <f>20.7358/100</f>
        <v>0.20735800000000001</v>
      </c>
      <c r="J359" s="30">
        <v>0.20652899999999999</v>
      </c>
      <c r="K359" s="30">
        <f>20.7767/100</f>
        <v>0.20776700000000001</v>
      </c>
      <c r="L359" s="30">
        <v>0.211921</v>
      </c>
      <c r="M359" s="30">
        <v>0.21615899999999999</v>
      </c>
      <c r="N359" s="30">
        <v>0.21615899999999999</v>
      </c>
      <c r="O359" s="30">
        <f>22.0482/100</f>
        <v>0.22048200000000001</v>
      </c>
      <c r="P359" s="30">
        <v>0.22048200000000001</v>
      </c>
      <c r="Q359" s="30">
        <v>0.225994</v>
      </c>
      <c r="R359" s="30">
        <v>0.225994</v>
      </c>
      <c r="S359" s="30">
        <v>0.235486</v>
      </c>
      <c r="T359" s="46"/>
      <c r="U359" s="374" t="s">
        <v>728</v>
      </c>
      <c r="V359" s="7"/>
      <c r="W359" s="7"/>
      <c r="X359" s="7"/>
      <c r="Y359" s="7"/>
      <c r="Z359" s="7"/>
      <c r="AA359" s="7"/>
      <c r="AB359" s="7"/>
      <c r="AC359" s="7"/>
      <c r="AD359" s="7"/>
      <c r="AE359" s="7"/>
      <c r="AF359" s="7"/>
      <c r="AG359" s="7"/>
      <c r="AH359" s="7"/>
      <c r="AI359" s="7"/>
      <c r="AJ359" s="7"/>
      <c r="AK359" s="7"/>
      <c r="AL359" s="7"/>
      <c r="AM359" s="7"/>
      <c r="AN359" s="7"/>
      <c r="AO359" s="7"/>
      <c r="AP359" s="7"/>
      <c r="AQ359" s="7"/>
      <c r="AR359" s="7"/>
      <c r="AS359" s="7"/>
      <c r="AT359" s="7"/>
      <c r="AU359" s="7"/>
      <c r="AV359" s="7"/>
      <c r="AW359" s="7"/>
      <c r="AX359" s="7"/>
    </row>
    <row r="360" spans="1:50">
      <c r="A360" s="375" t="s">
        <v>178</v>
      </c>
      <c r="C360" s="238"/>
      <c r="D360" s="7"/>
      <c r="E360" s="7"/>
      <c r="F360" s="7"/>
      <c r="G360" s="7"/>
      <c r="H360" s="7"/>
      <c r="I360" s="31"/>
      <c r="J360" s="31"/>
      <c r="K360" s="31"/>
      <c r="L360" s="31"/>
      <c r="M360" s="31"/>
      <c r="N360" s="31"/>
      <c r="O360" s="31"/>
      <c r="P360" s="31"/>
      <c r="Q360" s="31"/>
      <c r="R360" s="31"/>
      <c r="S360" s="31"/>
      <c r="T360" s="46"/>
      <c r="U360" s="171"/>
      <c r="V360" s="7"/>
      <c r="W360" s="7"/>
      <c r="X360" s="7"/>
      <c r="Y360" s="7"/>
      <c r="Z360" s="7"/>
      <c r="AA360" s="7"/>
      <c r="AB360" s="7"/>
      <c r="AC360" s="7"/>
      <c r="AD360" s="7"/>
      <c r="AE360" s="7"/>
      <c r="AF360" s="7"/>
      <c r="AG360" s="7"/>
      <c r="AH360" s="7"/>
      <c r="AI360" s="7"/>
      <c r="AJ360" s="7"/>
      <c r="AK360" s="7"/>
      <c r="AL360" s="7"/>
      <c r="AM360" s="7"/>
      <c r="AN360" s="7"/>
      <c r="AO360" s="7"/>
      <c r="AP360" s="7"/>
      <c r="AQ360" s="7"/>
      <c r="AR360" s="7"/>
      <c r="AS360" s="7"/>
      <c r="AT360" s="7"/>
      <c r="AU360" s="7"/>
      <c r="AV360" s="7"/>
      <c r="AW360" s="7"/>
      <c r="AX360" s="7"/>
    </row>
    <row r="361" spans="1:50">
      <c r="A361" s="445" t="s">
        <v>178</v>
      </c>
      <c r="B361" s="284" t="s">
        <v>731</v>
      </c>
      <c r="C361" s="295"/>
      <c r="D361" s="7"/>
      <c r="E361" s="7"/>
      <c r="F361" s="7"/>
      <c r="G361" s="7"/>
      <c r="H361" s="7"/>
      <c r="I361" s="31"/>
      <c r="J361" s="31"/>
      <c r="K361" s="31"/>
      <c r="L361" s="31"/>
      <c r="M361" s="31"/>
      <c r="N361" s="31"/>
      <c r="O361" s="31"/>
      <c r="P361" s="31"/>
      <c r="Q361" s="31"/>
      <c r="R361" s="31"/>
      <c r="S361" s="31"/>
      <c r="T361" s="46"/>
      <c r="U361" s="171"/>
      <c r="V361" s="7"/>
      <c r="W361" s="7"/>
      <c r="X361" s="7"/>
      <c r="Y361" s="7"/>
      <c r="Z361" s="7"/>
      <c r="AA361" s="7"/>
      <c r="AB361" s="7"/>
      <c r="AC361" s="7"/>
      <c r="AD361" s="7"/>
      <c r="AE361" s="7"/>
      <c r="AF361" s="7"/>
      <c r="AG361" s="7"/>
      <c r="AH361" s="7"/>
      <c r="AI361" s="7"/>
      <c r="AJ361" s="7"/>
      <c r="AK361" s="7"/>
      <c r="AL361" s="7"/>
      <c r="AM361" s="7"/>
      <c r="AN361" s="7"/>
      <c r="AO361" s="7"/>
      <c r="AP361" s="7"/>
      <c r="AQ361" s="7"/>
      <c r="AR361" s="7"/>
      <c r="AS361" s="7"/>
      <c r="AT361" s="7"/>
      <c r="AU361" s="7"/>
      <c r="AV361" s="7"/>
      <c r="AW361" s="7"/>
      <c r="AX361" s="7"/>
    </row>
    <row r="362" spans="1:50">
      <c r="A362" s="376" t="s">
        <v>732</v>
      </c>
      <c r="B362" s="175" t="s">
        <v>733</v>
      </c>
      <c r="C362" s="293" t="s">
        <v>210</v>
      </c>
      <c r="D362" s="30">
        <v>0.12540200000000001</v>
      </c>
      <c r="E362" s="30">
        <v>0.13234899999999999</v>
      </c>
      <c r="F362" s="30">
        <v>0.140819</v>
      </c>
      <c r="G362" s="30">
        <v>0.146733</v>
      </c>
      <c r="H362" s="30">
        <v>0.15197099999999999</v>
      </c>
      <c r="I362" s="30">
        <v>0.15349099999999999</v>
      </c>
      <c r="J362" s="30">
        <v>0.15287700000000001</v>
      </c>
      <c r="K362" s="30">
        <v>0.15379400000000001</v>
      </c>
      <c r="L362" s="30">
        <v>0.15686999999999998</v>
      </c>
      <c r="M362" s="30">
        <v>0.16000699999999998</v>
      </c>
      <c r="N362" s="30">
        <v>0.16000699999999998</v>
      </c>
      <c r="O362" s="30">
        <f>16.3207/100</f>
        <v>0.16320699999999999</v>
      </c>
      <c r="P362" s="30">
        <v>0.16320699999999999</v>
      </c>
      <c r="Q362" s="30">
        <v>0.16728599999999999</v>
      </c>
      <c r="R362" s="30">
        <v>0.16728599999999999</v>
      </c>
      <c r="S362" s="30">
        <v>0.17431199999999999</v>
      </c>
      <c r="T362" s="46"/>
      <c r="U362" s="171" t="s">
        <v>734</v>
      </c>
      <c r="V362" s="7"/>
      <c r="W362" s="7"/>
      <c r="X362" s="7"/>
      <c r="Y362" s="7"/>
      <c r="Z362" s="7"/>
      <c r="AA362" s="7"/>
      <c r="AB362" s="7"/>
      <c r="AC362" s="7"/>
      <c r="AD362" s="7"/>
      <c r="AE362" s="7"/>
      <c r="AF362" s="7"/>
      <c r="AG362" s="7"/>
      <c r="AH362" s="7"/>
      <c r="AI362" s="7"/>
      <c r="AJ362" s="7"/>
      <c r="AK362" s="7"/>
      <c r="AL362" s="7"/>
      <c r="AM362" s="7"/>
      <c r="AN362" s="7"/>
      <c r="AO362" s="7"/>
      <c r="AP362" s="7"/>
      <c r="AQ362" s="7"/>
      <c r="AR362" s="7"/>
      <c r="AS362" s="7"/>
      <c r="AT362" s="7"/>
      <c r="AU362" s="7"/>
      <c r="AV362" s="7"/>
      <c r="AW362" s="7"/>
      <c r="AX362" s="7"/>
    </row>
    <row r="363" spans="1:50">
      <c r="A363" s="373" t="s">
        <v>735</v>
      </c>
      <c r="B363" s="175" t="s">
        <v>736</v>
      </c>
      <c r="C363" s="293" t="s">
        <v>210</v>
      </c>
      <c r="D363" s="30">
        <v>8.3634E-2</v>
      </c>
      <c r="E363" s="30">
        <v>8.8267000000000012E-2</v>
      </c>
      <c r="F363" s="30">
        <v>9.3915999999999999E-2</v>
      </c>
      <c r="G363" s="30">
        <v>9.7860000000000003E-2</v>
      </c>
      <c r="H363" s="30">
        <v>0.101354</v>
      </c>
      <c r="I363" s="30">
        <v>0.102368</v>
      </c>
      <c r="J363" s="30">
        <v>0.10195899999999999</v>
      </c>
      <c r="K363" s="30">
        <v>0.102571</v>
      </c>
      <c r="L363" s="30">
        <v>0.10462199999999999</v>
      </c>
      <c r="M363" s="30">
        <v>0.106714</v>
      </c>
      <c r="N363" s="30">
        <v>0.106714</v>
      </c>
      <c r="O363" s="30">
        <f>10.8848/100</f>
        <v>0.108848</v>
      </c>
      <c r="P363" s="30">
        <v>0.108848</v>
      </c>
      <c r="Q363" s="30">
        <v>0.111569</v>
      </c>
      <c r="R363" s="30">
        <v>0.111569</v>
      </c>
      <c r="S363" s="30">
        <v>0.11625500000000001</v>
      </c>
      <c r="T363" s="46"/>
      <c r="U363" s="171" t="s">
        <v>737</v>
      </c>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7"/>
      <c r="AV363" s="7"/>
      <c r="AW363" s="7"/>
      <c r="AX363" s="7"/>
    </row>
    <row r="364" spans="1:50">
      <c r="A364" s="373" t="s">
        <v>738</v>
      </c>
      <c r="B364" s="175" t="s">
        <v>739</v>
      </c>
      <c r="C364" s="293" t="s">
        <v>210</v>
      </c>
      <c r="D364" s="30">
        <v>0.111772</v>
      </c>
      <c r="E364" s="30">
        <v>0.117964</v>
      </c>
      <c r="F364" s="30">
        <v>0.12551399999999999</v>
      </c>
      <c r="G364" s="30">
        <v>0.13078599999999999</v>
      </c>
      <c r="H364" s="30">
        <v>0.13545499999999999</v>
      </c>
      <c r="I364" s="30">
        <v>0.13680999999999999</v>
      </c>
      <c r="J364" s="30">
        <v>0.136263</v>
      </c>
      <c r="K364" s="30">
        <v>0.13708100000000001</v>
      </c>
      <c r="L364" s="30">
        <v>0.139823</v>
      </c>
      <c r="M364" s="30">
        <v>0.142619</v>
      </c>
      <c r="N364" s="30">
        <v>0.142619</v>
      </c>
      <c r="O364" s="30">
        <f>14.5471/100</f>
        <v>0.14547100000000002</v>
      </c>
      <c r="P364" s="30">
        <v>0.14547100000000002</v>
      </c>
      <c r="Q364" s="30">
        <v>0.14910799999999999</v>
      </c>
      <c r="R364" s="30">
        <v>0.14910799999999999</v>
      </c>
      <c r="S364" s="30">
        <v>0.15537100000000001</v>
      </c>
      <c r="T364" s="46"/>
      <c r="U364" s="171" t="s">
        <v>740</v>
      </c>
      <c r="V364" s="7"/>
      <c r="W364" s="7"/>
      <c r="X364" s="7"/>
      <c r="Y364" s="7"/>
      <c r="Z364" s="7"/>
      <c r="AA364" s="7"/>
      <c r="AB364" s="7"/>
      <c r="AC364" s="7"/>
      <c r="AD364" s="7"/>
      <c r="AE364" s="7"/>
      <c r="AF364" s="7"/>
      <c r="AG364" s="7"/>
      <c r="AH364" s="7"/>
      <c r="AI364" s="7"/>
      <c r="AJ364" s="7"/>
      <c r="AK364" s="7"/>
      <c r="AL364" s="7"/>
      <c r="AM364" s="7"/>
      <c r="AN364" s="7"/>
      <c r="AO364" s="7"/>
      <c r="AP364" s="7"/>
      <c r="AQ364" s="7"/>
      <c r="AR364" s="7"/>
      <c r="AS364" s="7"/>
      <c r="AT364" s="7"/>
      <c r="AU364" s="7"/>
      <c r="AV364" s="7"/>
      <c r="AW364" s="7"/>
      <c r="AX364" s="7"/>
    </row>
    <row r="365" spans="1:50">
      <c r="A365" s="373" t="s">
        <v>741</v>
      </c>
      <c r="B365" s="175" t="s">
        <v>742</v>
      </c>
      <c r="C365" s="293" t="s">
        <v>210</v>
      </c>
      <c r="D365" s="30">
        <v>6.8349000000000007E-2</v>
      </c>
      <c r="E365" s="30">
        <v>7.2135999999999992E-2</v>
      </c>
      <c r="F365" s="30">
        <v>7.6753000000000002E-2</v>
      </c>
      <c r="G365" s="30">
        <v>7.9976000000000005E-2</v>
      </c>
      <c r="H365" s="30">
        <v>8.2830999999999988E-2</v>
      </c>
      <c r="I365" s="30">
        <v>8.3658999999999997E-2</v>
      </c>
      <c r="J365" s="30">
        <v>8.3323999999999995E-2</v>
      </c>
      <c r="K365" s="30">
        <v>8.382400000000001E-2</v>
      </c>
      <c r="L365" s="30">
        <v>8.5500000000000007E-2</v>
      </c>
      <c r="M365" s="30">
        <v>8.7209999999999996E-2</v>
      </c>
      <c r="N365" s="30">
        <v>8.7209999999999996E-2</v>
      </c>
      <c r="O365" s="30">
        <f>8.8954/100</f>
        <v>8.8954000000000005E-2</v>
      </c>
      <c r="P365" s="30">
        <v>8.8954000000000005E-2</v>
      </c>
      <c r="Q365" s="30">
        <v>9.1177999999999995E-2</v>
      </c>
      <c r="R365" s="30">
        <v>9.1178000000000009E-2</v>
      </c>
      <c r="S365" s="30">
        <v>9.5007000000000008E-2</v>
      </c>
      <c r="T365" s="46"/>
      <c r="U365" s="171" t="s">
        <v>743</v>
      </c>
      <c r="V365" s="7"/>
      <c r="W365" s="7"/>
      <c r="X365" s="7"/>
      <c r="Y365" s="7"/>
      <c r="Z365" s="7"/>
      <c r="AA365" s="7"/>
      <c r="AB365" s="7"/>
      <c r="AC365" s="7"/>
      <c r="AD365" s="7"/>
      <c r="AE365" s="7"/>
      <c r="AF365" s="7"/>
      <c r="AG365" s="7"/>
      <c r="AH365" s="7"/>
      <c r="AI365" s="7"/>
      <c r="AJ365" s="7"/>
      <c r="AK365" s="7"/>
      <c r="AL365" s="7"/>
      <c r="AM365" s="7"/>
      <c r="AN365" s="7"/>
      <c r="AO365" s="7"/>
      <c r="AP365" s="7"/>
      <c r="AQ365" s="7"/>
      <c r="AR365" s="7"/>
      <c r="AS365" s="7"/>
      <c r="AT365" s="7"/>
      <c r="AU365" s="7"/>
      <c r="AV365" s="7"/>
      <c r="AW365" s="7"/>
      <c r="AX365" s="7"/>
    </row>
    <row r="366" spans="1:50">
      <c r="A366" s="375" t="s">
        <v>178</v>
      </c>
      <c r="C366" s="238"/>
      <c r="D366" s="7"/>
      <c r="E366" s="7"/>
      <c r="F366" s="7"/>
      <c r="G366" s="7"/>
      <c r="H366" s="7"/>
      <c r="I366" s="7"/>
      <c r="J366" s="7"/>
      <c r="K366" s="7"/>
      <c r="L366" s="7"/>
      <c r="M366" s="7"/>
      <c r="N366" s="7"/>
      <c r="O366" s="7"/>
      <c r="P366" s="7"/>
      <c r="Q366" s="7"/>
      <c r="T366" s="46"/>
      <c r="U366" s="171"/>
      <c r="V366" s="7"/>
      <c r="W366" s="7"/>
      <c r="X366" s="7"/>
      <c r="Y366" s="7"/>
      <c r="Z366" s="7"/>
      <c r="AA366" s="7"/>
      <c r="AB366" s="7"/>
      <c r="AC366" s="7"/>
      <c r="AD366" s="7"/>
      <c r="AE366" s="7"/>
      <c r="AF366" s="7"/>
      <c r="AG366" s="7"/>
      <c r="AH366" s="7"/>
      <c r="AI366" s="7"/>
      <c r="AJ366" s="7"/>
      <c r="AK366" s="7"/>
      <c r="AL366" s="7"/>
      <c r="AM366" s="7"/>
      <c r="AN366" s="7"/>
      <c r="AO366" s="7"/>
      <c r="AP366" s="7"/>
      <c r="AQ366" s="7"/>
      <c r="AR366" s="7"/>
      <c r="AS366" s="7"/>
      <c r="AT366" s="7"/>
      <c r="AU366" s="7"/>
      <c r="AV366" s="7"/>
      <c r="AW366" s="7"/>
      <c r="AX366" s="7"/>
    </row>
    <row r="367" spans="1:50">
      <c r="A367" s="445" t="s">
        <v>178</v>
      </c>
      <c r="B367" s="284" t="s">
        <v>461</v>
      </c>
      <c r="C367" s="238"/>
      <c r="D367" s="7"/>
      <c r="E367" s="7"/>
      <c r="F367" s="7"/>
      <c r="G367" s="7"/>
      <c r="H367" s="7"/>
      <c r="I367" s="7"/>
      <c r="J367" s="7"/>
      <c r="K367" s="7"/>
      <c r="L367" s="7"/>
      <c r="M367" s="7"/>
      <c r="N367" s="7"/>
      <c r="O367" s="7"/>
      <c r="P367" s="7"/>
      <c r="Q367" s="7"/>
      <c r="T367" s="46"/>
      <c r="U367" s="171"/>
      <c r="V367" s="7"/>
      <c r="W367" s="7"/>
      <c r="X367" s="7"/>
      <c r="Y367" s="7"/>
      <c r="Z367" s="7"/>
      <c r="AA367" s="7"/>
      <c r="AB367" s="7"/>
      <c r="AC367" s="7"/>
      <c r="AD367" s="7"/>
      <c r="AE367" s="7"/>
      <c r="AF367" s="7"/>
      <c r="AG367" s="7"/>
      <c r="AH367" s="7"/>
      <c r="AI367" s="7"/>
      <c r="AJ367" s="7"/>
      <c r="AK367" s="7"/>
      <c r="AL367" s="7"/>
      <c r="AM367" s="7"/>
      <c r="AN367" s="7"/>
      <c r="AO367" s="7"/>
      <c r="AP367" s="7"/>
      <c r="AQ367" s="7"/>
      <c r="AR367" s="7"/>
      <c r="AS367" s="7"/>
      <c r="AT367" s="7"/>
      <c r="AU367" s="7"/>
      <c r="AV367" s="7"/>
      <c r="AW367" s="7"/>
      <c r="AX367" s="7"/>
    </row>
    <row r="368" spans="1:50">
      <c r="A368" s="376" t="s">
        <v>744</v>
      </c>
      <c r="B368" s="16" t="s">
        <v>745</v>
      </c>
      <c r="C368" s="293" t="s">
        <v>210</v>
      </c>
      <c r="D368" s="11">
        <v>5920397.3981290003</v>
      </c>
      <c r="E368" s="11">
        <v>5819927.4303000001</v>
      </c>
      <c r="F368" s="11">
        <v>6435143.1871999996</v>
      </c>
      <c r="G368" s="11">
        <v>4539431.0387000004</v>
      </c>
      <c r="H368" s="11">
        <v>4569499.1533000004</v>
      </c>
      <c r="I368" s="11">
        <v>3904458.8294999981</v>
      </c>
      <c r="J368" s="11">
        <v>3003279.6797000002</v>
      </c>
      <c r="K368" s="11">
        <f>2241834.2712+2281099.7153</f>
        <v>4522933.9864999996</v>
      </c>
      <c r="L368" s="11">
        <v>5062249.5273000002</v>
      </c>
      <c r="M368" s="11">
        <v>0</v>
      </c>
      <c r="N368" s="11">
        <v>0</v>
      </c>
      <c r="O368" s="11">
        <v>0</v>
      </c>
      <c r="P368" s="11">
        <v>0</v>
      </c>
      <c r="Q368" s="11">
        <v>0</v>
      </c>
      <c r="R368" s="11">
        <v>0</v>
      </c>
      <c r="S368" s="11">
        <v>0</v>
      </c>
      <c r="T368" s="46"/>
      <c r="U368" s="171" t="s">
        <v>746</v>
      </c>
      <c r="V368" s="7"/>
      <c r="W368" s="7"/>
      <c r="X368" s="7"/>
      <c r="Y368" s="7"/>
      <c r="Z368" s="7"/>
      <c r="AA368" s="7"/>
      <c r="AB368" s="7"/>
      <c r="AC368" s="7"/>
      <c r="AD368" s="7"/>
      <c r="AE368" s="7"/>
      <c r="AF368" s="7"/>
      <c r="AG368" s="7"/>
      <c r="AH368" s="7"/>
      <c r="AI368" s="7"/>
      <c r="AJ368" s="7"/>
      <c r="AK368" s="7"/>
      <c r="AL368" s="7"/>
      <c r="AM368" s="7"/>
      <c r="AN368" s="7"/>
      <c r="AO368" s="7"/>
      <c r="AP368" s="7"/>
      <c r="AQ368" s="7"/>
      <c r="AR368" s="7"/>
      <c r="AS368" s="7"/>
      <c r="AT368" s="7"/>
      <c r="AU368" s="7"/>
      <c r="AV368" s="7"/>
      <c r="AW368" s="7"/>
      <c r="AX368" s="7"/>
    </row>
    <row r="369" spans="1:50">
      <c r="A369" s="375" t="s">
        <v>178</v>
      </c>
      <c r="C369" s="238"/>
      <c r="D369" s="7"/>
      <c r="E369" s="7"/>
      <c r="F369" s="7"/>
      <c r="G369" s="7"/>
      <c r="H369" s="7"/>
      <c r="I369" s="7"/>
      <c r="J369" s="7"/>
      <c r="K369" s="7"/>
      <c r="L369" s="7"/>
      <c r="M369" s="7"/>
      <c r="N369" s="7"/>
      <c r="O369" s="7"/>
      <c r="P369" s="7"/>
      <c r="Q369" s="7"/>
      <c r="T369" s="46"/>
      <c r="U369" s="171"/>
      <c r="V369" s="7"/>
      <c r="W369" s="7"/>
      <c r="X369" s="7"/>
      <c r="Y369" s="7"/>
      <c r="Z369" s="7"/>
      <c r="AA369" s="7"/>
      <c r="AB369" s="7"/>
      <c r="AC369" s="7"/>
      <c r="AD369" s="7"/>
      <c r="AE369" s="7"/>
      <c r="AF369" s="7"/>
      <c r="AG369" s="7"/>
      <c r="AH369" s="7"/>
      <c r="AI369" s="7"/>
      <c r="AJ369" s="7"/>
      <c r="AK369" s="7"/>
      <c r="AL369" s="7"/>
      <c r="AM369" s="7"/>
      <c r="AN369" s="7"/>
      <c r="AO369" s="7"/>
      <c r="AP369" s="7"/>
      <c r="AQ369" s="7"/>
      <c r="AR369" s="7"/>
      <c r="AS369" s="7"/>
      <c r="AT369" s="7"/>
      <c r="AU369" s="7"/>
      <c r="AV369" s="7"/>
      <c r="AW369" s="7"/>
      <c r="AX369" s="7"/>
    </row>
    <row r="370" spans="1:50">
      <c r="A370" s="445" t="s">
        <v>178</v>
      </c>
      <c r="B370" s="284" t="s">
        <v>303</v>
      </c>
      <c r="C370" s="295"/>
      <c r="D370" s="7"/>
      <c r="E370" s="7"/>
      <c r="F370" s="7"/>
      <c r="G370" s="7"/>
      <c r="H370" s="7"/>
      <c r="I370" s="7"/>
      <c r="J370" s="7"/>
      <c r="K370" s="7"/>
      <c r="L370" s="7"/>
      <c r="M370" s="7"/>
      <c r="N370" s="7"/>
      <c r="O370" s="7"/>
      <c r="P370" s="7"/>
      <c r="Q370" s="7"/>
      <c r="T370" s="46"/>
      <c r="U370" s="171"/>
      <c r="V370" s="7"/>
      <c r="W370" s="7"/>
      <c r="X370" s="7"/>
      <c r="Y370" s="7"/>
      <c r="Z370" s="7"/>
      <c r="AA370" s="7"/>
      <c r="AB370" s="7"/>
      <c r="AC370" s="7"/>
      <c r="AD370" s="7"/>
      <c r="AE370" s="7"/>
      <c r="AF370" s="7"/>
      <c r="AG370" s="7"/>
      <c r="AH370" s="7"/>
      <c r="AI370" s="7"/>
      <c r="AJ370" s="7"/>
      <c r="AK370" s="7"/>
      <c r="AL370" s="7"/>
      <c r="AM370" s="7"/>
      <c r="AN370" s="7"/>
      <c r="AO370" s="7"/>
      <c r="AP370" s="7"/>
      <c r="AQ370" s="7"/>
      <c r="AR370" s="7"/>
      <c r="AS370" s="7"/>
      <c r="AT370" s="7"/>
      <c r="AU370" s="7"/>
      <c r="AV370" s="7"/>
      <c r="AW370" s="7"/>
      <c r="AX370" s="7"/>
    </row>
    <row r="371" spans="1:50">
      <c r="A371" s="376" t="s">
        <v>747</v>
      </c>
      <c r="B371" s="174" t="s">
        <v>748</v>
      </c>
      <c r="C371" s="294" t="s">
        <v>160</v>
      </c>
      <c r="D371" s="6">
        <f>(D346*(D356+D357)+(D347*D358)+(D348*D359))*365</f>
        <v>7664902.6408341806</v>
      </c>
      <c r="E371" s="6">
        <f>(E346*(E356+E357)+(E347*E358)+(E348*E359))*366</f>
        <v>8362004.5881491629</v>
      </c>
      <c r="F371" s="6">
        <f>(F346*(F356+F357)+(F347*F358)+(F348*F359))*365</f>
        <v>8492872.4185108095</v>
      </c>
      <c r="G371" s="6">
        <f>(G346*(G356+G357)+(G347*G358)+(G348*G359))*365</f>
        <v>9827033.3668543529</v>
      </c>
      <c r="H371" s="6">
        <f>(H346*(H356+H357)+(H347*H358)+(H348*H359))*365</f>
        <v>10844122.879834166</v>
      </c>
      <c r="I371" s="6">
        <f>(I346*(I356+I357)+(I347*I358)+(I348*I359))*366</f>
        <v>11328715.686233928</v>
      </c>
      <c r="J371" s="6">
        <f>(J346*(J356+J357)+(J347*J358)+(J348*J359))*365</f>
        <v>11388739.887544569</v>
      </c>
      <c r="K371" s="6">
        <f>(K346*(K356+K357)+(K347*K358)+(K348*K359))*365</f>
        <v>12318396.973951072</v>
      </c>
      <c r="L371" s="6">
        <f>(L346*(L356+L357)+(L347*L358)+(L348*L359))*365</f>
        <v>13021697.035758056</v>
      </c>
      <c r="M371" s="6">
        <f>(M346*(M356+M357)+(M347*M358)+(M348*M359))*366</f>
        <v>14826285.409937266</v>
      </c>
      <c r="N371" s="6">
        <f>(N346*(N356+N357)+(N347*N358)+(N348*N359))*366</f>
        <v>14800217.974035187</v>
      </c>
      <c r="O371" s="6">
        <f>(O346*(O356+O357)+(O347*O358)+(O348*O359))*365</f>
        <v>14831409.73338379</v>
      </c>
      <c r="P371" s="6">
        <f t="shared" ref="P371:Q371" si="196">(P346*(P356+P357)+(P347*P358)+(P348*P359))*365</f>
        <v>14746484.612243317</v>
      </c>
      <c r="Q371" s="6">
        <f t="shared" si="196"/>
        <v>15072373.069352439</v>
      </c>
      <c r="R371" s="6">
        <f>(R346*(R356+R357)+(R347*R358)+(R348*R359))*365</f>
        <v>15072913.879341749</v>
      </c>
      <c r="S371" s="6">
        <f t="shared" ref="S371" si="197">(S346*(S356+S357)+(S347*S358)+(S348*S359))*365</f>
        <v>15299299.589247286</v>
      </c>
      <c r="T371" s="46"/>
      <c r="U371" s="171" t="s">
        <v>749</v>
      </c>
      <c r="V371" s="7"/>
      <c r="W371" s="7"/>
      <c r="X371" s="7"/>
      <c r="Y371" s="7"/>
      <c r="Z371" s="7"/>
      <c r="AA371" s="7"/>
      <c r="AB371" s="7"/>
      <c r="AC371" s="7"/>
      <c r="AD371" s="7"/>
      <c r="AE371" s="7"/>
      <c r="AF371" s="7"/>
      <c r="AG371" s="7"/>
      <c r="AH371" s="7"/>
      <c r="AI371" s="7"/>
      <c r="AJ371" s="7"/>
      <c r="AK371" s="7"/>
      <c r="AL371" s="7"/>
      <c r="AM371" s="7"/>
      <c r="AN371" s="7"/>
      <c r="AO371" s="7"/>
      <c r="AP371" s="7"/>
      <c r="AQ371" s="7"/>
      <c r="AR371" s="7"/>
      <c r="AS371" s="7"/>
      <c r="AT371" s="7"/>
      <c r="AU371" s="7"/>
      <c r="AV371" s="7"/>
      <c r="AW371" s="7"/>
      <c r="AX371" s="7"/>
    </row>
    <row r="372" spans="1:50">
      <c r="A372" s="373" t="s">
        <v>750</v>
      </c>
      <c r="B372" s="175" t="s">
        <v>751</v>
      </c>
      <c r="C372" s="294" t="s">
        <v>160</v>
      </c>
      <c r="D372" s="6">
        <f t="shared" ref="D372:N372" si="198">(D351*(D362+D363)+(D352*D364)+(D353*D365))</f>
        <v>9275088.3672643472</v>
      </c>
      <c r="E372" s="6">
        <f t="shared" si="198"/>
        <v>10085296.925271453</v>
      </c>
      <c r="F372" s="6">
        <f t="shared" si="198"/>
        <v>9544373.3484050408</v>
      </c>
      <c r="G372" s="6">
        <f t="shared" si="198"/>
        <v>12100032.029878203</v>
      </c>
      <c r="H372" s="6">
        <f t="shared" si="198"/>
        <v>12832585.987307901</v>
      </c>
      <c r="I372" s="6">
        <f t="shared" si="198"/>
        <v>12341619.330839103</v>
      </c>
      <c r="J372" s="6">
        <f t="shared" si="198"/>
        <v>12292612.14976961</v>
      </c>
      <c r="K372" s="6">
        <f t="shared" si="198"/>
        <v>12338169.978083834</v>
      </c>
      <c r="L372" s="6">
        <f t="shared" si="198"/>
        <v>12924955.682335382</v>
      </c>
      <c r="M372" s="6">
        <f t="shared" si="198"/>
        <v>14499379.626061749</v>
      </c>
      <c r="N372" s="6">
        <f t="shared" si="198"/>
        <v>14937470.288134096</v>
      </c>
      <c r="O372" s="6">
        <f>(O351*(O362+O363)+(O352*O364)+(O353*O365))</f>
        <v>13349702.375873636</v>
      </c>
      <c r="P372" s="6">
        <f t="shared" ref="P372:S372" si="199">(P351*(P362+P363)+(P352*P364)+(P353*P365))</f>
        <v>13422686.398704764</v>
      </c>
      <c r="Q372" s="6">
        <f t="shared" si="199"/>
        <v>14141723.636018518</v>
      </c>
      <c r="R372" s="6">
        <f t="shared" si="199"/>
        <v>14545688.371611957</v>
      </c>
      <c r="S372" s="6">
        <f t="shared" si="199"/>
        <v>15472170.421261743</v>
      </c>
      <c r="T372" s="46"/>
      <c r="U372" s="171" t="s">
        <v>752</v>
      </c>
      <c r="V372" s="7"/>
      <c r="W372" s="7"/>
      <c r="X372" s="7"/>
      <c r="Y372" s="7"/>
      <c r="Z372" s="7"/>
      <c r="AA372" s="7"/>
      <c r="AB372" s="7"/>
      <c r="AC372" s="7"/>
      <c r="AD372" s="7"/>
      <c r="AE372" s="7"/>
      <c r="AF372" s="7"/>
      <c r="AG372" s="7"/>
      <c r="AH372" s="7"/>
      <c r="AI372" s="7"/>
      <c r="AJ372" s="7"/>
      <c r="AK372" s="7"/>
      <c r="AL372" s="7"/>
      <c r="AM372" s="7"/>
      <c r="AN372" s="7"/>
      <c r="AO372" s="7"/>
      <c r="AP372" s="7"/>
      <c r="AQ372" s="7"/>
      <c r="AR372" s="7"/>
      <c r="AS372" s="7"/>
      <c r="AT372" s="7"/>
      <c r="AU372" s="7"/>
      <c r="AV372" s="7"/>
      <c r="AW372" s="7"/>
      <c r="AX372" s="7"/>
    </row>
    <row r="373" spans="1:50">
      <c r="A373" s="373" t="s">
        <v>753</v>
      </c>
      <c r="B373" s="175" t="s">
        <v>475</v>
      </c>
      <c r="C373" s="294" t="s">
        <v>160</v>
      </c>
      <c r="D373" s="6">
        <f t="shared" ref="D373:N373" si="200">D368</f>
        <v>5920397.3981290003</v>
      </c>
      <c r="E373" s="6">
        <f t="shared" si="200"/>
        <v>5819927.4303000001</v>
      </c>
      <c r="F373" s="6">
        <f t="shared" si="200"/>
        <v>6435143.1871999996</v>
      </c>
      <c r="G373" s="6">
        <f t="shared" si="200"/>
        <v>4539431.0387000004</v>
      </c>
      <c r="H373" s="6">
        <f t="shared" si="200"/>
        <v>4569499.1533000004</v>
      </c>
      <c r="I373" s="6">
        <f t="shared" si="200"/>
        <v>3904458.8294999981</v>
      </c>
      <c r="J373" s="6">
        <f t="shared" si="200"/>
        <v>3003279.6797000002</v>
      </c>
      <c r="K373" s="6">
        <f t="shared" si="200"/>
        <v>4522933.9864999996</v>
      </c>
      <c r="L373" s="6">
        <f t="shared" si="200"/>
        <v>5062249.5273000002</v>
      </c>
      <c r="M373" s="6">
        <f t="shared" si="200"/>
        <v>0</v>
      </c>
      <c r="N373" s="6">
        <f t="shared" si="200"/>
        <v>0</v>
      </c>
      <c r="O373" s="6">
        <f>O368</f>
        <v>0</v>
      </c>
      <c r="P373" s="6">
        <f t="shared" ref="P373:S373" si="201">P368</f>
        <v>0</v>
      </c>
      <c r="Q373" s="6">
        <f t="shared" si="201"/>
        <v>0</v>
      </c>
      <c r="R373" s="6">
        <f t="shared" si="201"/>
        <v>0</v>
      </c>
      <c r="S373" s="6">
        <f t="shared" si="201"/>
        <v>0</v>
      </c>
      <c r="T373" s="46"/>
      <c r="U373" s="171" t="str">
        <f>U368</f>
        <v>Total revenue from trade effluent for customers subject to schedule 3 agreements</v>
      </c>
      <c r="V373" s="7"/>
      <c r="W373" s="7"/>
      <c r="X373" s="7"/>
      <c r="Y373" s="7"/>
      <c r="Z373" s="7"/>
      <c r="AA373" s="7"/>
      <c r="AB373" s="7"/>
      <c r="AC373" s="7"/>
      <c r="AD373" s="7"/>
      <c r="AE373" s="7"/>
      <c r="AF373" s="7"/>
      <c r="AG373" s="7"/>
      <c r="AH373" s="7"/>
      <c r="AI373" s="7"/>
      <c r="AJ373" s="7"/>
      <c r="AK373" s="7"/>
      <c r="AL373" s="7"/>
      <c r="AM373" s="7"/>
      <c r="AN373" s="7"/>
      <c r="AO373" s="7"/>
      <c r="AP373" s="7"/>
      <c r="AQ373" s="7"/>
      <c r="AR373" s="7"/>
      <c r="AS373" s="7"/>
      <c r="AT373" s="7"/>
      <c r="AU373" s="7"/>
      <c r="AV373" s="7"/>
      <c r="AW373" s="7"/>
      <c r="AX373" s="7"/>
    </row>
    <row r="374" spans="1:50">
      <c r="A374" s="373" t="s">
        <v>754</v>
      </c>
      <c r="B374" s="175" t="s">
        <v>176</v>
      </c>
      <c r="C374" s="294" t="s">
        <v>160</v>
      </c>
      <c r="D374" s="6">
        <f>SUM(D371:D373)</f>
        <v>22860388.406227529</v>
      </c>
      <c r="E374" s="6">
        <f>SUM(E371:E373)</f>
        <v>24267228.943720616</v>
      </c>
      <c r="F374" s="6">
        <f t="shared" ref="F374:H374" si="202">SUM(F371:F373)</f>
        <v>24472388.954115849</v>
      </c>
      <c r="G374" s="6">
        <f t="shared" si="202"/>
        <v>26466496.435432553</v>
      </c>
      <c r="H374" s="6">
        <f t="shared" si="202"/>
        <v>28246208.020442069</v>
      </c>
      <c r="I374" s="6">
        <f>SUM(I371:I373)</f>
        <v>27574793.846573029</v>
      </c>
      <c r="J374" s="6">
        <f>SUM(J371:J373)</f>
        <v>26684631.717014179</v>
      </c>
      <c r="K374" s="6">
        <f>SUM(K371:K373)</f>
        <v>29179500.938534904</v>
      </c>
      <c r="L374" s="6">
        <f>SUM(L371:L373)</f>
        <v>31008902.24539344</v>
      </c>
      <c r="M374" s="6">
        <f>SUM(M371:M373)</f>
        <v>29325665.035999015</v>
      </c>
      <c r="N374" s="6">
        <f t="shared" ref="N374" si="203">SUM(N371:N373)</f>
        <v>29737688.262169283</v>
      </c>
      <c r="O374" s="6">
        <f>SUM(O371:O373)</f>
        <v>28181112.109257426</v>
      </c>
      <c r="P374" s="6">
        <f t="shared" ref="P374:S374" si="204">SUM(P371:P373)</f>
        <v>28169171.010948081</v>
      </c>
      <c r="Q374" s="6">
        <f t="shared" si="204"/>
        <v>29214096.705370955</v>
      </c>
      <c r="R374" s="6">
        <f t="shared" si="204"/>
        <v>29618602.250953704</v>
      </c>
      <c r="S374" s="6">
        <f t="shared" si="204"/>
        <v>30771470.010509029</v>
      </c>
      <c r="T374" s="46"/>
      <c r="U374" s="171" t="s">
        <v>172</v>
      </c>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row>
    <row r="375" spans="1:50">
      <c r="A375" s="375" t="s">
        <v>178</v>
      </c>
      <c r="C375" s="238"/>
      <c r="D375" s="7"/>
      <c r="E375" s="7"/>
      <c r="F375" s="7"/>
      <c r="G375" s="7"/>
      <c r="H375" s="7"/>
      <c r="I375" s="7"/>
      <c r="J375" s="7"/>
      <c r="K375" s="7"/>
      <c r="L375" s="7"/>
      <c r="M375" s="7"/>
      <c r="N375" s="7"/>
      <c r="O375" s="7"/>
      <c r="P375" s="7"/>
      <c r="Q375" s="7"/>
      <c r="T375" s="46"/>
      <c r="U375" s="171"/>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7"/>
      <c r="AX375" s="7"/>
    </row>
    <row r="376" spans="1:50">
      <c r="A376" s="445" t="s">
        <v>178</v>
      </c>
      <c r="B376" s="443" t="s">
        <v>755</v>
      </c>
      <c r="C376" s="290"/>
      <c r="D376" s="8"/>
      <c r="E376" s="8"/>
      <c r="F376" s="8"/>
      <c r="G376" s="8"/>
      <c r="H376" s="8"/>
      <c r="I376" s="8"/>
      <c r="J376" s="8"/>
      <c r="K376" s="8"/>
      <c r="L376" s="8"/>
      <c r="M376" s="8"/>
      <c r="N376" s="8"/>
      <c r="O376" s="8"/>
      <c r="P376" s="8"/>
      <c r="Q376" s="8"/>
      <c r="R376" s="8"/>
      <c r="S376" s="8"/>
      <c r="T376" s="46"/>
      <c r="U376" s="171"/>
      <c r="V376" s="7"/>
      <c r="W376" s="7"/>
      <c r="X376" s="7"/>
      <c r="Y376" s="7"/>
      <c r="Z376" s="7"/>
      <c r="AA376" s="7"/>
      <c r="AB376" s="7"/>
      <c r="AC376" s="7"/>
      <c r="AD376" s="7"/>
      <c r="AE376" s="7"/>
      <c r="AF376" s="7"/>
      <c r="AG376" s="7"/>
      <c r="AH376" s="7"/>
      <c r="AI376" s="7"/>
      <c r="AJ376" s="7"/>
      <c r="AK376" s="7"/>
      <c r="AL376" s="7"/>
      <c r="AM376" s="7"/>
      <c r="AN376" s="7"/>
      <c r="AO376" s="7"/>
      <c r="AP376" s="7"/>
      <c r="AQ376" s="7"/>
      <c r="AR376" s="7"/>
      <c r="AS376" s="7"/>
      <c r="AT376" s="7"/>
      <c r="AU376" s="7"/>
      <c r="AV376" s="7"/>
      <c r="AW376" s="7"/>
      <c r="AX376" s="7"/>
    </row>
    <row r="377" spans="1:50">
      <c r="A377" s="376" t="s">
        <v>756</v>
      </c>
      <c r="B377" s="20" t="s">
        <v>757</v>
      </c>
      <c r="C377" s="293" t="s">
        <v>210</v>
      </c>
      <c r="D377" s="11">
        <v>0</v>
      </c>
      <c r="E377" s="11">
        <v>0</v>
      </c>
      <c r="F377" s="11">
        <v>0</v>
      </c>
      <c r="G377" s="11">
        <v>0</v>
      </c>
      <c r="H377" s="11">
        <v>0</v>
      </c>
      <c r="I377" s="11">
        <v>1048.3338000000001</v>
      </c>
      <c r="J377" s="11">
        <v>3907.8218000000002</v>
      </c>
      <c r="K377" s="11">
        <v>5166.9988000000003</v>
      </c>
      <c r="L377" s="11">
        <v>7331.7793000000001</v>
      </c>
      <c r="M377" s="11">
        <v>4132.8661999999986</v>
      </c>
      <c r="N377" s="11">
        <v>8571.9732999999997</v>
      </c>
      <c r="O377" s="11">
        <v>24822.625700000004</v>
      </c>
      <c r="P377" s="11">
        <v>24822.625700000004</v>
      </c>
      <c r="Q377" s="11">
        <v>49711</v>
      </c>
      <c r="R377" s="11">
        <v>53113.775899999993</v>
      </c>
      <c r="S377" s="11">
        <v>50976.294099999999</v>
      </c>
      <c r="T377" s="46"/>
      <c r="U377" s="171" t="s">
        <v>758</v>
      </c>
      <c r="V377" s="7"/>
      <c r="W377" s="7"/>
      <c r="X377" s="7"/>
      <c r="Y377" s="7"/>
      <c r="Z377" s="7"/>
      <c r="AA377" s="7"/>
      <c r="AB377" s="7"/>
      <c r="AC377" s="7"/>
      <c r="AD377" s="7"/>
      <c r="AE377" s="7"/>
      <c r="AF377" s="7"/>
      <c r="AG377" s="7"/>
      <c r="AH377" s="7"/>
      <c r="AI377" s="7"/>
      <c r="AJ377" s="7"/>
      <c r="AK377" s="7"/>
      <c r="AL377" s="7"/>
      <c r="AM377" s="7"/>
      <c r="AN377" s="7"/>
      <c r="AO377" s="7"/>
      <c r="AP377" s="7"/>
      <c r="AQ377" s="7"/>
      <c r="AR377" s="7"/>
      <c r="AS377" s="7"/>
      <c r="AT377" s="7"/>
      <c r="AU377" s="7"/>
      <c r="AV377" s="7"/>
      <c r="AW377" s="7"/>
      <c r="AX377" s="7"/>
    </row>
    <row r="378" spans="1:50">
      <c r="A378" s="373" t="s">
        <v>759</v>
      </c>
      <c r="B378" s="20" t="s">
        <v>760</v>
      </c>
      <c r="C378" s="294" t="s">
        <v>160</v>
      </c>
      <c r="D378" s="35">
        <f t="shared" ref="D378:M378" si="205">D377/D374</f>
        <v>0</v>
      </c>
      <c r="E378" s="35">
        <f t="shared" si="205"/>
        <v>0</v>
      </c>
      <c r="F378" s="35">
        <f t="shared" si="205"/>
        <v>0</v>
      </c>
      <c r="G378" s="35">
        <f t="shared" si="205"/>
        <v>0</v>
      </c>
      <c r="H378" s="35">
        <f t="shared" si="205"/>
        <v>0</v>
      </c>
      <c r="I378" s="35">
        <f t="shared" si="205"/>
        <v>3.8017829102656598E-5</v>
      </c>
      <c r="J378" s="35">
        <f t="shared" si="205"/>
        <v>1.4644465928710437E-4</v>
      </c>
      <c r="K378" s="35">
        <f t="shared" si="205"/>
        <v>1.7707632529027873E-4</v>
      </c>
      <c r="L378" s="35">
        <f t="shared" si="205"/>
        <v>2.3644111107123052E-4</v>
      </c>
      <c r="M378" s="35">
        <f t="shared" si="205"/>
        <v>1.4093000772281403E-4</v>
      </c>
      <c r="N378" s="35">
        <f t="shared" ref="N378:S378" si="206">N377/N374</f>
        <v>2.8825284683963858E-4</v>
      </c>
      <c r="O378" s="35">
        <f t="shared" si="206"/>
        <v>8.8082491577207243E-4</v>
      </c>
      <c r="P378" s="35">
        <f t="shared" si="206"/>
        <v>8.8119830329236792E-4</v>
      </c>
      <c r="Q378" s="35">
        <f t="shared" si="206"/>
        <v>1.7016100309841422E-3</v>
      </c>
      <c r="R378" s="35">
        <f t="shared" si="206"/>
        <v>1.7932573404367777E-3</v>
      </c>
      <c r="S378" s="35">
        <f t="shared" si="206"/>
        <v>1.6566089979643691E-3</v>
      </c>
      <c r="T378" s="46"/>
      <c r="U378" s="171" t="s">
        <v>761</v>
      </c>
      <c r="V378" s="7"/>
      <c r="W378" s="7"/>
      <c r="X378" s="7"/>
      <c r="Y378" s="7"/>
      <c r="Z378" s="7"/>
      <c r="AA378" s="7"/>
      <c r="AB378" s="7"/>
      <c r="AC378" s="7"/>
      <c r="AD378" s="7"/>
      <c r="AE378" s="7"/>
      <c r="AF378" s="7"/>
      <c r="AG378" s="7"/>
      <c r="AH378" s="7"/>
      <c r="AI378" s="7"/>
      <c r="AJ378" s="7"/>
      <c r="AK378" s="7"/>
      <c r="AL378" s="7"/>
      <c r="AM378" s="7"/>
      <c r="AN378" s="7"/>
      <c r="AO378" s="7"/>
      <c r="AP378" s="7"/>
      <c r="AQ378" s="7"/>
      <c r="AR378" s="7"/>
      <c r="AS378" s="7"/>
      <c r="AT378" s="7"/>
      <c r="AU378" s="7"/>
      <c r="AV378" s="7"/>
      <c r="AW378" s="7"/>
      <c r="AX378" s="7"/>
    </row>
    <row r="379" spans="1:50">
      <c r="A379" s="373" t="s">
        <v>762</v>
      </c>
      <c r="B379" s="20" t="s">
        <v>763</v>
      </c>
      <c r="C379" s="293" t="s">
        <v>210</v>
      </c>
      <c r="D379" s="11"/>
      <c r="E379" s="11"/>
      <c r="F379" s="11">
        <v>71991.074299999978</v>
      </c>
      <c r="G379" s="11"/>
      <c r="H379" s="11">
        <v>0</v>
      </c>
      <c r="I379" s="11">
        <v>0</v>
      </c>
      <c r="J379" s="11">
        <v>0</v>
      </c>
      <c r="K379" s="11">
        <v>191504.666</v>
      </c>
      <c r="L379" s="11">
        <v>201981.87129999991</v>
      </c>
      <c r="M379" s="11">
        <f>294429.801</f>
        <v>294429.80099999998</v>
      </c>
      <c r="N379" s="11">
        <v>211491.82610000001</v>
      </c>
      <c r="O379" s="11">
        <v>239050.22079999984</v>
      </c>
      <c r="P379" s="11">
        <v>239050.22079999984</v>
      </c>
      <c r="Q379" s="11">
        <v>164252.17000000001</v>
      </c>
      <c r="R379" s="11">
        <v>132117.86280000003</v>
      </c>
      <c r="S379" s="11">
        <v>125767.58</v>
      </c>
      <c r="T379" s="46"/>
      <c r="U379" s="171" t="s">
        <v>764</v>
      </c>
      <c r="V379" s="7"/>
      <c r="W379" s="7"/>
      <c r="X379" s="7"/>
      <c r="Y379" s="7"/>
      <c r="Z379" s="7"/>
      <c r="AA379" s="7"/>
      <c r="AB379" s="7"/>
      <c r="AC379" s="7"/>
      <c r="AD379" s="7"/>
      <c r="AE379" s="7"/>
      <c r="AF379" s="7"/>
      <c r="AG379" s="7"/>
      <c r="AH379" s="7"/>
      <c r="AI379" s="7"/>
      <c r="AJ379" s="7"/>
      <c r="AK379" s="7"/>
      <c r="AL379" s="7"/>
      <c r="AM379" s="7"/>
      <c r="AN379" s="7"/>
      <c r="AO379" s="7"/>
      <c r="AP379" s="7"/>
      <c r="AQ379" s="7"/>
      <c r="AR379" s="7"/>
      <c r="AS379" s="7"/>
      <c r="AT379" s="7"/>
      <c r="AU379" s="7"/>
      <c r="AV379" s="7"/>
      <c r="AW379" s="7"/>
      <c r="AX379" s="7"/>
    </row>
    <row r="380" spans="1:50">
      <c r="A380" s="373" t="s">
        <v>765</v>
      </c>
      <c r="B380" s="20" t="s">
        <v>766</v>
      </c>
      <c r="C380" s="294" t="s">
        <v>160</v>
      </c>
      <c r="D380" s="35">
        <f t="shared" ref="D380:M380" si="207">D379/D374</f>
        <v>0</v>
      </c>
      <c r="E380" s="35">
        <f t="shared" si="207"/>
        <v>0</v>
      </c>
      <c r="F380" s="35">
        <f t="shared" si="207"/>
        <v>2.9417264671209092E-3</v>
      </c>
      <c r="G380" s="35">
        <f t="shared" si="207"/>
        <v>0</v>
      </c>
      <c r="H380" s="35">
        <f t="shared" si="207"/>
        <v>0</v>
      </c>
      <c r="I380" s="35">
        <f t="shared" si="207"/>
        <v>0</v>
      </c>
      <c r="J380" s="35">
        <f t="shared" si="207"/>
        <v>0</v>
      </c>
      <c r="K380" s="35">
        <f t="shared" si="207"/>
        <v>6.5629863376825597E-3</v>
      </c>
      <c r="L380" s="35">
        <f t="shared" si="207"/>
        <v>6.5136737089751557E-3</v>
      </c>
      <c r="M380" s="35">
        <f t="shared" si="207"/>
        <v>1.0040004229693332E-2</v>
      </c>
      <c r="N380" s="35">
        <f t="shared" ref="N380:S380" si="208">N379/N374</f>
        <v>7.111912137738317E-3</v>
      </c>
      <c r="O380" s="35">
        <f t="shared" si="208"/>
        <v>8.482639715324522E-3</v>
      </c>
      <c r="P380" s="35">
        <f t="shared" si="208"/>
        <v>8.48623556252656E-3</v>
      </c>
      <c r="Q380" s="35">
        <f t="shared" si="208"/>
        <v>5.6223600427050876E-3</v>
      </c>
      <c r="R380" s="35">
        <f t="shared" si="208"/>
        <v>4.4606380031233881E-3</v>
      </c>
      <c r="S380" s="35">
        <f t="shared" si="208"/>
        <v>4.0871489063424018E-3</v>
      </c>
      <c r="T380" s="46"/>
      <c r="U380" s="171" t="s">
        <v>767</v>
      </c>
      <c r="V380" s="7"/>
      <c r="W380" s="7"/>
      <c r="X380" s="7"/>
      <c r="Y380" s="7"/>
      <c r="Z380" s="7"/>
      <c r="AA380" s="7"/>
      <c r="AB380" s="7"/>
      <c r="AC380" s="7"/>
      <c r="AD380" s="7"/>
      <c r="AE380" s="7"/>
      <c r="AF380" s="7"/>
      <c r="AG380" s="7"/>
      <c r="AH380" s="7"/>
      <c r="AI380" s="7"/>
      <c r="AJ380" s="7"/>
      <c r="AK380" s="7"/>
      <c r="AL380" s="7"/>
      <c r="AM380" s="7"/>
      <c r="AN380" s="7"/>
      <c r="AO380" s="7"/>
      <c r="AP380" s="7"/>
      <c r="AQ380" s="7"/>
      <c r="AR380" s="7"/>
      <c r="AS380" s="7"/>
      <c r="AT380" s="7"/>
      <c r="AU380" s="7"/>
      <c r="AV380" s="7"/>
      <c r="AW380" s="7"/>
      <c r="AX380" s="7"/>
    </row>
    <row r="381" spans="1:50">
      <c r="A381" s="373" t="s">
        <v>768</v>
      </c>
      <c r="B381" s="20" t="s">
        <v>332</v>
      </c>
      <c r="C381" s="293" t="s">
        <v>210</v>
      </c>
      <c r="D381" s="11"/>
      <c r="E381" s="11"/>
      <c r="F381" s="11"/>
      <c r="G381" s="11"/>
      <c r="H381" s="11">
        <v>0</v>
      </c>
      <c r="I381" s="11">
        <v>0</v>
      </c>
      <c r="J381" s="11">
        <v>0</v>
      </c>
      <c r="K381" s="11">
        <v>0</v>
      </c>
      <c r="L381" s="11">
        <v>0</v>
      </c>
      <c r="M381" s="11">
        <v>1559.2786000000001</v>
      </c>
      <c r="N381" s="11">
        <v>0</v>
      </c>
      <c r="O381" s="11"/>
      <c r="P381" s="11">
        <v>0</v>
      </c>
      <c r="Q381" s="11">
        <v>0</v>
      </c>
      <c r="R381" s="11">
        <v>0</v>
      </c>
      <c r="S381" s="11">
        <v>39.090000000000003</v>
      </c>
      <c r="T381" s="46"/>
      <c r="U381" s="171" t="s">
        <v>333</v>
      </c>
      <c r="V381" s="7"/>
      <c r="W381" s="7"/>
      <c r="X381" s="7"/>
      <c r="Y381" s="7"/>
      <c r="Z381" s="7"/>
      <c r="AA381" s="7"/>
      <c r="AB381" s="7"/>
      <c r="AC381" s="7"/>
      <c r="AD381" s="7"/>
      <c r="AE381" s="7"/>
      <c r="AF381" s="7"/>
      <c r="AG381" s="7"/>
      <c r="AH381" s="7"/>
      <c r="AI381" s="7"/>
      <c r="AJ381" s="7"/>
      <c r="AK381" s="7"/>
      <c r="AL381" s="7"/>
      <c r="AM381" s="7"/>
      <c r="AN381" s="7"/>
      <c r="AO381" s="7"/>
      <c r="AP381" s="7"/>
      <c r="AQ381" s="7"/>
      <c r="AR381" s="7"/>
      <c r="AS381" s="7"/>
      <c r="AT381" s="7"/>
      <c r="AU381" s="7"/>
      <c r="AV381" s="7"/>
      <c r="AW381" s="7"/>
      <c r="AX381" s="7"/>
    </row>
    <row r="382" spans="1:50">
      <c r="A382" s="373" t="s">
        <v>769</v>
      </c>
      <c r="B382" s="20" t="s">
        <v>335</v>
      </c>
      <c r="C382" s="294" t="s">
        <v>160</v>
      </c>
      <c r="D382" s="35">
        <f>D381/D374</f>
        <v>0</v>
      </c>
      <c r="E382" s="35">
        <f t="shared" ref="E382:J382" si="209">E381/E374</f>
        <v>0</v>
      </c>
      <c r="F382" s="35">
        <f t="shared" si="209"/>
        <v>0</v>
      </c>
      <c r="G382" s="35">
        <f t="shared" si="209"/>
        <v>0</v>
      </c>
      <c r="H382" s="35">
        <f>H381/H374</f>
        <v>0</v>
      </c>
      <c r="I382" s="35">
        <f t="shared" si="209"/>
        <v>0</v>
      </c>
      <c r="J382" s="35">
        <f t="shared" si="209"/>
        <v>0</v>
      </c>
      <c r="K382" s="35">
        <f>K381/K374</f>
        <v>0</v>
      </c>
      <c r="L382" s="35">
        <f>L381/L374</f>
        <v>0</v>
      </c>
      <c r="M382" s="35">
        <f>M381/M374</f>
        <v>5.3171124954400589E-5</v>
      </c>
      <c r="N382" s="35">
        <f>N381/N374</f>
        <v>0</v>
      </c>
      <c r="O382" s="35">
        <f>O381/O374</f>
        <v>0</v>
      </c>
      <c r="P382" s="35">
        <f t="shared" ref="P382:S382" si="210">P381/P374</f>
        <v>0</v>
      </c>
      <c r="Q382" s="35">
        <f t="shared" si="210"/>
        <v>0</v>
      </c>
      <c r="R382" s="35">
        <f t="shared" si="210"/>
        <v>0</v>
      </c>
      <c r="S382" s="35">
        <f t="shared" si="210"/>
        <v>1.2703325511147189E-6</v>
      </c>
      <c r="T382" s="46"/>
      <c r="U382" s="171"/>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row>
    <row r="383" spans="1:50">
      <c r="A383" s="375" t="s">
        <v>178</v>
      </c>
      <c r="C383" s="238"/>
      <c r="D383" s="7"/>
      <c r="E383" s="7"/>
      <c r="F383" s="7"/>
      <c r="G383" s="7"/>
      <c r="H383" s="7"/>
      <c r="I383" s="7"/>
      <c r="J383" s="7"/>
      <c r="K383" s="7"/>
      <c r="L383" s="7"/>
      <c r="M383" s="7"/>
      <c r="N383" s="7"/>
      <c r="O383" s="7"/>
      <c r="P383" s="7"/>
      <c r="Q383" s="7"/>
      <c r="T383" s="46"/>
      <c r="U383" s="171"/>
      <c r="V383" s="7"/>
      <c r="W383" s="7"/>
      <c r="X383" s="7"/>
      <c r="Y383" s="7"/>
      <c r="Z383" s="7"/>
      <c r="AA383" s="7"/>
      <c r="AB383" s="7"/>
      <c r="AC383" s="7"/>
      <c r="AD383" s="7"/>
      <c r="AE383" s="7"/>
      <c r="AF383" s="7"/>
      <c r="AG383" s="7"/>
      <c r="AH383" s="7"/>
      <c r="AI383" s="7"/>
      <c r="AJ383" s="7"/>
      <c r="AK383" s="7"/>
      <c r="AL383" s="7"/>
      <c r="AM383" s="7"/>
      <c r="AN383" s="7"/>
      <c r="AO383" s="7"/>
      <c r="AP383" s="7"/>
      <c r="AQ383" s="7"/>
      <c r="AR383" s="7"/>
      <c r="AS383" s="7"/>
      <c r="AT383" s="7"/>
      <c r="AU383" s="7"/>
      <c r="AV383" s="7"/>
      <c r="AW383" s="7"/>
      <c r="AX383" s="7"/>
    </row>
    <row r="384" spans="1:50">
      <c r="A384" s="375" t="s">
        <v>178</v>
      </c>
      <c r="C384" s="238"/>
      <c r="D384" s="7"/>
      <c r="E384" s="7"/>
      <c r="F384" s="7"/>
      <c r="G384" s="7"/>
      <c r="H384" s="7"/>
      <c r="I384" s="7"/>
      <c r="J384" s="7"/>
      <c r="K384" s="7"/>
      <c r="L384" s="7"/>
      <c r="M384" s="7"/>
      <c r="N384" s="7"/>
      <c r="O384" s="7"/>
      <c r="P384" s="7"/>
      <c r="Q384" s="7"/>
      <c r="T384" s="46"/>
      <c r="U384" s="171"/>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row>
    <row r="385" spans="1:50">
      <c r="A385" s="375" t="s">
        <v>178</v>
      </c>
      <c r="C385" s="238"/>
      <c r="D385" s="7"/>
      <c r="E385" s="7"/>
      <c r="F385" s="7"/>
      <c r="G385" s="7"/>
      <c r="H385" s="7"/>
      <c r="I385" s="7"/>
      <c r="J385" s="7"/>
      <c r="K385" s="7"/>
      <c r="L385" s="7"/>
      <c r="M385" s="7"/>
      <c r="N385" s="7"/>
      <c r="O385" s="7"/>
      <c r="P385" s="7"/>
      <c r="Q385" s="7"/>
      <c r="T385" s="46"/>
      <c r="U385" s="171"/>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row>
    <row r="386" spans="1:50">
      <c r="A386" s="375" t="s">
        <v>178</v>
      </c>
      <c r="B386" s="9" t="s">
        <v>770</v>
      </c>
      <c r="C386" s="291"/>
      <c r="D386" s="7"/>
      <c r="E386" s="7"/>
      <c r="F386" s="7"/>
      <c r="G386" s="7"/>
      <c r="H386" s="7"/>
      <c r="I386" s="7"/>
      <c r="J386" s="7"/>
      <c r="K386" s="7"/>
      <c r="L386" s="7"/>
      <c r="M386" s="7"/>
      <c r="N386" s="7"/>
      <c r="O386" s="7"/>
      <c r="P386" s="7"/>
      <c r="Q386" s="7"/>
      <c r="T386" s="46"/>
      <c r="U386" s="171"/>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row>
    <row r="387" spans="1:50">
      <c r="A387" s="445" t="s">
        <v>178</v>
      </c>
      <c r="B387" s="163" t="s">
        <v>627</v>
      </c>
      <c r="C387" s="26" t="s">
        <v>152</v>
      </c>
      <c r="D387" s="26" t="str">
        <f>+D$14</f>
        <v>2010-11 RF</v>
      </c>
      <c r="E387" s="26" t="str">
        <f t="shared" ref="E387:O387" si="211">+E$14</f>
        <v>2011-12 RF</v>
      </c>
      <c r="F387" s="26" t="str">
        <f t="shared" si="211"/>
        <v>2012-13 RF</v>
      </c>
      <c r="G387" s="26" t="str">
        <f t="shared" si="211"/>
        <v>2013-14 RF</v>
      </c>
      <c r="H387" s="26" t="str">
        <f t="shared" si="211"/>
        <v>2014-15 RF</v>
      </c>
      <c r="I387" s="26" t="str">
        <f t="shared" si="211"/>
        <v>2015-16 RF</v>
      </c>
      <c r="J387" s="26" t="str">
        <f t="shared" si="211"/>
        <v>2016-17 RF</v>
      </c>
      <c r="K387" s="26" t="str">
        <f t="shared" si="211"/>
        <v>2017-18 RF</v>
      </c>
      <c r="L387" s="26" t="str">
        <f t="shared" si="211"/>
        <v>2018-19 RF</v>
      </c>
      <c r="M387" s="26" t="str">
        <f t="shared" si="211"/>
        <v>2019-20 month</v>
      </c>
      <c r="N387" s="26" t="str">
        <f t="shared" si="211"/>
        <v>2019-20 RF</v>
      </c>
      <c r="O387" s="26" t="str">
        <f t="shared" si="211"/>
        <v>2020-21 month</v>
      </c>
      <c r="P387" s="440" t="s">
        <v>18</v>
      </c>
      <c r="Q387" s="440" t="s">
        <v>155</v>
      </c>
      <c r="R387" s="26" t="s">
        <v>20</v>
      </c>
      <c r="S387" s="26" t="s">
        <v>156</v>
      </c>
      <c r="T387" s="46"/>
      <c r="U387" s="171"/>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row>
    <row r="388" spans="1:50">
      <c r="A388" s="376" t="s">
        <v>771</v>
      </c>
      <c r="B388" s="179" t="s">
        <v>772</v>
      </c>
      <c r="C388" s="293" t="s">
        <v>210</v>
      </c>
      <c r="D388" s="11">
        <v>10068.799999999997</v>
      </c>
      <c r="E388" s="11">
        <v>9861.7568306010944</v>
      </c>
      <c r="F388" s="11">
        <v>9803.728767123288</v>
      </c>
      <c r="G388" s="11">
        <v>9679.7726027397239</v>
      </c>
      <c r="H388" s="11">
        <v>9558.3671232876713</v>
      </c>
      <c r="I388" s="11">
        <v>9438.1612021857891</v>
      </c>
      <c r="J388" s="11">
        <v>9350.8493150684935</v>
      </c>
      <c r="K388" s="11">
        <v>9656.67671232877</v>
      </c>
      <c r="L388" s="11">
        <f>+P2a!D442</f>
        <v>9553.339726027396</v>
      </c>
      <c r="M388" s="11">
        <f>+P2a!E442</f>
        <v>9485.2568306010926</v>
      </c>
      <c r="N388" s="11">
        <f>+P2a!F442</f>
        <v>9479.3278688524606</v>
      </c>
      <c r="O388" s="11">
        <v>9403.7923497267748</v>
      </c>
      <c r="P388" s="11">
        <f>14+9415.74</f>
        <v>9429.74</v>
      </c>
      <c r="Q388" s="11">
        <v>9414.3287670000009</v>
      </c>
      <c r="R388" s="11">
        <v>9391.4465753424647</v>
      </c>
      <c r="S388" s="11">
        <f>9344.14+16.05</f>
        <v>9360.1899999999987</v>
      </c>
      <c r="T388" s="46"/>
      <c r="U388" s="171" t="s">
        <v>773</v>
      </c>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row>
    <row r="389" spans="1:50">
      <c r="A389" s="373" t="s">
        <v>774</v>
      </c>
      <c r="B389" s="175" t="s">
        <v>775</v>
      </c>
      <c r="C389" s="293" t="s">
        <v>210</v>
      </c>
      <c r="D389" s="11">
        <v>1277.0164383561648</v>
      </c>
      <c r="E389" s="11">
        <v>1226.6448087431695</v>
      </c>
      <c r="F389" s="11">
        <v>1221.3068493150686</v>
      </c>
      <c r="G389" s="11">
        <v>1212.5972602739726</v>
      </c>
      <c r="H389" s="11">
        <v>1206.2219178082191</v>
      </c>
      <c r="I389" s="11">
        <v>1195.3005464480873</v>
      </c>
      <c r="J389" s="11">
        <v>1193.4246575342465</v>
      </c>
      <c r="K389" s="11">
        <v>1216.0054794520547</v>
      </c>
      <c r="L389" s="11">
        <f>+P2a!D443</f>
        <v>1212.3616438356164</v>
      </c>
      <c r="M389" s="11">
        <f>+P2a!E443</f>
        <v>1204.8032786885246</v>
      </c>
      <c r="N389" s="11">
        <f>+P2a!F443</f>
        <v>1206.9726775956283</v>
      </c>
      <c r="O389" s="11">
        <v>1194.4344262295081</v>
      </c>
      <c r="P389" s="11">
        <v>1196.161644</v>
      </c>
      <c r="Q389" s="11">
        <v>1177.1643839999999</v>
      </c>
      <c r="R389" s="11">
        <v>1174.8794520547945</v>
      </c>
      <c r="S389" s="11">
        <f>1168.74+10.61</f>
        <v>1179.3499999999999</v>
      </c>
      <c r="T389" s="46"/>
      <c r="U389" s="171" t="s">
        <v>776</v>
      </c>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row>
    <row r="390" spans="1:50">
      <c r="A390" s="375" t="s">
        <v>178</v>
      </c>
      <c r="C390" s="238"/>
      <c r="D390" s="7"/>
      <c r="E390" s="7"/>
      <c r="F390" s="7"/>
      <c r="G390" s="7"/>
      <c r="H390" s="7"/>
      <c r="I390" s="7"/>
      <c r="J390" s="7"/>
      <c r="K390" s="7"/>
      <c r="L390" s="7"/>
      <c r="M390" s="7"/>
      <c r="N390" s="7"/>
      <c r="O390" s="7"/>
      <c r="P390" s="7"/>
      <c r="Q390" s="7"/>
      <c r="T390" s="46"/>
      <c r="U390" s="171"/>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row>
    <row r="391" spans="1:50">
      <c r="A391" s="445" t="s">
        <v>178</v>
      </c>
      <c r="B391" s="284" t="s">
        <v>664</v>
      </c>
      <c r="C391" s="295"/>
      <c r="D391" s="7"/>
      <c r="E391" s="7"/>
      <c r="F391" s="7"/>
      <c r="G391" s="7"/>
      <c r="H391" s="7"/>
      <c r="I391" s="7"/>
      <c r="J391" s="7"/>
      <c r="K391" s="7"/>
      <c r="L391" s="7"/>
      <c r="M391" s="7"/>
      <c r="N391" s="7"/>
      <c r="O391" s="7"/>
      <c r="P391" s="7"/>
      <c r="Q391" s="7"/>
      <c r="T391" s="46"/>
      <c r="U391" s="171"/>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row>
    <row r="392" spans="1:50">
      <c r="A392" s="376" t="s">
        <v>777</v>
      </c>
      <c r="B392" s="175" t="s">
        <v>778</v>
      </c>
      <c r="C392" s="293" t="s">
        <v>210</v>
      </c>
      <c r="D392" s="11">
        <v>120.54</v>
      </c>
      <c r="E392" s="11">
        <v>117.72</v>
      </c>
      <c r="F392" s="11">
        <v>120.49</v>
      </c>
      <c r="G392" s="11">
        <v>120.67</v>
      </c>
      <c r="H392" s="11">
        <v>120.05</v>
      </c>
      <c r="I392" s="11">
        <v>121.25</v>
      </c>
      <c r="J392" s="11">
        <v>120.77</v>
      </c>
      <c r="K392" s="11">
        <v>121.49</v>
      </c>
      <c r="L392" s="11">
        <f>+P2a!D446</f>
        <v>123.92</v>
      </c>
      <c r="M392" s="11">
        <f>+P2a!E446</f>
        <v>126.4</v>
      </c>
      <c r="N392" s="11">
        <f>+P2a!F446</f>
        <v>126.4</v>
      </c>
      <c r="O392" s="11">
        <v>128.93</v>
      </c>
      <c r="P392" s="11">
        <v>128.93</v>
      </c>
      <c r="Q392" s="11">
        <v>132.15</v>
      </c>
      <c r="R392" s="11">
        <v>132.15</v>
      </c>
      <c r="S392" s="11">
        <v>137.69999999999999</v>
      </c>
      <c r="T392" s="46"/>
      <c r="U392" s="171" t="s">
        <v>779</v>
      </c>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row>
    <row r="393" spans="1:50">
      <c r="A393" s="373" t="s">
        <v>780</v>
      </c>
      <c r="B393" s="175" t="s">
        <v>781</v>
      </c>
      <c r="C393" s="293" t="s">
        <v>210</v>
      </c>
      <c r="D393" s="11">
        <v>78.56</v>
      </c>
      <c r="E393" s="11">
        <v>76.72</v>
      </c>
      <c r="F393" s="11">
        <v>78.52</v>
      </c>
      <c r="G393" s="11">
        <v>78.64</v>
      </c>
      <c r="H393" s="11">
        <v>78.239999999999995</v>
      </c>
      <c r="I393" s="11">
        <v>79.02</v>
      </c>
      <c r="J393" s="11">
        <v>78.7</v>
      </c>
      <c r="K393" s="11">
        <v>79.17</v>
      </c>
      <c r="L393" s="11">
        <f>+P2a!D447</f>
        <v>80.75</v>
      </c>
      <c r="M393" s="11">
        <f>+P2a!E447</f>
        <v>82.37</v>
      </c>
      <c r="N393" s="11">
        <f>+P2a!F447</f>
        <v>82.37</v>
      </c>
      <c r="O393" s="11">
        <v>84.02</v>
      </c>
      <c r="P393" s="11">
        <v>84.02</v>
      </c>
      <c r="Q393" s="11">
        <v>86.12</v>
      </c>
      <c r="R393" s="11">
        <v>86.12</v>
      </c>
      <c r="S393" s="11">
        <v>89.74</v>
      </c>
      <c r="T393" s="46"/>
      <c r="U393" s="171" t="s">
        <v>782</v>
      </c>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row>
    <row r="394" spans="1:50">
      <c r="A394" s="375" t="s">
        <v>178</v>
      </c>
      <c r="C394" s="238"/>
      <c r="D394" s="7"/>
      <c r="E394" s="7"/>
      <c r="F394" s="7"/>
      <c r="G394" s="7"/>
      <c r="H394" s="7"/>
      <c r="I394" s="7"/>
      <c r="J394" s="7"/>
      <c r="K394" s="7"/>
      <c r="L394" s="7"/>
      <c r="M394" s="7"/>
      <c r="N394" s="7"/>
      <c r="O394" s="7"/>
      <c r="P394" s="7"/>
      <c r="Q394" s="7"/>
      <c r="T394" s="46"/>
      <c r="U394" s="171"/>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row>
    <row r="395" spans="1:50">
      <c r="A395" s="445" t="s">
        <v>178</v>
      </c>
      <c r="B395" s="284" t="s">
        <v>303</v>
      </c>
      <c r="C395" s="295"/>
      <c r="D395" s="7"/>
      <c r="E395" s="7"/>
      <c r="F395" s="7"/>
      <c r="G395" s="7"/>
      <c r="H395" s="7"/>
      <c r="I395" s="7"/>
      <c r="J395" s="7"/>
      <c r="K395" s="7"/>
      <c r="L395" s="7"/>
      <c r="M395" s="7"/>
      <c r="N395" s="7"/>
      <c r="O395" s="7"/>
      <c r="P395" s="7"/>
      <c r="Q395" s="7"/>
      <c r="T395" s="46"/>
      <c r="U395" s="171"/>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row>
    <row r="396" spans="1:50">
      <c r="A396" s="376" t="s">
        <v>783</v>
      </c>
      <c r="B396" s="175" t="s">
        <v>784</v>
      </c>
      <c r="C396" s="294" t="s">
        <v>160</v>
      </c>
      <c r="D396" s="6">
        <f>D388*D392</f>
        <v>1213693.1519999998</v>
      </c>
      <c r="E396" s="6">
        <f t="shared" ref="E396:G396" si="212">E388*E392</f>
        <v>1160926.0140983609</v>
      </c>
      <c r="F396" s="6">
        <f t="shared" si="212"/>
        <v>1181251.2791506848</v>
      </c>
      <c r="G396" s="6">
        <f t="shared" si="212"/>
        <v>1168058.1599726025</v>
      </c>
      <c r="H396" s="6">
        <f t="shared" ref="H396:K397" si="213">H388*H392</f>
        <v>1147481.973150685</v>
      </c>
      <c r="I396" s="6">
        <f t="shared" si="213"/>
        <v>1144377.0457650269</v>
      </c>
      <c r="J396" s="6">
        <f t="shared" si="213"/>
        <v>1129302.071780822</v>
      </c>
      <c r="K396" s="6">
        <f t="shared" si="213"/>
        <v>1173189.6537808222</v>
      </c>
      <c r="L396" s="6">
        <f t="shared" ref="L396:S397" si="214">L388*L392</f>
        <v>1183849.858849315</v>
      </c>
      <c r="M396" s="6">
        <f t="shared" si="214"/>
        <v>1198936.4633879783</v>
      </c>
      <c r="N396" s="6">
        <f t="shared" si="214"/>
        <v>1198187.0426229511</v>
      </c>
      <c r="O396" s="6">
        <f t="shared" si="214"/>
        <v>1212430.9476502731</v>
      </c>
      <c r="P396" s="6">
        <f t="shared" si="214"/>
        <v>1215776.3782000002</v>
      </c>
      <c r="Q396" s="6">
        <f t="shared" si="214"/>
        <v>1244103.5465590502</v>
      </c>
      <c r="R396" s="6">
        <f>R388*R392</f>
        <v>1241079.6649315068</v>
      </c>
      <c r="S396" s="6">
        <f>S388*S392</f>
        <v>1288898.1629999997</v>
      </c>
      <c r="T396" s="46"/>
      <c r="U396" s="171" t="s">
        <v>785</v>
      </c>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row>
    <row r="397" spans="1:50">
      <c r="A397" s="373" t="s">
        <v>786</v>
      </c>
      <c r="B397" s="175" t="s">
        <v>787</v>
      </c>
      <c r="C397" s="294" t="s">
        <v>160</v>
      </c>
      <c r="D397" s="6">
        <f>D389*D393</f>
        <v>100322.41139726031</v>
      </c>
      <c r="E397" s="6">
        <f t="shared" ref="E397:G397" si="215">E389*E393</f>
        <v>94108.189726775963</v>
      </c>
      <c r="F397" s="6">
        <f t="shared" si="215"/>
        <v>95897.013808219184</v>
      </c>
      <c r="G397" s="6">
        <f t="shared" si="215"/>
        <v>95358.648547945195</v>
      </c>
      <c r="H397" s="6">
        <f t="shared" si="213"/>
        <v>94374.802849315063</v>
      </c>
      <c r="I397" s="6">
        <f t="shared" si="213"/>
        <v>94452.649180327848</v>
      </c>
      <c r="J397" s="6">
        <f t="shared" si="213"/>
        <v>93922.520547945212</v>
      </c>
      <c r="K397" s="6">
        <f t="shared" si="213"/>
        <v>96271.153808219169</v>
      </c>
      <c r="L397" s="6">
        <f t="shared" si="214"/>
        <v>97898.202739726024</v>
      </c>
      <c r="M397" s="6">
        <f t="shared" si="214"/>
        <v>99239.646065573776</v>
      </c>
      <c r="N397" s="6">
        <f t="shared" si="214"/>
        <v>99418.339453551904</v>
      </c>
      <c r="O397" s="6">
        <f t="shared" si="214"/>
        <v>100356.38049180327</v>
      </c>
      <c r="P397" s="6">
        <f t="shared" si="214"/>
        <v>100501.50132888</v>
      </c>
      <c r="Q397" s="6">
        <f t="shared" si="214"/>
        <v>101377.39675008001</v>
      </c>
      <c r="R397" s="6">
        <f t="shared" si="214"/>
        <v>101180.61841095891</v>
      </c>
      <c r="S397" s="6">
        <f t="shared" si="214"/>
        <v>105834.86899999999</v>
      </c>
      <c r="T397" s="46"/>
      <c r="U397" s="171" t="s">
        <v>788</v>
      </c>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row>
    <row r="398" spans="1:50">
      <c r="A398" s="373" t="s">
        <v>789</v>
      </c>
      <c r="B398" s="175" t="s">
        <v>176</v>
      </c>
      <c r="C398" s="294" t="s">
        <v>160</v>
      </c>
      <c r="D398" s="6">
        <f>SUM(D396:D397)</f>
        <v>1314015.5633972601</v>
      </c>
      <c r="E398" s="6">
        <f t="shared" ref="E398:G398" si="216">SUM(E396:E397)</f>
        <v>1255034.2038251369</v>
      </c>
      <c r="F398" s="6">
        <f t="shared" si="216"/>
        <v>1277148.2929589041</v>
      </c>
      <c r="G398" s="6">
        <f t="shared" si="216"/>
        <v>1263416.8085205476</v>
      </c>
      <c r="H398" s="6">
        <f t="shared" ref="H398:M398" si="217">SUM(H396:H397)</f>
        <v>1241856.7760000001</v>
      </c>
      <c r="I398" s="6">
        <f t="shared" si="217"/>
        <v>1238829.6949453547</v>
      </c>
      <c r="J398" s="6">
        <f t="shared" si="217"/>
        <v>1223224.5923287673</v>
      </c>
      <c r="K398" s="6">
        <f t="shared" si="217"/>
        <v>1269460.8075890413</v>
      </c>
      <c r="L398" s="6">
        <f t="shared" si="217"/>
        <v>1281748.061589041</v>
      </c>
      <c r="M398" s="6">
        <f t="shared" si="217"/>
        <v>1298176.1094535519</v>
      </c>
      <c r="N398" s="6">
        <f t="shared" ref="N398" si="218">SUM(N396:N397)</f>
        <v>1297605.382076503</v>
      </c>
      <c r="O398" s="6">
        <f t="shared" ref="O398:Q398" si="219">SUM(O396:O397)</f>
        <v>1312787.3281420763</v>
      </c>
      <c r="P398" s="6">
        <f t="shared" si="219"/>
        <v>1316277.8795288801</v>
      </c>
      <c r="Q398" s="6">
        <f t="shared" si="219"/>
        <v>1345480.9433091301</v>
      </c>
      <c r="R398" s="6">
        <f>SUM(R396:R397)</f>
        <v>1342260.2833424658</v>
      </c>
      <c r="S398" s="6">
        <f t="shared" ref="S398" si="220">SUM(S396:S397)</f>
        <v>1394733.0319999997</v>
      </c>
      <c r="T398" s="46"/>
      <c r="U398" s="171" t="s">
        <v>174</v>
      </c>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row>
    <row r="399" spans="1:50">
      <c r="A399" s="375" t="s">
        <v>178</v>
      </c>
      <c r="C399" s="238"/>
      <c r="D399" s="7"/>
      <c r="E399" s="7"/>
      <c r="F399" s="7"/>
      <c r="G399" s="7"/>
      <c r="H399" s="7"/>
      <c r="I399" s="7"/>
      <c r="J399" s="7"/>
      <c r="K399" s="7"/>
      <c r="L399" s="7"/>
      <c r="M399" s="7"/>
      <c r="N399" s="7"/>
      <c r="O399" s="7"/>
      <c r="P399" s="7"/>
      <c r="Q399" s="7"/>
      <c r="T399" s="46"/>
      <c r="U399" s="171"/>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row>
    <row r="400" spans="1:50">
      <c r="A400" s="445" t="s">
        <v>178</v>
      </c>
      <c r="B400" s="443" t="s">
        <v>790</v>
      </c>
      <c r="C400" s="290"/>
      <c r="D400" s="8"/>
      <c r="E400" s="8"/>
      <c r="F400" s="8"/>
      <c r="G400" s="8"/>
      <c r="H400" s="8"/>
      <c r="I400" s="8"/>
      <c r="J400" s="8"/>
      <c r="K400" s="8"/>
      <c r="L400" s="8"/>
      <c r="M400" s="8"/>
      <c r="N400" s="8"/>
      <c r="O400" s="8"/>
      <c r="P400" s="8"/>
      <c r="Q400" s="8"/>
      <c r="R400" s="8"/>
      <c r="S400" s="8"/>
      <c r="T400" s="46"/>
      <c r="U400" s="171"/>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row>
    <row r="401" spans="1:50">
      <c r="A401" s="376" t="s">
        <v>791</v>
      </c>
      <c r="B401" s="20" t="s">
        <v>792</v>
      </c>
      <c r="C401" s="293" t="s">
        <v>210</v>
      </c>
      <c r="D401" s="11">
        <v>0</v>
      </c>
      <c r="E401" s="11">
        <v>0</v>
      </c>
      <c r="F401" s="11">
        <v>0</v>
      </c>
      <c r="G401" s="11">
        <v>0</v>
      </c>
      <c r="H401" s="11">
        <v>0</v>
      </c>
      <c r="I401" s="11">
        <v>0</v>
      </c>
      <c r="J401" s="11">
        <v>18.1983</v>
      </c>
      <c r="K401" s="11">
        <v>639.40350000000001</v>
      </c>
      <c r="L401" s="11">
        <f>+P2a!D455-L405</f>
        <v>737.35620000000006</v>
      </c>
      <c r="M401" s="11">
        <f>+P2a!E455</f>
        <v>937.12450000000013</v>
      </c>
      <c r="N401" s="11">
        <f>+P2a!F455-N405</f>
        <v>980.2936000000002</v>
      </c>
      <c r="O401" s="11">
        <v>1289.2993999999999</v>
      </c>
      <c r="P401" s="11">
        <v>1289</v>
      </c>
      <c r="Q401" s="11">
        <v>1299</v>
      </c>
      <c r="R401" s="11">
        <v>1321.5</v>
      </c>
      <c r="S401" s="11">
        <v>1888.1858999999999</v>
      </c>
      <c r="T401" s="46"/>
      <c r="U401" s="171" t="s">
        <v>793</v>
      </c>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row>
    <row r="402" spans="1:50">
      <c r="A402" s="373" t="s">
        <v>794</v>
      </c>
      <c r="B402" s="20" t="s">
        <v>795</v>
      </c>
      <c r="C402" s="294" t="s">
        <v>160</v>
      </c>
      <c r="D402" s="35">
        <f t="shared" ref="D402:M402" si="221">D401/D398</f>
        <v>0</v>
      </c>
      <c r="E402" s="35">
        <f t="shared" si="221"/>
        <v>0</v>
      </c>
      <c r="F402" s="35">
        <f t="shared" si="221"/>
        <v>0</v>
      </c>
      <c r="G402" s="35">
        <f t="shared" si="221"/>
        <v>0</v>
      </c>
      <c r="H402" s="35">
        <f t="shared" si="221"/>
        <v>0</v>
      </c>
      <c r="I402" s="35">
        <f t="shared" si="221"/>
        <v>0</v>
      </c>
      <c r="J402" s="35">
        <f t="shared" si="221"/>
        <v>1.4877316981793336E-5</v>
      </c>
      <c r="K402" s="35">
        <f t="shared" si="221"/>
        <v>5.0368116619082907E-4</v>
      </c>
      <c r="L402" s="35">
        <f t="shared" si="221"/>
        <v>5.7527389515679565E-4</v>
      </c>
      <c r="M402" s="35">
        <f t="shared" si="221"/>
        <v>7.2187778928890388E-4</v>
      </c>
      <c r="N402" s="35">
        <f t="shared" ref="N402:Q402" si="222">N401/N398</f>
        <v>7.5546357431970405E-4</v>
      </c>
      <c r="O402" s="35">
        <f t="shared" si="222"/>
        <v>9.8210835248134379E-4</v>
      </c>
      <c r="P402" s="35">
        <f t="shared" si="222"/>
        <v>9.792765038802876E-4</v>
      </c>
      <c r="Q402" s="35">
        <f t="shared" si="222"/>
        <v>9.6545403073876833E-4</v>
      </c>
      <c r="R402" s="35">
        <f>R401/R398</f>
        <v>9.8453334006816558E-4</v>
      </c>
      <c r="S402" s="35">
        <f t="shared" ref="S402" si="223">S401/S398</f>
        <v>1.3537973624188177E-3</v>
      </c>
      <c r="T402" s="46"/>
      <c r="U402" s="171" t="s">
        <v>796</v>
      </c>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row>
    <row r="403" spans="1:50">
      <c r="A403" s="373" t="s">
        <v>797</v>
      </c>
      <c r="B403" s="20" t="s">
        <v>798</v>
      </c>
      <c r="C403" s="293" t="s">
        <v>210</v>
      </c>
      <c r="D403" s="11"/>
      <c r="E403" s="11"/>
      <c r="F403" s="11"/>
      <c r="G403" s="11"/>
      <c r="H403" s="11">
        <v>0</v>
      </c>
      <c r="I403" s="11">
        <v>0</v>
      </c>
      <c r="J403" s="11">
        <v>0</v>
      </c>
      <c r="K403" s="11">
        <v>36379.631200000003</v>
      </c>
      <c r="L403" s="11">
        <f>+P2a!D457-L405</f>
        <v>37217.696199999933</v>
      </c>
      <c r="M403" s="11">
        <f>+P2a!E457-M405</f>
        <v>35950.734900000054</v>
      </c>
      <c r="N403" s="11">
        <f>+P2a!F457-N405</f>
        <v>35297.36940000004</v>
      </c>
      <c r="O403" s="11">
        <v>38477.571300000011</v>
      </c>
      <c r="P403" s="11">
        <v>42985</v>
      </c>
      <c r="Q403" s="11">
        <v>47392</v>
      </c>
      <c r="R403" s="11">
        <v>52706.424299999999</v>
      </c>
      <c r="S403" s="11">
        <v>56207.902999999998</v>
      </c>
      <c r="T403" s="46"/>
      <c r="U403" s="171" t="s">
        <v>799</v>
      </c>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row>
    <row r="404" spans="1:50">
      <c r="A404" s="373" t="s">
        <v>800</v>
      </c>
      <c r="B404" s="20" t="s">
        <v>801</v>
      </c>
      <c r="C404" s="294" t="s">
        <v>160</v>
      </c>
      <c r="D404" s="35">
        <f t="shared" ref="D404:M404" si="224">D403/D398</f>
        <v>0</v>
      </c>
      <c r="E404" s="35">
        <f t="shared" si="224"/>
        <v>0</v>
      </c>
      <c r="F404" s="35">
        <f t="shared" si="224"/>
        <v>0</v>
      </c>
      <c r="G404" s="35">
        <f t="shared" si="224"/>
        <v>0</v>
      </c>
      <c r="H404" s="35">
        <f t="shared" si="224"/>
        <v>0</v>
      </c>
      <c r="I404" s="35">
        <f t="shared" si="224"/>
        <v>0</v>
      </c>
      <c r="J404" s="35">
        <f t="shared" si="224"/>
        <v>0</v>
      </c>
      <c r="K404" s="35">
        <f t="shared" si="224"/>
        <v>2.8657545772596292E-2</v>
      </c>
      <c r="L404" s="35">
        <f t="shared" si="224"/>
        <v>2.9036670555880904E-2</v>
      </c>
      <c r="M404" s="35">
        <f t="shared" si="224"/>
        <v>2.7693264910823991E-2</v>
      </c>
      <c r="N404" s="35">
        <f t="shared" ref="N404:S404" si="225">N403/N398</f>
        <v>2.7201928943539948E-2</v>
      </c>
      <c r="O404" s="35">
        <f t="shared" si="225"/>
        <v>2.9309828389687032E-2</v>
      </c>
      <c r="P404" s="35">
        <f t="shared" si="225"/>
        <v>3.2656478292702996E-2</v>
      </c>
      <c r="Q404" s="35">
        <f t="shared" si="225"/>
        <v>3.5223092705751892E-2</v>
      </c>
      <c r="R404" s="35">
        <f t="shared" si="225"/>
        <v>3.926691786540213E-2</v>
      </c>
      <c r="S404" s="35">
        <f t="shared" si="225"/>
        <v>4.0300116015320707E-2</v>
      </c>
      <c r="T404" s="46"/>
      <c r="U404" s="171" t="s">
        <v>802</v>
      </c>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row>
    <row r="405" spans="1:50">
      <c r="A405" s="373" t="s">
        <v>803</v>
      </c>
      <c r="B405" s="20" t="s">
        <v>332</v>
      </c>
      <c r="C405" s="293" t="s">
        <v>210</v>
      </c>
      <c r="D405" s="11"/>
      <c r="E405" s="11"/>
      <c r="F405" s="11"/>
      <c r="G405" s="11"/>
      <c r="H405" s="11">
        <v>0</v>
      </c>
      <c r="I405" s="11">
        <v>0</v>
      </c>
      <c r="J405" s="11">
        <v>0</v>
      </c>
      <c r="K405" s="11">
        <v>190.38980000000001</v>
      </c>
      <c r="L405" s="11">
        <f>+P2a!D459</f>
        <v>247.84</v>
      </c>
      <c r="M405" s="11">
        <f>+P2a!E459</f>
        <v>295.27850000000001</v>
      </c>
      <c r="N405" s="11">
        <f>+P2a!F459</f>
        <v>252.8</v>
      </c>
      <c r="O405" s="11">
        <v>0</v>
      </c>
      <c r="P405" s="11">
        <v>0</v>
      </c>
      <c r="Q405" s="11">
        <v>0</v>
      </c>
      <c r="R405" s="11">
        <v>0</v>
      </c>
      <c r="S405" s="11">
        <v>0</v>
      </c>
      <c r="T405" s="46"/>
      <c r="U405" s="171" t="s">
        <v>333</v>
      </c>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row>
    <row r="406" spans="1:50">
      <c r="A406" s="373" t="s">
        <v>804</v>
      </c>
      <c r="B406" s="20" t="s">
        <v>335</v>
      </c>
      <c r="C406" s="294" t="s">
        <v>160</v>
      </c>
      <c r="D406" s="35">
        <f t="shared" ref="D406:M406" si="226">D405/D398</f>
        <v>0</v>
      </c>
      <c r="E406" s="35">
        <f t="shared" si="226"/>
        <v>0</v>
      </c>
      <c r="F406" s="35">
        <f t="shared" si="226"/>
        <v>0</v>
      </c>
      <c r="G406" s="35">
        <f t="shared" si="226"/>
        <v>0</v>
      </c>
      <c r="H406" s="35">
        <f t="shared" si="226"/>
        <v>0</v>
      </c>
      <c r="I406" s="35">
        <f t="shared" si="226"/>
        <v>0</v>
      </c>
      <c r="J406" s="35">
        <f t="shared" si="226"/>
        <v>0</v>
      </c>
      <c r="K406" s="35">
        <f t="shared" si="226"/>
        <v>1.499769026832645E-4</v>
      </c>
      <c r="L406" s="35">
        <f t="shared" si="226"/>
        <v>1.9336093217316166E-4</v>
      </c>
      <c r="M406" s="35">
        <f t="shared" si="226"/>
        <v>2.2745642740590346E-4</v>
      </c>
      <c r="N406" s="35">
        <f t="shared" ref="N406:S406" si="227">N405/N398</f>
        <v>1.9482040032498544E-4</v>
      </c>
      <c r="O406" s="35">
        <f t="shared" si="227"/>
        <v>0</v>
      </c>
      <c r="P406" s="35">
        <f t="shared" si="227"/>
        <v>0</v>
      </c>
      <c r="Q406" s="35">
        <f t="shared" si="227"/>
        <v>0</v>
      </c>
      <c r="R406" s="35">
        <f t="shared" si="227"/>
        <v>0</v>
      </c>
      <c r="S406" s="35">
        <f t="shared" si="227"/>
        <v>0</v>
      </c>
      <c r="T406" s="46"/>
      <c r="U406" s="171"/>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row>
    <row r="407" spans="1:50" ht="16" thickBot="1">
      <c r="A407" s="375"/>
      <c r="T407" s="7"/>
      <c r="U407" s="171"/>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row>
    <row r="408" spans="1:50">
      <c r="A408" s="375"/>
      <c r="B408" s="459"/>
      <c r="C408" s="460"/>
      <c r="D408" s="460"/>
      <c r="E408" s="461"/>
      <c r="F408" s="461"/>
      <c r="G408" s="462"/>
      <c r="T408" s="7"/>
      <c r="U408" s="171"/>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row>
    <row r="409" spans="1:50">
      <c r="A409" s="375"/>
      <c r="B409" s="463" t="s">
        <v>142</v>
      </c>
      <c r="C409" s="464"/>
      <c r="D409" s="464"/>
      <c r="E409" s="465"/>
      <c r="F409" s="384"/>
      <c r="G409" s="466"/>
      <c r="T409" s="7"/>
      <c r="U409" s="171"/>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row>
    <row r="410" spans="1:50">
      <c r="A410" s="375"/>
      <c r="B410" s="474"/>
      <c r="C410" s="464"/>
      <c r="D410" s="464"/>
      <c r="E410" s="467"/>
      <c r="F410" s="384"/>
      <c r="G410" s="466"/>
      <c r="M410" s="402"/>
      <c r="N410" s="402"/>
      <c r="O410" s="402"/>
      <c r="P410" s="402"/>
      <c r="Q410" s="402"/>
      <c r="R410" s="46"/>
      <c r="S410" s="46"/>
      <c r="T410" s="7"/>
      <c r="U410" s="171"/>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row>
    <row r="411" spans="1:50">
      <c r="A411" s="375"/>
      <c r="B411" s="463" t="s">
        <v>143</v>
      </c>
      <c r="C411" s="464"/>
      <c r="D411" s="464"/>
      <c r="E411" s="465"/>
      <c r="F411" s="384"/>
      <c r="G411" s="466"/>
      <c r="M411" s="402"/>
      <c r="N411" s="402"/>
      <c r="O411" s="402"/>
      <c r="P411" s="402"/>
      <c r="Q411" s="402"/>
      <c r="R411" s="46"/>
      <c r="S411" s="46"/>
      <c r="T411" s="7"/>
      <c r="U411" s="171"/>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row>
    <row r="412" spans="1:50">
      <c r="A412" s="375"/>
      <c r="B412" s="468"/>
      <c r="C412" s="464"/>
      <c r="D412" s="464"/>
      <c r="E412" s="467"/>
      <c r="F412" s="384"/>
      <c r="G412" s="466"/>
      <c r="M412" s="402"/>
      <c r="N412" s="402"/>
      <c r="O412" s="402"/>
      <c r="P412" s="402"/>
      <c r="Q412" s="402"/>
      <c r="R412" s="46"/>
      <c r="S412" s="46"/>
      <c r="T412" s="7"/>
      <c r="U412" s="171"/>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row>
    <row r="413" spans="1:50">
      <c r="A413" s="375"/>
      <c r="B413" s="463" t="s">
        <v>144</v>
      </c>
      <c r="C413" s="464"/>
      <c r="D413" s="464"/>
      <c r="E413" s="465" t="s">
        <v>145</v>
      </c>
      <c r="F413" s="384"/>
      <c r="G413" s="469"/>
      <c r="M413" s="402"/>
      <c r="N413" s="402"/>
      <c r="O413" s="402"/>
      <c r="P413" s="402"/>
      <c r="Q413" s="402"/>
      <c r="R413" s="46"/>
      <c r="S413" s="46"/>
      <c r="T413" s="7"/>
      <c r="U413" s="171"/>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row>
    <row r="414" spans="1:50">
      <c r="A414" s="375"/>
      <c r="B414" s="470"/>
      <c r="C414" s="471"/>
      <c r="D414" s="471"/>
      <c r="E414" s="472"/>
      <c r="F414" s="472"/>
      <c r="G414" s="473"/>
      <c r="M414" s="402"/>
      <c r="N414" s="402"/>
      <c r="O414" s="402"/>
      <c r="P414" s="402"/>
      <c r="Q414" s="402"/>
      <c r="R414" s="46"/>
      <c r="S414" s="46"/>
      <c r="T414" s="7"/>
      <c r="U414" s="171"/>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row>
    <row r="415" spans="1:50">
      <c r="A415" s="375"/>
      <c r="T415" s="7"/>
      <c r="U415" s="171"/>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row>
    <row r="416" spans="1:50">
      <c r="A416" s="375"/>
      <c r="M416" s="402"/>
      <c r="N416" s="402"/>
      <c r="O416" s="402"/>
      <c r="P416" s="402"/>
      <c r="Q416" s="402"/>
      <c r="R416" s="46"/>
      <c r="S416" s="46"/>
      <c r="T416" s="7"/>
      <c r="U416" s="171"/>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row>
    <row r="417" spans="1:50">
      <c r="A417" s="375"/>
      <c r="B417"/>
      <c r="T417" s="7"/>
      <c r="U417" s="171"/>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row>
    <row r="418" spans="1:50">
      <c r="A418" s="375"/>
      <c r="T418" s="7"/>
      <c r="U418" s="171"/>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row>
    <row r="419" spans="1:50">
      <c r="A419" s="375"/>
      <c r="T419" s="7"/>
      <c r="U419" s="171"/>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row>
    <row r="420" spans="1:50">
      <c r="A420" s="375"/>
      <c r="T420" s="7"/>
      <c r="U420" s="171"/>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row>
    <row r="421" spans="1:50">
      <c r="A421" s="375"/>
      <c r="T421" s="7"/>
      <c r="U421" s="171"/>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row>
    <row r="422" spans="1:50">
      <c r="A422" s="375"/>
      <c r="T422" s="7"/>
      <c r="U422" s="171"/>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row>
    <row r="423" spans="1:50">
      <c r="A423" s="375"/>
      <c r="T423" s="7"/>
      <c r="U423" s="171"/>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row>
    <row r="424" spans="1:50">
      <c r="A424" s="375"/>
      <c r="T424" s="7"/>
      <c r="U424" s="171"/>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row>
    <row r="425" spans="1:50">
      <c r="A425" s="375"/>
      <c r="T425" s="7"/>
      <c r="U425" s="171"/>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row>
    <row r="426" spans="1:50">
      <c r="A426" s="375"/>
      <c r="T426" s="7"/>
      <c r="U426" s="171"/>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row>
    <row r="427" spans="1:50">
      <c r="A427" s="375"/>
      <c r="T427" s="7"/>
      <c r="U427" s="171"/>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row>
    <row r="428" spans="1:50">
      <c r="A428" s="375"/>
      <c r="T428" s="7"/>
      <c r="U428" s="171"/>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row>
    <row r="429" spans="1:50">
      <c r="A429" s="375"/>
      <c r="T429" s="7"/>
      <c r="U429" s="171"/>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row>
    <row r="430" spans="1:50">
      <c r="A430" s="375"/>
      <c r="T430" s="7"/>
      <c r="U430" s="171"/>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row>
    <row r="431" spans="1:50">
      <c r="A431" s="375"/>
      <c r="T431" s="7"/>
      <c r="U431" s="171"/>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row>
    <row r="432" spans="1:50">
      <c r="A432" s="375"/>
      <c r="T432" s="7"/>
      <c r="U432" s="171"/>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row>
    <row r="433" spans="1:50">
      <c r="A433" s="375"/>
      <c r="T433" s="7"/>
      <c r="U433" s="171"/>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row>
    <row r="434" spans="1:50">
      <c r="A434" s="375"/>
      <c r="T434" s="7"/>
      <c r="U434" s="171"/>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row>
    <row r="435" spans="1:50">
      <c r="A435" s="375"/>
      <c r="T435" s="7"/>
      <c r="U435" s="171"/>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row>
    <row r="436" spans="1:50">
      <c r="A436" s="375"/>
      <c r="T436" s="7"/>
      <c r="U436" s="171"/>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c r="AT436" s="7"/>
      <c r="AU436" s="7"/>
      <c r="AV436" s="7"/>
      <c r="AW436" s="7"/>
      <c r="AX436" s="7"/>
    </row>
    <row r="437" spans="1:50">
      <c r="A437" s="375"/>
      <c r="T437" s="7"/>
      <c r="U437" s="171"/>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c r="AT437" s="7"/>
      <c r="AU437" s="7"/>
      <c r="AV437" s="7"/>
      <c r="AW437" s="7"/>
      <c r="AX437" s="7"/>
    </row>
    <row r="438" spans="1:50">
      <c r="A438" s="375"/>
      <c r="T438" s="7"/>
      <c r="U438" s="171"/>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row>
    <row r="439" spans="1:50">
      <c r="A439" s="375"/>
      <c r="T439" s="7"/>
      <c r="U439" s="171"/>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row>
    <row r="440" spans="1:50">
      <c r="A440" s="375"/>
      <c r="T440" s="7"/>
      <c r="U440" s="171"/>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row>
    <row r="441" spans="1:50">
      <c r="A441" s="375"/>
      <c r="T441" s="7"/>
      <c r="U441" s="171"/>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row>
    <row r="442" spans="1:50">
      <c r="A442" s="375"/>
      <c r="T442" s="7"/>
      <c r="U442" s="171"/>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row>
    <row r="443" spans="1:50">
      <c r="A443" s="375"/>
      <c r="T443" s="7"/>
      <c r="U443" s="171"/>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row>
    <row r="444" spans="1:50">
      <c r="A444" s="375"/>
      <c r="T444" s="7"/>
      <c r="U444" s="171"/>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row>
    <row r="445" spans="1:50">
      <c r="A445" s="375"/>
      <c r="T445" s="7"/>
      <c r="U445" s="171"/>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row>
    <row r="446" spans="1:50">
      <c r="A446" s="375"/>
      <c r="T446" s="7"/>
      <c r="U446" s="171"/>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row>
    <row r="447" spans="1:50">
      <c r="A447" s="375"/>
      <c r="T447" s="7"/>
      <c r="U447" s="171"/>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row>
    <row r="448" spans="1:50">
      <c r="A448" s="375"/>
      <c r="T448" s="7"/>
      <c r="U448" s="171"/>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row>
    <row r="449" spans="1:50">
      <c r="A449" s="375"/>
      <c r="T449" s="7"/>
      <c r="U449" s="171"/>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row>
    <row r="450" spans="1:50">
      <c r="A450" s="375"/>
      <c r="T450" s="7"/>
      <c r="U450" s="171"/>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row>
    <row r="451" spans="1:50">
      <c r="A451" s="375"/>
      <c r="T451" s="7"/>
      <c r="U451" s="171"/>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row>
    <row r="452" spans="1:50">
      <c r="A452" s="375"/>
      <c r="T452" s="7"/>
      <c r="U452" s="171"/>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row>
    <row r="453" spans="1:50">
      <c r="A453" s="375"/>
      <c r="T453" s="7"/>
      <c r="U453" s="171"/>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row>
    <row r="454" spans="1:50">
      <c r="A454" s="375"/>
      <c r="T454" s="7"/>
      <c r="U454" s="171"/>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row>
    <row r="455" spans="1:50">
      <c r="A455" s="375"/>
      <c r="T455" s="7"/>
      <c r="U455" s="171"/>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row>
    <row r="456" spans="1:50">
      <c r="A456" s="375"/>
      <c r="T456" s="7"/>
      <c r="U456" s="171"/>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row>
    <row r="457" spans="1:50">
      <c r="A457" s="375"/>
      <c r="T457" s="7"/>
      <c r="U457" s="171"/>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row>
    <row r="458" spans="1:50">
      <c r="A458" s="375"/>
      <c r="T458" s="7"/>
      <c r="U458" s="171"/>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row>
    <row r="459" spans="1:50">
      <c r="A459" s="375"/>
      <c r="T459" s="7"/>
      <c r="U459" s="171"/>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row>
    <row r="460" spans="1:50">
      <c r="A460" s="375"/>
      <c r="T460" s="7"/>
      <c r="U460" s="171"/>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row>
    <row r="461" spans="1:50">
      <c r="A461" s="375"/>
      <c r="T461" s="7"/>
      <c r="U461" s="171"/>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row>
    <row r="462" spans="1:50">
      <c r="A462" s="375"/>
      <c r="T462" s="7"/>
      <c r="U462" s="171"/>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row>
    <row r="463" spans="1:50">
      <c r="A463" s="375"/>
      <c r="T463" s="7"/>
      <c r="U463" s="171"/>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row>
    <row r="464" spans="1:50">
      <c r="A464" s="375"/>
      <c r="T464" s="7"/>
      <c r="U464" s="171"/>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row>
    <row r="465" spans="1:50">
      <c r="A465" s="375"/>
      <c r="T465" s="7"/>
      <c r="U465" s="171"/>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row>
    <row r="466" spans="1:50">
      <c r="A466" s="375"/>
      <c r="T466" s="7"/>
      <c r="U466" s="171"/>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row>
    <row r="467" spans="1:50">
      <c r="A467" s="375"/>
      <c r="T467" s="7"/>
      <c r="U467" s="171"/>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row>
    <row r="468" spans="1:50">
      <c r="A468" s="375"/>
      <c r="T468" s="7"/>
      <c r="U468" s="171"/>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row>
    <row r="469" spans="1:50">
      <c r="A469" s="375"/>
      <c r="T469" s="7"/>
      <c r="U469" s="171"/>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c r="AT469" s="7"/>
      <c r="AU469" s="7"/>
      <c r="AV469" s="7"/>
      <c r="AW469" s="7"/>
      <c r="AX469" s="7"/>
    </row>
    <row r="470" spans="1:50">
      <c r="A470" s="375"/>
      <c r="T470" s="7"/>
      <c r="U470" s="171"/>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row>
    <row r="471" spans="1:50">
      <c r="A471" s="375"/>
      <c r="T471" s="7"/>
      <c r="U471" s="171"/>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row>
    <row r="472" spans="1:50">
      <c r="A472" s="375"/>
      <c r="T472" s="7"/>
      <c r="U472" s="171"/>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row>
    <row r="473" spans="1:50">
      <c r="A473" s="375"/>
      <c r="T473" s="7"/>
      <c r="U473" s="171"/>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row>
    <row r="474" spans="1:50">
      <c r="A474" s="375"/>
      <c r="T474" s="7"/>
      <c r="U474" s="171"/>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row>
    <row r="475" spans="1:50">
      <c r="A475" s="375"/>
      <c r="T475" s="7"/>
      <c r="U475" s="171"/>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c r="AT475" s="7"/>
      <c r="AU475" s="7"/>
      <c r="AV475" s="7"/>
      <c r="AW475" s="7"/>
      <c r="AX475" s="7"/>
    </row>
    <row r="476" spans="1:50">
      <c r="A476" s="375"/>
      <c r="T476" s="7"/>
      <c r="U476" s="171"/>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c r="AT476" s="7"/>
      <c r="AU476" s="7"/>
      <c r="AV476" s="7"/>
      <c r="AW476" s="7"/>
      <c r="AX476" s="7"/>
    </row>
    <row r="477" spans="1:50">
      <c r="A477" s="375"/>
      <c r="T477" s="7"/>
      <c r="U477" s="171"/>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c r="AT477" s="7"/>
      <c r="AU477" s="7"/>
      <c r="AV477" s="7"/>
      <c r="AW477" s="7"/>
      <c r="AX477" s="7"/>
    </row>
    <row r="478" spans="1:50">
      <c r="A478" s="375"/>
      <c r="T478" s="7"/>
      <c r="U478" s="171"/>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c r="AT478" s="7"/>
      <c r="AU478" s="7"/>
      <c r="AV478" s="7"/>
      <c r="AW478" s="7"/>
      <c r="AX478" s="7"/>
    </row>
    <row r="479" spans="1:50">
      <c r="A479" s="375"/>
      <c r="T479" s="7"/>
      <c r="U479" s="171"/>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c r="AT479" s="7"/>
      <c r="AU479" s="7"/>
      <c r="AV479" s="7"/>
      <c r="AW479" s="7"/>
      <c r="AX479" s="7"/>
    </row>
    <row r="480" spans="1:50">
      <c r="A480" s="375"/>
      <c r="T480" s="7"/>
      <c r="U480" s="171"/>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c r="AT480" s="7"/>
      <c r="AU480" s="7"/>
      <c r="AV480" s="7"/>
      <c r="AW480" s="7"/>
      <c r="AX480" s="7"/>
    </row>
    <row r="481" spans="1:50">
      <c r="A481" s="375"/>
      <c r="T481" s="7"/>
      <c r="U481" s="171"/>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c r="AT481" s="7"/>
      <c r="AU481" s="7"/>
      <c r="AV481" s="7"/>
      <c r="AW481" s="7"/>
      <c r="AX481" s="7"/>
    </row>
    <row r="482" spans="1:50">
      <c r="A482" s="375"/>
      <c r="T482" s="7"/>
      <c r="U482" s="171"/>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c r="AT482" s="7"/>
      <c r="AU482" s="7"/>
      <c r="AV482" s="7"/>
      <c r="AW482" s="7"/>
      <c r="AX482" s="7"/>
    </row>
    <row r="483" spans="1:50">
      <c r="A483" s="375"/>
      <c r="T483" s="7"/>
      <c r="U483" s="171"/>
      <c r="V483" s="7"/>
      <c r="W483" s="7"/>
      <c r="X483" s="7"/>
      <c r="Y483" s="7"/>
      <c r="Z483" s="7"/>
      <c r="AA483" s="7"/>
      <c r="AB483" s="7"/>
      <c r="AC483" s="7"/>
      <c r="AD483" s="7"/>
      <c r="AE483" s="7"/>
      <c r="AF483" s="7"/>
      <c r="AG483" s="7"/>
      <c r="AH483" s="7"/>
      <c r="AI483" s="7"/>
      <c r="AJ483" s="7"/>
      <c r="AK483" s="7"/>
      <c r="AL483" s="7"/>
      <c r="AM483" s="7"/>
      <c r="AN483" s="7"/>
      <c r="AO483" s="7"/>
      <c r="AP483" s="7"/>
      <c r="AQ483" s="7"/>
      <c r="AR483" s="7"/>
      <c r="AS483" s="7"/>
      <c r="AT483" s="7"/>
      <c r="AU483" s="7"/>
      <c r="AV483" s="7"/>
      <c r="AW483" s="7"/>
      <c r="AX483" s="7"/>
    </row>
    <row r="484" spans="1:50">
      <c r="A484" s="375"/>
      <c r="T484" s="7"/>
      <c r="U484" s="171"/>
      <c r="V484" s="7"/>
      <c r="W484" s="7"/>
      <c r="X484" s="7"/>
      <c r="Y484" s="7"/>
      <c r="Z484" s="7"/>
      <c r="AA484" s="7"/>
      <c r="AB484" s="7"/>
      <c r="AC484" s="7"/>
      <c r="AD484" s="7"/>
      <c r="AE484" s="7"/>
      <c r="AF484" s="7"/>
      <c r="AG484" s="7"/>
      <c r="AH484" s="7"/>
      <c r="AI484" s="7"/>
      <c r="AJ484" s="7"/>
      <c r="AK484" s="7"/>
      <c r="AL484" s="7"/>
      <c r="AM484" s="7"/>
      <c r="AN484" s="7"/>
      <c r="AO484" s="7"/>
      <c r="AP484" s="7"/>
      <c r="AQ484" s="7"/>
      <c r="AR484" s="7"/>
      <c r="AS484" s="7"/>
      <c r="AT484" s="7"/>
      <c r="AU484" s="7"/>
      <c r="AV484" s="7"/>
      <c r="AW484" s="7"/>
      <c r="AX484" s="7"/>
    </row>
    <row r="485" spans="1:50">
      <c r="A485" s="375"/>
      <c r="T485" s="7"/>
      <c r="U485" s="171"/>
      <c r="V485" s="7"/>
      <c r="W485" s="7"/>
      <c r="X485" s="7"/>
      <c r="Y485" s="7"/>
      <c r="Z485" s="7"/>
      <c r="AA485" s="7"/>
      <c r="AB485" s="7"/>
      <c r="AC485" s="7"/>
      <c r="AD485" s="7"/>
      <c r="AE485" s="7"/>
      <c r="AF485" s="7"/>
      <c r="AG485" s="7"/>
      <c r="AH485" s="7"/>
      <c r="AI485" s="7"/>
      <c r="AJ485" s="7"/>
      <c r="AK485" s="7"/>
      <c r="AL485" s="7"/>
      <c r="AM485" s="7"/>
      <c r="AN485" s="7"/>
      <c r="AO485" s="7"/>
      <c r="AP485" s="7"/>
      <c r="AQ485" s="7"/>
      <c r="AR485" s="7"/>
      <c r="AS485" s="7"/>
      <c r="AT485" s="7"/>
      <c r="AU485" s="7"/>
      <c r="AV485" s="7"/>
      <c r="AW485" s="7"/>
      <c r="AX485" s="7"/>
    </row>
    <row r="486" spans="1:50">
      <c r="A486" s="375"/>
      <c r="T486" s="7"/>
      <c r="U486" s="171"/>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c r="AT486" s="7"/>
      <c r="AU486" s="7"/>
      <c r="AV486" s="7"/>
      <c r="AW486" s="7"/>
      <c r="AX486" s="7"/>
    </row>
    <row r="487" spans="1:50">
      <c r="A487" s="186"/>
    </row>
    <row r="488" spans="1:50">
      <c r="A488" s="186"/>
    </row>
    <row r="489" spans="1:50">
      <c r="A489" s="186"/>
    </row>
    <row r="490" spans="1:50">
      <c r="A490" s="186"/>
    </row>
    <row r="491" spans="1:50">
      <c r="A491" s="186"/>
    </row>
    <row r="492" spans="1:50">
      <c r="A492" s="186"/>
    </row>
    <row r="493" spans="1:50">
      <c r="A493" s="186"/>
    </row>
    <row r="494" spans="1:50">
      <c r="A494" s="186"/>
    </row>
    <row r="495" spans="1:50">
      <c r="A495" s="186"/>
    </row>
    <row r="496" spans="1:50">
      <c r="A496" s="186"/>
    </row>
    <row r="497" spans="1:1">
      <c r="A497" s="186"/>
    </row>
    <row r="498" spans="1:1">
      <c r="A498" s="186"/>
    </row>
    <row r="499" spans="1:1">
      <c r="A499" s="186"/>
    </row>
    <row r="500" spans="1:1">
      <c r="A500" s="186"/>
    </row>
    <row r="501" spans="1:1">
      <c r="A501" s="186"/>
    </row>
    <row r="502" spans="1:1">
      <c r="A502" s="186"/>
    </row>
    <row r="503" spans="1:1">
      <c r="A503" s="186"/>
    </row>
    <row r="504" spans="1:1">
      <c r="A504" s="186"/>
    </row>
    <row r="505" spans="1:1">
      <c r="A505" s="186"/>
    </row>
    <row r="506" spans="1:1">
      <c r="A506" s="186"/>
    </row>
    <row r="507" spans="1:1">
      <c r="A507" s="186"/>
    </row>
    <row r="508" spans="1:1">
      <c r="A508" s="186"/>
    </row>
    <row r="509" spans="1:1">
      <c r="A509" s="186"/>
    </row>
    <row r="510" spans="1:1">
      <c r="A510" s="186"/>
    </row>
    <row r="511" spans="1:1">
      <c r="A511" s="186"/>
    </row>
    <row r="512" spans="1:1">
      <c r="A512" s="186"/>
    </row>
    <row r="513" spans="1:1">
      <c r="A513" s="186"/>
    </row>
  </sheetData>
  <phoneticPr fontId="136" type="noConversion"/>
  <pageMargins left="0.25" right="0.25" top="0.75" bottom="0.75" header="0.3" footer="0.3"/>
  <pageSetup paperSize="8" scale="45" fitToHeight="0" orientation="landscape" r:id="rId1"/>
  <headerFooter>
    <oddFooter>&amp;L&amp;1#&amp;"Arial"&amp;11&amp;K000000SW Internal Commercial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67"/>
  <sheetViews>
    <sheetView zoomScaleNormal="100" workbookViewId="0">
      <selection sqref="A1:XFD1048576"/>
    </sheetView>
  </sheetViews>
  <sheetFormatPr defaultRowHeight="15.5"/>
  <cols>
    <col min="1" max="1" width="17.54296875" bestFit="1" customWidth="1"/>
    <col min="2" max="2" width="102.7265625" style="7" customWidth="1"/>
    <col min="3" max="3" width="14.453125" style="7" customWidth="1"/>
    <col min="4" max="4" width="21.453125" style="400" customWidth="1"/>
    <col min="5" max="6" width="21.1796875" style="400" customWidth="1"/>
    <col min="7" max="7" width="22.81640625" style="399" hidden="1" customWidth="1"/>
    <col min="8" max="8" width="21.453125" style="399" hidden="1" customWidth="1"/>
    <col min="9" max="9" width="20.81640625" style="399" hidden="1" customWidth="1"/>
    <col min="10" max="10" width="21.453125" hidden="1" customWidth="1"/>
    <col min="11" max="11" width="20.81640625" hidden="1" customWidth="1"/>
  </cols>
  <sheetData>
    <row r="1" spans="1:11" ht="20">
      <c r="A1" s="182" t="s">
        <v>0</v>
      </c>
      <c r="F1" s="399"/>
    </row>
    <row r="2" spans="1:11" ht="20">
      <c r="A2" s="310"/>
      <c r="F2" s="399"/>
    </row>
    <row r="3" spans="1:11" ht="20">
      <c r="A3" s="311" t="s">
        <v>1</v>
      </c>
      <c r="B3" s="312"/>
      <c r="F3" s="399"/>
    </row>
    <row r="4" spans="1:11" ht="15.65" customHeight="1">
      <c r="A4" s="182"/>
      <c r="F4" s="399"/>
    </row>
    <row r="5" spans="1:11" ht="15.65" customHeight="1">
      <c r="A5" s="28"/>
      <c r="B5"/>
      <c r="C5"/>
      <c r="D5" s="399"/>
      <c r="E5" s="399"/>
      <c r="F5" s="399"/>
    </row>
    <row r="6" spans="1:11" ht="20.149999999999999" customHeight="1">
      <c r="A6" s="369" t="s">
        <v>2</v>
      </c>
      <c r="B6" s="370"/>
      <c r="C6" s="370"/>
      <c r="D6" s="403"/>
      <c r="E6" s="404"/>
      <c r="F6" s="399"/>
    </row>
    <row r="7" spans="1:11" ht="20">
      <c r="A7" s="368" t="s">
        <v>805</v>
      </c>
      <c r="B7" s="371"/>
      <c r="C7" s="371"/>
      <c r="D7" s="405"/>
      <c r="E7" s="406"/>
      <c r="F7" s="399"/>
    </row>
    <row r="8" spans="1:11" ht="21" customHeight="1">
      <c r="B8" s="27"/>
      <c r="C8"/>
    </row>
    <row r="9" spans="1:11">
      <c r="J9" s="45"/>
      <c r="K9" s="45"/>
    </row>
    <row r="10" spans="1:11">
      <c r="A10" s="3" t="s">
        <v>4</v>
      </c>
      <c r="B10" s="3" t="s">
        <v>151</v>
      </c>
      <c r="C10" s="26" t="s">
        <v>152</v>
      </c>
      <c r="D10" s="26" t="s">
        <v>14</v>
      </c>
      <c r="E10" s="26" t="s">
        <v>806</v>
      </c>
      <c r="F10" s="26" t="s">
        <v>16</v>
      </c>
      <c r="G10" s="26" t="s">
        <v>807</v>
      </c>
      <c r="H10" s="26" t="s">
        <v>18</v>
      </c>
      <c r="I10" s="26" t="s">
        <v>808</v>
      </c>
      <c r="J10" s="26" t="s">
        <v>20</v>
      </c>
      <c r="K10" s="26" t="s">
        <v>809</v>
      </c>
    </row>
    <row r="11" spans="1:11">
      <c r="A11" s="4" t="s">
        <v>810</v>
      </c>
      <c r="B11" s="4" t="s">
        <v>159</v>
      </c>
      <c r="C11" s="289" t="s">
        <v>160</v>
      </c>
      <c r="D11" s="6">
        <f>+D135</f>
        <v>4999335.1472363248</v>
      </c>
      <c r="E11" s="6">
        <f>+E135</f>
        <v>4965248.6358652664</v>
      </c>
      <c r="F11" s="6">
        <f>+F135</f>
        <v>4998397.8904249324</v>
      </c>
      <c r="G11" s="6">
        <f t="shared" ref="G11:I11" si="0">+G135</f>
        <v>0</v>
      </c>
      <c r="H11" s="6">
        <f t="shared" si="0"/>
        <v>0</v>
      </c>
      <c r="I11" s="6">
        <f t="shared" si="0"/>
        <v>0</v>
      </c>
      <c r="J11" s="6">
        <f t="shared" ref="J11:K11" si="1">+J135</f>
        <v>0</v>
      </c>
      <c r="K11" s="6">
        <f t="shared" si="1"/>
        <v>0</v>
      </c>
    </row>
    <row r="12" spans="1:11">
      <c r="A12" s="4" t="s">
        <v>811</v>
      </c>
      <c r="B12" s="4" t="s">
        <v>163</v>
      </c>
      <c r="C12" s="289" t="s">
        <v>160</v>
      </c>
      <c r="D12" s="6">
        <f>+D216</f>
        <v>101300730.88855398</v>
      </c>
      <c r="E12" s="6">
        <f>+E216</f>
        <v>102558613.93567856</v>
      </c>
      <c r="F12" s="6">
        <f>+F216</f>
        <v>100379409.24302654</v>
      </c>
      <c r="G12" s="6">
        <f t="shared" ref="G12:I12" si="2">+G216</f>
        <v>0</v>
      </c>
      <c r="H12" s="6">
        <f t="shared" si="2"/>
        <v>0</v>
      </c>
      <c r="I12" s="6">
        <f t="shared" si="2"/>
        <v>0</v>
      </c>
      <c r="J12" s="6">
        <f t="shared" ref="J12:K12" si="3">+J216</f>
        <v>0</v>
      </c>
      <c r="K12" s="6">
        <f t="shared" si="3"/>
        <v>0</v>
      </c>
    </row>
    <row r="13" spans="1:11">
      <c r="A13" s="4" t="s">
        <v>812</v>
      </c>
      <c r="B13" s="4" t="s">
        <v>813</v>
      </c>
      <c r="C13" s="289" t="s">
        <v>160</v>
      </c>
      <c r="D13" s="6">
        <f>+D308</f>
        <v>4314500.8437454533</v>
      </c>
      <c r="E13" s="6">
        <f>+E308</f>
        <v>4290860.4650046891</v>
      </c>
      <c r="F13" s="6">
        <f>+F308</f>
        <v>4265163.4143897258</v>
      </c>
      <c r="G13" s="6">
        <f t="shared" ref="G13:I13" si="4">+G308</f>
        <v>0</v>
      </c>
      <c r="H13" s="6">
        <f t="shared" si="4"/>
        <v>0</v>
      </c>
      <c r="I13" s="6">
        <f t="shared" si="4"/>
        <v>0</v>
      </c>
      <c r="J13" s="6">
        <f t="shared" ref="J13:K13" si="5">+J308</f>
        <v>0</v>
      </c>
      <c r="K13" s="6">
        <f t="shared" si="5"/>
        <v>0</v>
      </c>
    </row>
    <row r="14" spans="1:11">
      <c r="A14" s="4" t="s">
        <v>814</v>
      </c>
      <c r="B14" s="4" t="s">
        <v>815</v>
      </c>
      <c r="C14" s="289" t="s">
        <v>160</v>
      </c>
      <c r="D14" s="6">
        <f>+D355</f>
        <v>50060654.308128655</v>
      </c>
      <c r="E14" s="6">
        <f>+E355</f>
        <v>52164468.817184344</v>
      </c>
      <c r="F14" s="6">
        <f>+F355</f>
        <v>50391049.034726813</v>
      </c>
      <c r="G14" s="6">
        <f t="shared" ref="G14:I14" si="6">+G355</f>
        <v>0</v>
      </c>
      <c r="H14" s="6">
        <f t="shared" si="6"/>
        <v>0</v>
      </c>
      <c r="I14" s="6">
        <f t="shared" si="6"/>
        <v>0</v>
      </c>
      <c r="J14" s="6">
        <f t="shared" ref="J14:K14" si="7">+J355</f>
        <v>0</v>
      </c>
      <c r="K14" s="6">
        <f t="shared" si="7"/>
        <v>0</v>
      </c>
    </row>
    <row r="15" spans="1:11">
      <c r="A15" s="4" t="s">
        <v>816</v>
      </c>
      <c r="B15" s="4" t="s">
        <v>817</v>
      </c>
      <c r="C15" s="289" t="s">
        <v>160</v>
      </c>
      <c r="D15" s="6">
        <f>+D392</f>
        <v>143724387.81606615</v>
      </c>
      <c r="E15" s="6">
        <f>+E392</f>
        <v>150637749.25141987</v>
      </c>
      <c r="F15" s="6">
        <f>+F392</f>
        <v>150240635.34126607</v>
      </c>
      <c r="G15" s="6">
        <f t="shared" ref="G15:I15" si="8">+G392</f>
        <v>0</v>
      </c>
      <c r="H15" s="6">
        <f t="shared" si="8"/>
        <v>0</v>
      </c>
      <c r="I15" s="6">
        <f t="shared" si="8"/>
        <v>0</v>
      </c>
      <c r="J15" s="6">
        <f t="shared" ref="J15:K15" si="9">+J392</f>
        <v>0</v>
      </c>
      <c r="K15" s="6">
        <f t="shared" si="9"/>
        <v>0</v>
      </c>
    </row>
    <row r="16" spans="1:11">
      <c r="A16" s="4" t="s">
        <v>818</v>
      </c>
      <c r="B16" s="4" t="s">
        <v>819</v>
      </c>
      <c r="C16" s="289" t="s">
        <v>160</v>
      </c>
      <c r="D16" s="6"/>
      <c r="E16" s="6"/>
      <c r="F16" s="6"/>
      <c r="G16" s="6"/>
      <c r="H16" s="6"/>
      <c r="I16" s="6"/>
      <c r="J16" s="6"/>
      <c r="K16" s="6"/>
    </row>
    <row r="17" spans="1:11">
      <c r="A17" s="4" t="s">
        <v>820</v>
      </c>
      <c r="B17" s="4" t="s">
        <v>821</v>
      </c>
      <c r="C17" s="289" t="s">
        <v>160</v>
      </c>
      <c r="D17" s="6">
        <f>+D452</f>
        <v>1281748.061589041</v>
      </c>
      <c r="E17" s="6">
        <f>+E452</f>
        <v>1298176.1094535519</v>
      </c>
      <c r="F17" s="6">
        <f>+F452</f>
        <v>1297605.382076503</v>
      </c>
      <c r="G17" s="6">
        <f t="shared" ref="G17:I17" si="10">+G452</f>
        <v>0</v>
      </c>
      <c r="H17" s="6">
        <f t="shared" si="10"/>
        <v>0</v>
      </c>
      <c r="I17" s="6">
        <f t="shared" si="10"/>
        <v>0</v>
      </c>
      <c r="J17" s="6">
        <f t="shared" ref="J17:K17" si="11">+J452</f>
        <v>0</v>
      </c>
      <c r="K17" s="6">
        <f t="shared" si="11"/>
        <v>0</v>
      </c>
    </row>
    <row r="18" spans="1:11">
      <c r="A18" s="4" t="s">
        <v>822</v>
      </c>
      <c r="B18" s="4" t="s">
        <v>176</v>
      </c>
      <c r="C18" s="289" t="s">
        <v>160</v>
      </c>
      <c r="D18" s="6">
        <f>SUM(D11:D17)</f>
        <v>305681357.0653196</v>
      </c>
      <c r="E18" s="6">
        <f>SUM(E11:E17)</f>
        <v>315915117.21460629</v>
      </c>
      <c r="F18" s="6">
        <f>SUM(F11:F17)</f>
        <v>311572260.30591059</v>
      </c>
      <c r="G18" s="6">
        <f t="shared" ref="G18:I18" si="12">SUM(G11:G17)</f>
        <v>0</v>
      </c>
      <c r="H18" s="6">
        <f t="shared" si="12"/>
        <v>0</v>
      </c>
      <c r="I18" s="6">
        <f t="shared" si="12"/>
        <v>0</v>
      </c>
      <c r="J18" s="6">
        <f t="shared" ref="J18:K18" si="13">SUM(J11:J17)</f>
        <v>0</v>
      </c>
      <c r="K18" s="6">
        <f t="shared" si="13"/>
        <v>0</v>
      </c>
    </row>
    <row r="19" spans="1:11">
      <c r="C19" s="290"/>
      <c r="D19" s="8"/>
      <c r="E19" s="8"/>
      <c r="F19" s="8"/>
      <c r="G19" s="417"/>
      <c r="H19" s="417"/>
      <c r="I19" s="417"/>
      <c r="J19" s="417"/>
      <c r="K19" s="417"/>
    </row>
    <row r="20" spans="1:11">
      <c r="C20" s="297"/>
      <c r="D20" s="7"/>
      <c r="E20" s="7"/>
      <c r="F20" s="7"/>
      <c r="G20" s="417"/>
      <c r="H20" s="417"/>
      <c r="I20" s="417"/>
      <c r="J20" s="417"/>
      <c r="K20" s="417"/>
    </row>
    <row r="21" spans="1:11" ht="18">
      <c r="B21" s="2" t="s">
        <v>206</v>
      </c>
      <c r="C21" s="291"/>
      <c r="D21" s="7"/>
      <c r="E21" s="7"/>
      <c r="F21" s="7"/>
      <c r="G21" s="417"/>
      <c r="H21" s="417"/>
      <c r="I21" s="417"/>
      <c r="J21" s="417"/>
      <c r="K21" s="417"/>
    </row>
    <row r="22" spans="1:11">
      <c r="A22" s="273"/>
      <c r="B22" s="163" t="s">
        <v>207</v>
      </c>
      <c r="C22" s="26" t="s">
        <v>152</v>
      </c>
      <c r="D22" s="26" t="str">
        <f>+$D$10</f>
        <v>2018-19 RF</v>
      </c>
      <c r="E22" s="26" t="str">
        <f>+$E$10</f>
        <v>2019-20 monthly</v>
      </c>
      <c r="F22" s="26" t="str">
        <f>+$F$10</f>
        <v>2019-20 RF</v>
      </c>
      <c r="G22" s="26" t="s">
        <v>807</v>
      </c>
      <c r="H22" s="26" t="s">
        <v>18</v>
      </c>
      <c r="I22" s="26" t="s">
        <v>808</v>
      </c>
      <c r="J22" s="26" t="s">
        <v>20</v>
      </c>
      <c r="K22" s="26" t="s">
        <v>809</v>
      </c>
    </row>
    <row r="23" spans="1:11">
      <c r="A23" s="10" t="s">
        <v>823</v>
      </c>
      <c r="B23" s="282" t="s">
        <v>824</v>
      </c>
      <c r="C23" s="293" t="s">
        <v>210</v>
      </c>
      <c r="D23" s="11">
        <v>978.67123287671177</v>
      </c>
      <c r="E23" s="11">
        <v>1784.0000000000146</v>
      </c>
      <c r="F23" s="11">
        <v>1780.8251366120262</v>
      </c>
      <c r="G23" s="11"/>
      <c r="H23" s="11"/>
      <c r="I23" s="11"/>
      <c r="J23" s="11"/>
      <c r="K23" s="11"/>
    </row>
    <row r="24" spans="1:11">
      <c r="A24" s="10" t="s">
        <v>825</v>
      </c>
      <c r="B24" s="10" t="s">
        <v>826</v>
      </c>
      <c r="C24" s="293" t="s">
        <v>210</v>
      </c>
      <c r="D24" s="11">
        <v>13036.889497716904</v>
      </c>
      <c r="E24" s="11">
        <v>6186.0018214936435</v>
      </c>
      <c r="F24" s="11">
        <v>6083.7167577413466</v>
      </c>
      <c r="G24" s="11"/>
      <c r="H24" s="11"/>
      <c r="I24" s="11"/>
      <c r="J24" s="11"/>
      <c r="K24" s="11"/>
    </row>
    <row r="25" spans="1:11">
      <c r="A25" s="10" t="s">
        <v>827</v>
      </c>
      <c r="B25" s="10" t="s">
        <v>828</v>
      </c>
      <c r="C25" s="293" t="s">
        <v>210</v>
      </c>
      <c r="D25" s="11">
        <v>6515.9360730593662</v>
      </c>
      <c r="E25" s="11">
        <v>12372.761384335194</v>
      </c>
      <c r="F25" s="11">
        <v>12168.025500910744</v>
      </c>
      <c r="G25" s="11"/>
      <c r="H25" s="11"/>
      <c r="I25" s="11"/>
      <c r="J25" s="11"/>
      <c r="K25" s="11"/>
    </row>
    <row r="26" spans="1:11">
      <c r="A26" s="10" t="s">
        <v>829</v>
      </c>
      <c r="B26" s="12" t="s">
        <v>830</v>
      </c>
      <c r="C26" s="293" t="s">
        <v>210</v>
      </c>
      <c r="D26" s="11">
        <v>15.232876712328771</v>
      </c>
      <c r="E26" s="11">
        <v>20.114754098360656</v>
      </c>
      <c r="F26" s="11">
        <v>18.336065573770494</v>
      </c>
      <c r="G26" s="11"/>
      <c r="H26" s="11"/>
      <c r="I26" s="11"/>
      <c r="J26" s="11"/>
      <c r="K26" s="11"/>
    </row>
    <row r="27" spans="1:11">
      <c r="A27" s="10" t="s">
        <v>831</v>
      </c>
      <c r="B27" s="12" t="s">
        <v>832</v>
      </c>
      <c r="C27" s="293" t="s">
        <v>210</v>
      </c>
      <c r="D27" s="11">
        <v>116.51689497716897</v>
      </c>
      <c r="E27" s="11">
        <v>55.038251366120228</v>
      </c>
      <c r="F27" s="11">
        <v>54.380692167577401</v>
      </c>
      <c r="G27" s="11"/>
      <c r="H27" s="11"/>
      <c r="I27" s="11"/>
      <c r="J27" s="11"/>
      <c r="K27" s="11"/>
    </row>
    <row r="28" spans="1:11">
      <c r="A28" s="10" t="s">
        <v>833</v>
      </c>
      <c r="B28" s="12" t="s">
        <v>834</v>
      </c>
      <c r="C28" s="293" t="s">
        <v>210</v>
      </c>
      <c r="D28" s="11">
        <v>54.454794520547942</v>
      </c>
      <c r="E28" s="11">
        <v>99.15118397085611</v>
      </c>
      <c r="F28" s="11">
        <v>98.357012750455382</v>
      </c>
      <c r="G28" s="11"/>
      <c r="H28" s="11"/>
      <c r="I28" s="11"/>
      <c r="J28" s="11"/>
      <c r="K28" s="11"/>
    </row>
    <row r="29" spans="1:11">
      <c r="A29" s="10" t="s">
        <v>835</v>
      </c>
      <c r="B29" s="12" t="s">
        <v>836</v>
      </c>
      <c r="C29" s="293" t="s">
        <v>210</v>
      </c>
      <c r="D29" s="11">
        <v>2.2219178082191782</v>
      </c>
      <c r="E29" s="11">
        <v>1.2595628415300546</v>
      </c>
      <c r="F29" s="11">
        <v>1.6721311475409839</v>
      </c>
      <c r="G29" s="11"/>
      <c r="H29" s="11"/>
      <c r="I29" s="11"/>
      <c r="J29" s="11"/>
      <c r="K29" s="11"/>
    </row>
    <row r="30" spans="1:11">
      <c r="A30" s="10" t="s">
        <v>837</v>
      </c>
      <c r="B30" s="12" t="s">
        <v>838</v>
      </c>
      <c r="C30" s="293" t="s">
        <v>210</v>
      </c>
      <c r="D30" s="11">
        <v>8.3543378995433795</v>
      </c>
      <c r="E30" s="11">
        <v>3.7768670309653913</v>
      </c>
      <c r="F30" s="11">
        <v>3.8479052823315119</v>
      </c>
      <c r="G30" s="11"/>
      <c r="H30" s="11"/>
      <c r="I30" s="11"/>
      <c r="J30" s="11"/>
      <c r="K30" s="11"/>
    </row>
    <row r="31" spans="1:11">
      <c r="A31" s="10" t="s">
        <v>839</v>
      </c>
      <c r="B31" s="12" t="s">
        <v>840</v>
      </c>
      <c r="C31" s="293" t="s">
        <v>210</v>
      </c>
      <c r="D31" s="11">
        <v>9.0264840182648403</v>
      </c>
      <c r="E31" s="11">
        <v>16.030965391621127</v>
      </c>
      <c r="F31" s="11">
        <v>15.653916211293263</v>
      </c>
      <c r="G31" s="11"/>
      <c r="H31" s="11"/>
      <c r="I31" s="11"/>
      <c r="J31" s="11"/>
      <c r="K31" s="11"/>
    </row>
    <row r="32" spans="1:11">
      <c r="A32" s="10" t="s">
        <v>841</v>
      </c>
      <c r="B32" s="12" t="s">
        <v>842</v>
      </c>
      <c r="C32" s="293" t="s">
        <v>210</v>
      </c>
      <c r="D32" s="11">
        <v>0.94794520547945205</v>
      </c>
      <c r="E32" s="11">
        <v>0.98087431693989069</v>
      </c>
      <c r="F32" s="11">
        <v>2.1010928961748636</v>
      </c>
      <c r="G32" s="11"/>
      <c r="H32" s="11"/>
      <c r="I32" s="11"/>
      <c r="J32" s="11"/>
      <c r="K32" s="11"/>
    </row>
    <row r="33" spans="1:11">
      <c r="A33" s="10" t="s">
        <v>843</v>
      </c>
      <c r="B33" s="12" t="s">
        <v>844</v>
      </c>
      <c r="C33" s="293" t="s">
        <v>210</v>
      </c>
      <c r="D33" s="11">
        <v>5.6876712328767125</v>
      </c>
      <c r="E33" s="11">
        <v>2.1930783242258651</v>
      </c>
      <c r="F33" s="11">
        <v>2.3852459016393444</v>
      </c>
      <c r="G33" s="11"/>
      <c r="H33" s="11"/>
      <c r="I33" s="11"/>
      <c r="J33" s="11"/>
      <c r="K33" s="11"/>
    </row>
    <row r="34" spans="1:11">
      <c r="A34" s="10" t="s">
        <v>845</v>
      </c>
      <c r="B34" s="12" t="s">
        <v>846</v>
      </c>
      <c r="C34" s="293" t="s">
        <v>210</v>
      </c>
      <c r="D34" s="11">
        <v>4.3068493150684928</v>
      </c>
      <c r="E34" s="11">
        <v>6.1857923497267757</v>
      </c>
      <c r="F34" s="11">
        <v>6.6247723132969041</v>
      </c>
      <c r="G34" s="11"/>
      <c r="H34" s="11"/>
      <c r="I34" s="11"/>
      <c r="J34" s="11"/>
      <c r="K34" s="11"/>
    </row>
    <row r="35" spans="1:11">
      <c r="A35" s="10" t="s">
        <v>847</v>
      </c>
      <c r="B35" s="12" t="s">
        <v>848</v>
      </c>
      <c r="C35" s="293" t="s">
        <v>210</v>
      </c>
      <c r="D35" s="11">
        <v>0</v>
      </c>
      <c r="E35" s="11">
        <v>0</v>
      </c>
      <c r="F35" s="11">
        <v>0</v>
      </c>
      <c r="G35" s="11"/>
      <c r="H35" s="11"/>
      <c r="I35" s="11"/>
      <c r="J35" s="11"/>
      <c r="K35" s="11"/>
    </row>
    <row r="36" spans="1:11">
      <c r="A36" s="10" t="s">
        <v>849</v>
      </c>
      <c r="B36" s="12" t="s">
        <v>850</v>
      </c>
      <c r="C36" s="293" t="s">
        <v>210</v>
      </c>
      <c r="D36" s="11">
        <v>0</v>
      </c>
      <c r="E36" s="11">
        <v>0</v>
      </c>
      <c r="F36" s="11">
        <v>0</v>
      </c>
      <c r="G36" s="11"/>
      <c r="H36" s="11"/>
      <c r="I36" s="11"/>
      <c r="J36" s="11"/>
      <c r="K36" s="11"/>
    </row>
    <row r="37" spans="1:11">
      <c r="A37" s="10" t="s">
        <v>851</v>
      </c>
      <c r="B37" s="12" t="s">
        <v>852</v>
      </c>
      <c r="C37" s="293" t="s">
        <v>210</v>
      </c>
      <c r="D37" s="11">
        <v>0</v>
      </c>
      <c r="E37" s="11">
        <v>0</v>
      </c>
      <c r="F37" s="11">
        <v>0</v>
      </c>
      <c r="G37" s="11"/>
      <c r="H37" s="11"/>
      <c r="I37" s="11"/>
      <c r="J37" s="11"/>
      <c r="K37" s="11"/>
    </row>
    <row r="38" spans="1:11">
      <c r="A38" s="10" t="s">
        <v>853</v>
      </c>
      <c r="B38" s="12" t="s">
        <v>225</v>
      </c>
      <c r="C38" s="294" t="s">
        <v>160</v>
      </c>
      <c r="D38" s="6">
        <f>SUM(D23:D37)</f>
        <v>20748.24657534248</v>
      </c>
      <c r="E38" s="6">
        <v>20547.494535519199</v>
      </c>
      <c r="F38" s="6">
        <f>SUM(F23:F37)</f>
        <v>20235.926229508194</v>
      </c>
      <c r="G38" s="6">
        <f t="shared" ref="G38:I38" si="14">SUM(G23:G37)</f>
        <v>0</v>
      </c>
      <c r="H38" s="6">
        <f t="shared" si="14"/>
        <v>0</v>
      </c>
      <c r="I38" s="6">
        <f t="shared" si="14"/>
        <v>0</v>
      </c>
      <c r="J38" s="6">
        <f t="shared" ref="J38:K38" si="15">SUM(J23:J37)</f>
        <v>0</v>
      </c>
      <c r="K38" s="6">
        <f t="shared" si="15"/>
        <v>0</v>
      </c>
    </row>
    <row r="39" spans="1:11">
      <c r="C39" s="297"/>
      <c r="D39" s="7"/>
      <c r="E39" s="7"/>
      <c r="F39" s="7"/>
      <c r="G39" s="417"/>
      <c r="H39" s="417"/>
      <c r="I39" s="417"/>
      <c r="J39" s="417"/>
      <c r="K39" s="417"/>
    </row>
    <row r="40" spans="1:11">
      <c r="A40" s="273"/>
      <c r="B40" s="284" t="s">
        <v>242</v>
      </c>
      <c r="C40" s="297"/>
      <c r="D40" s="7"/>
      <c r="E40" s="7"/>
      <c r="F40" s="7"/>
      <c r="G40" s="417"/>
      <c r="H40" s="417"/>
      <c r="I40" s="417"/>
      <c r="J40" s="417"/>
      <c r="K40" s="417"/>
    </row>
    <row r="41" spans="1:11">
      <c r="A41" s="12" t="s">
        <v>854</v>
      </c>
      <c r="B41" s="283" t="s">
        <v>824</v>
      </c>
      <c r="C41" s="294" t="s">
        <v>210</v>
      </c>
      <c r="D41" s="11">
        <v>31471.710547945215</v>
      </c>
      <c r="E41" s="11">
        <v>53015.2810797813</v>
      </c>
      <c r="F41" s="11">
        <v>54150.416787431626</v>
      </c>
      <c r="G41" s="11"/>
      <c r="H41" s="11"/>
      <c r="I41" s="11"/>
      <c r="J41" s="11"/>
      <c r="K41" s="11"/>
    </row>
    <row r="42" spans="1:11">
      <c r="A42" s="12" t="s">
        <v>855</v>
      </c>
      <c r="B42" s="12" t="s">
        <v>826</v>
      </c>
      <c r="C42" s="294" t="s">
        <v>210</v>
      </c>
      <c r="D42" s="11">
        <v>549824.17479452188</v>
      </c>
      <c r="E42" s="11">
        <v>261386.9038322384</v>
      </c>
      <c r="F42" s="11">
        <v>258997.12140673853</v>
      </c>
      <c r="G42" s="11"/>
      <c r="H42" s="11"/>
      <c r="I42" s="11"/>
      <c r="J42" s="11"/>
      <c r="K42" s="11"/>
    </row>
    <row r="43" spans="1:11">
      <c r="A43" s="12" t="s">
        <v>856</v>
      </c>
      <c r="B43" s="12" t="s">
        <v>828</v>
      </c>
      <c r="C43" s="294" t="s">
        <v>210</v>
      </c>
      <c r="D43" s="11">
        <v>292128.89127853909</v>
      </c>
      <c r="E43" s="11">
        <v>555875.03121129342</v>
      </c>
      <c r="F43" s="11">
        <v>550725.31384772167</v>
      </c>
      <c r="G43" s="11"/>
      <c r="H43" s="11"/>
      <c r="I43" s="11"/>
      <c r="J43" s="11"/>
      <c r="K43" s="11"/>
    </row>
    <row r="44" spans="1:11">
      <c r="A44" s="12" t="s">
        <v>857</v>
      </c>
      <c r="B44" s="12" t="s">
        <v>830</v>
      </c>
      <c r="C44" s="294" t="s">
        <v>210</v>
      </c>
      <c r="D44" s="11">
        <v>7311.7808219178087</v>
      </c>
      <c r="E44" s="11">
        <v>9655.0819672131147</v>
      </c>
      <c r="F44" s="11">
        <v>8801.3114754098315</v>
      </c>
      <c r="G44" s="11"/>
      <c r="H44" s="11"/>
      <c r="I44" s="11"/>
      <c r="J44" s="11"/>
      <c r="K44" s="11"/>
    </row>
    <row r="45" spans="1:11">
      <c r="A45" s="12" t="s">
        <v>858</v>
      </c>
      <c r="B45" s="12" t="s">
        <v>832</v>
      </c>
      <c r="C45" s="294" t="s">
        <v>210</v>
      </c>
      <c r="D45" s="11">
        <v>55928.109589041094</v>
      </c>
      <c r="E45" s="11">
        <v>4403.0601092896168</v>
      </c>
      <c r="F45" s="11">
        <v>26102.732240437155</v>
      </c>
      <c r="G45" s="11"/>
      <c r="H45" s="11"/>
      <c r="I45" s="11"/>
      <c r="J45" s="11"/>
      <c r="K45" s="11"/>
    </row>
    <row r="46" spans="1:11">
      <c r="A46" s="12" t="s">
        <v>859</v>
      </c>
      <c r="B46" s="12" t="s">
        <v>834</v>
      </c>
      <c r="C46" s="294" t="s">
        <v>210</v>
      </c>
      <c r="D46" s="11">
        <v>26138.301369863013</v>
      </c>
      <c r="E46" s="11">
        <v>7932.0947176684895</v>
      </c>
      <c r="F46" s="11">
        <v>47211.36612021859</v>
      </c>
      <c r="G46" s="11"/>
      <c r="H46" s="11"/>
      <c r="I46" s="11"/>
      <c r="J46" s="11"/>
      <c r="K46" s="11"/>
    </row>
    <row r="47" spans="1:11">
      <c r="A47" s="12" t="s">
        <v>860</v>
      </c>
      <c r="B47" s="12" t="s">
        <v>836</v>
      </c>
      <c r="C47" s="294" t="s">
        <v>210</v>
      </c>
      <c r="D47" s="11">
        <v>2177.4794520547944</v>
      </c>
      <c r="E47" s="11">
        <v>1234.3715846994535</v>
      </c>
      <c r="F47" s="11">
        <v>1638.6885245901638</v>
      </c>
      <c r="G47" s="11"/>
      <c r="H47" s="11"/>
      <c r="I47" s="11"/>
      <c r="J47" s="11"/>
      <c r="K47" s="11"/>
    </row>
    <row r="48" spans="1:11">
      <c r="A48" s="12" t="s">
        <v>861</v>
      </c>
      <c r="B48" s="12" t="s">
        <v>838</v>
      </c>
      <c r="C48" s="294" t="s">
        <v>210</v>
      </c>
      <c r="D48" s="11">
        <v>8187.2511415525114</v>
      </c>
      <c r="E48" s="11">
        <v>302.14936247723136</v>
      </c>
      <c r="F48" s="11">
        <v>3770.9471766848815</v>
      </c>
      <c r="G48" s="11"/>
      <c r="H48" s="11"/>
      <c r="I48" s="11"/>
      <c r="J48" s="11"/>
      <c r="K48" s="11"/>
    </row>
    <row r="49" spans="1:11">
      <c r="A49" s="12" t="s">
        <v>862</v>
      </c>
      <c r="B49" s="12" t="s">
        <v>840</v>
      </c>
      <c r="C49" s="294" t="s">
        <v>210</v>
      </c>
      <c r="D49" s="11">
        <v>8845.954337899544</v>
      </c>
      <c r="E49" s="11">
        <v>1282.4772313296903</v>
      </c>
      <c r="F49" s="11">
        <v>15340.837887067397</v>
      </c>
      <c r="G49" s="11"/>
      <c r="H49" s="11"/>
      <c r="I49" s="11"/>
      <c r="J49" s="11"/>
      <c r="K49" s="11"/>
    </row>
    <row r="50" spans="1:11">
      <c r="A50" s="12" t="s">
        <v>863</v>
      </c>
      <c r="B50" s="12" t="s">
        <v>842</v>
      </c>
      <c r="C50" s="294" t="s">
        <v>210</v>
      </c>
      <c r="D50" s="11">
        <v>2350.9041095890411</v>
      </c>
      <c r="E50" s="11">
        <v>2432.5683060109286</v>
      </c>
      <c r="F50" s="11">
        <v>5210.710382513661</v>
      </c>
      <c r="G50" s="11"/>
      <c r="H50" s="11"/>
      <c r="I50" s="11"/>
      <c r="J50" s="11"/>
      <c r="K50" s="11"/>
    </row>
    <row r="51" spans="1:11">
      <c r="A51" s="12" t="s">
        <v>864</v>
      </c>
      <c r="B51" s="12" t="s">
        <v>844</v>
      </c>
      <c r="C51" s="294" t="s">
        <v>210</v>
      </c>
      <c r="D51" s="11">
        <v>14105.424657534246</v>
      </c>
      <c r="E51" s="11">
        <v>175.44626593806922</v>
      </c>
      <c r="F51" s="11">
        <v>5915.4098360655735</v>
      </c>
      <c r="G51" s="11"/>
      <c r="H51" s="11"/>
      <c r="I51" s="11"/>
      <c r="J51" s="11"/>
      <c r="K51" s="11"/>
    </row>
    <row r="52" spans="1:11">
      <c r="A52" s="12" t="s">
        <v>865</v>
      </c>
      <c r="B52" s="12" t="s">
        <v>846</v>
      </c>
      <c r="C52" s="294" t="s">
        <v>210</v>
      </c>
      <c r="D52" s="11">
        <v>10680.986301369863</v>
      </c>
      <c r="E52" s="11">
        <v>494.86338797814204</v>
      </c>
      <c r="F52" s="11">
        <v>16429.435336976319</v>
      </c>
      <c r="G52" s="11"/>
      <c r="H52" s="11"/>
      <c r="I52" s="11"/>
      <c r="J52" s="11"/>
      <c r="K52" s="11"/>
    </row>
    <row r="53" spans="1:11">
      <c r="A53" s="12" t="s">
        <v>866</v>
      </c>
      <c r="B53" s="12" t="s">
        <v>848</v>
      </c>
      <c r="C53" s="294" t="s">
        <v>210</v>
      </c>
      <c r="D53" s="11">
        <v>0</v>
      </c>
      <c r="E53" s="11">
        <v>0</v>
      </c>
      <c r="F53" s="11">
        <v>0</v>
      </c>
      <c r="G53" s="11"/>
      <c r="H53" s="11"/>
      <c r="I53" s="11"/>
      <c r="J53" s="11"/>
      <c r="K53" s="11"/>
    </row>
    <row r="54" spans="1:11">
      <c r="A54" s="12" t="s">
        <v>867</v>
      </c>
      <c r="B54" s="12" t="s">
        <v>850</v>
      </c>
      <c r="C54" s="294" t="s">
        <v>210</v>
      </c>
      <c r="D54" s="11">
        <v>0</v>
      </c>
      <c r="E54" s="11">
        <v>0</v>
      </c>
      <c r="F54" s="11">
        <v>0</v>
      </c>
      <c r="G54" s="11"/>
      <c r="H54" s="11"/>
      <c r="I54" s="11"/>
      <c r="J54" s="11"/>
      <c r="K54" s="11"/>
    </row>
    <row r="55" spans="1:11">
      <c r="A55" s="12" t="s">
        <v>868</v>
      </c>
      <c r="B55" s="12" t="s">
        <v>852</v>
      </c>
      <c r="C55" s="294" t="s">
        <v>210</v>
      </c>
      <c r="D55" s="11">
        <v>0</v>
      </c>
      <c r="E55" s="11">
        <v>0</v>
      </c>
      <c r="F55" s="11">
        <v>0</v>
      </c>
      <c r="G55" s="11"/>
      <c r="H55" s="11"/>
      <c r="I55" s="11"/>
      <c r="J55" s="11"/>
      <c r="K55" s="11"/>
    </row>
    <row r="56" spans="1:11">
      <c r="A56" s="12" t="s">
        <v>869</v>
      </c>
      <c r="B56" s="12" t="s">
        <v>225</v>
      </c>
      <c r="C56" s="294" t="s">
        <v>160</v>
      </c>
      <c r="D56" s="6">
        <f>SUM(D41:D55)</f>
        <v>1009150.9684018281</v>
      </c>
      <c r="E56" s="6">
        <v>898189.32905591791</v>
      </c>
      <c r="F56" s="6">
        <f>SUM(F41:F55)</f>
        <v>994294.2910218552</v>
      </c>
      <c r="G56" s="6">
        <f t="shared" ref="G56:I56" si="16">SUM(G41:G55)</f>
        <v>0</v>
      </c>
      <c r="H56" s="6">
        <f t="shared" si="16"/>
        <v>0</v>
      </c>
      <c r="I56" s="6">
        <f t="shared" si="16"/>
        <v>0</v>
      </c>
      <c r="J56" s="6">
        <f t="shared" ref="J56:K56" si="17">SUM(J41:J55)</f>
        <v>0</v>
      </c>
      <c r="K56" s="6">
        <f t="shared" si="17"/>
        <v>0</v>
      </c>
    </row>
    <row r="57" spans="1:11">
      <c r="B57" s="14"/>
      <c r="C57" s="290"/>
      <c r="D57" s="7"/>
      <c r="E57" s="7"/>
      <c r="F57" s="7"/>
      <c r="G57" s="417"/>
      <c r="H57" s="417"/>
      <c r="I57" s="417"/>
      <c r="J57" s="417"/>
      <c r="K57" s="417"/>
    </row>
    <row r="58" spans="1:11">
      <c r="A58" s="273"/>
      <c r="B58" s="284" t="s">
        <v>870</v>
      </c>
      <c r="C58" s="295"/>
      <c r="D58" s="7"/>
      <c r="E58" s="7"/>
      <c r="F58" s="7"/>
      <c r="G58" s="417"/>
      <c r="H58" s="417"/>
      <c r="I58" s="417"/>
      <c r="J58" s="417"/>
      <c r="K58" s="417"/>
    </row>
    <row r="59" spans="1:11">
      <c r="A59" s="12" t="s">
        <v>871</v>
      </c>
      <c r="B59" s="283" t="s">
        <v>252</v>
      </c>
      <c r="C59" s="294" t="s">
        <v>210</v>
      </c>
      <c r="D59" s="11">
        <v>31471.710547945215</v>
      </c>
      <c r="E59" s="11">
        <v>53015.2810797813</v>
      </c>
      <c r="F59" s="11">
        <v>54150.416787431626</v>
      </c>
      <c r="G59" s="11"/>
      <c r="H59" s="11"/>
      <c r="I59" s="11"/>
      <c r="J59" s="11"/>
      <c r="K59" s="11"/>
    </row>
    <row r="60" spans="1:11">
      <c r="A60" s="12" t="s">
        <v>872</v>
      </c>
      <c r="B60" s="12" t="s">
        <v>255</v>
      </c>
      <c r="C60" s="294" t="s">
        <v>210</v>
      </c>
      <c r="D60" s="11">
        <v>89974.342328767118</v>
      </c>
      <c r="E60" s="11">
        <v>147274.25839617485</v>
      </c>
      <c r="F60" s="11">
        <v>150392.98659672146</v>
      </c>
      <c r="G60" s="11"/>
      <c r="H60" s="11"/>
      <c r="I60" s="11"/>
      <c r="J60" s="11"/>
      <c r="K60" s="11"/>
    </row>
    <row r="61" spans="1:11">
      <c r="A61" s="12" t="s">
        <v>873</v>
      </c>
      <c r="B61" s="12" t="s">
        <v>1739</v>
      </c>
      <c r="C61" s="294" t="s">
        <v>210</v>
      </c>
      <c r="D61" s="11">
        <v>94656.135205479441</v>
      </c>
      <c r="E61" s="11">
        <v>121330.23387486339</v>
      </c>
      <c r="F61" s="11">
        <v>134136.78420765026</v>
      </c>
      <c r="G61" s="11"/>
      <c r="H61" s="11"/>
      <c r="I61" s="11"/>
      <c r="J61" s="11"/>
      <c r="K61" s="11"/>
    </row>
    <row r="62" spans="1:11">
      <c r="A62" s="12" t="s">
        <v>874</v>
      </c>
      <c r="B62" s="12" t="s">
        <v>1740</v>
      </c>
      <c r="C62" s="294" t="s">
        <v>210</v>
      </c>
      <c r="D62" s="11"/>
      <c r="E62" s="11"/>
      <c r="F62" s="11"/>
      <c r="G62" s="11"/>
      <c r="H62" s="11"/>
      <c r="I62" s="11"/>
      <c r="J62" s="11"/>
      <c r="K62" s="11"/>
    </row>
    <row r="63" spans="1:11">
      <c r="A63" s="12" t="s">
        <v>875</v>
      </c>
      <c r="B63" s="12" t="s">
        <v>262</v>
      </c>
      <c r="C63" s="294" t="s">
        <v>210</v>
      </c>
      <c r="D63" s="11"/>
      <c r="E63" s="11"/>
      <c r="F63" s="11"/>
      <c r="G63" s="11"/>
      <c r="H63" s="11"/>
      <c r="I63" s="11"/>
      <c r="J63" s="11"/>
      <c r="K63" s="11"/>
    </row>
    <row r="64" spans="1:11">
      <c r="A64" s="12" t="s">
        <v>876</v>
      </c>
      <c r="B64" s="16" t="s">
        <v>265</v>
      </c>
      <c r="C64" s="298" t="s">
        <v>160</v>
      </c>
      <c r="D64" s="6">
        <v>216102.18808219177</v>
      </c>
      <c r="E64" s="6">
        <v>321619.77335081954</v>
      </c>
      <c r="F64" s="6">
        <f>SUM(F59:F63)</f>
        <v>338680.18759180338</v>
      </c>
      <c r="G64" s="6">
        <f t="shared" ref="G64:I64" si="18">SUM(G59:G63)</f>
        <v>0</v>
      </c>
      <c r="H64" s="6">
        <f t="shared" si="18"/>
        <v>0</v>
      </c>
      <c r="I64" s="6">
        <f t="shared" si="18"/>
        <v>0</v>
      </c>
      <c r="J64" s="6">
        <f t="shared" ref="J64:K64" si="19">SUM(J59:J63)</f>
        <v>0</v>
      </c>
      <c r="K64" s="6">
        <f t="shared" si="19"/>
        <v>0</v>
      </c>
    </row>
    <row r="65" spans="1:11">
      <c r="C65" s="297"/>
      <c r="D65" s="7"/>
      <c r="E65" s="7"/>
      <c r="F65" s="7"/>
      <c r="G65" s="417"/>
      <c r="H65" s="417"/>
      <c r="I65" s="417"/>
      <c r="J65" s="417"/>
      <c r="K65" s="417"/>
    </row>
    <row r="66" spans="1:11">
      <c r="A66" s="273"/>
      <c r="B66" s="284" t="s">
        <v>877</v>
      </c>
      <c r="C66" s="295"/>
      <c r="D66" s="7"/>
      <c r="E66" s="7"/>
      <c r="F66" s="7"/>
      <c r="G66" s="417"/>
      <c r="H66" s="417"/>
      <c r="I66" s="417"/>
      <c r="J66" s="417"/>
      <c r="K66" s="417"/>
    </row>
    <row r="67" spans="1:11">
      <c r="A67" s="12" t="s">
        <v>878</v>
      </c>
      <c r="B67" s="283" t="s">
        <v>252</v>
      </c>
      <c r="C67" s="294" t="s">
        <v>210</v>
      </c>
      <c r="D67" s="11">
        <v>549824.17479452188</v>
      </c>
      <c r="E67" s="11">
        <v>1031639.6966846819</v>
      </c>
      <c r="F67" s="11">
        <v>258997.12140673853</v>
      </c>
      <c r="G67" s="11"/>
      <c r="H67" s="11"/>
      <c r="I67" s="11"/>
      <c r="J67" s="11"/>
      <c r="K67" s="11"/>
    </row>
    <row r="68" spans="1:11">
      <c r="A68" s="12" t="s">
        <v>879</v>
      </c>
      <c r="B68" s="12" t="s">
        <v>255</v>
      </c>
      <c r="C68" s="294" t="s">
        <v>210</v>
      </c>
      <c r="D68" s="11">
        <v>1621829.0292237417</v>
      </c>
      <c r="E68" s="11">
        <v>0</v>
      </c>
      <c r="F68" s="11">
        <v>764715.93598706566</v>
      </c>
      <c r="G68" s="11"/>
      <c r="H68" s="11"/>
      <c r="I68" s="11"/>
      <c r="J68" s="11"/>
      <c r="K68" s="11"/>
    </row>
    <row r="69" spans="1:11">
      <c r="A69" s="12" t="s">
        <v>880</v>
      </c>
      <c r="B69" s="12" t="s">
        <v>1739</v>
      </c>
      <c r="C69" s="294" t="s">
        <v>210</v>
      </c>
      <c r="D69" s="11">
        <v>593062.76191780798</v>
      </c>
      <c r="E69" s="11">
        <v>277627.16226557386</v>
      </c>
      <c r="F69" s="11">
        <v>286765.27946630231</v>
      </c>
      <c r="G69" s="11"/>
      <c r="H69" s="11"/>
      <c r="I69" s="11"/>
      <c r="J69" s="11"/>
      <c r="K69" s="11"/>
    </row>
    <row r="70" spans="1:11">
      <c r="A70" s="12" t="s">
        <v>881</v>
      </c>
      <c r="B70" s="12" t="s">
        <v>1740</v>
      </c>
      <c r="C70" s="294" t="s">
        <v>210</v>
      </c>
      <c r="D70" s="11"/>
      <c r="E70" s="11">
        <v>0</v>
      </c>
      <c r="F70" s="11"/>
      <c r="G70" s="11"/>
      <c r="H70" s="11"/>
      <c r="I70" s="11"/>
      <c r="J70" s="11"/>
      <c r="K70" s="11"/>
    </row>
    <row r="71" spans="1:11">
      <c r="A71" s="12" t="s">
        <v>882</v>
      </c>
      <c r="B71" s="12" t="s">
        <v>262</v>
      </c>
      <c r="C71" s="294" t="s">
        <v>210</v>
      </c>
      <c r="D71" s="11"/>
      <c r="E71" s="11">
        <v>0</v>
      </c>
      <c r="F71" s="11">
        <v>0</v>
      </c>
      <c r="G71" s="11"/>
      <c r="H71" s="11"/>
      <c r="I71" s="11"/>
      <c r="J71" s="11"/>
      <c r="K71" s="11"/>
    </row>
    <row r="72" spans="1:11">
      <c r="A72" s="12" t="s">
        <v>883</v>
      </c>
      <c r="B72" s="16" t="s">
        <v>265</v>
      </c>
      <c r="C72" s="298" t="s">
        <v>160</v>
      </c>
      <c r="D72" s="6">
        <v>2764715.9659360717</v>
      </c>
      <c r="E72" s="6">
        <v>1309266.8589502559</v>
      </c>
      <c r="F72" s="6">
        <f>SUM(F67:F71)</f>
        <v>1310478.3368601066</v>
      </c>
      <c r="G72" s="6">
        <f t="shared" ref="G72:I72" si="20">SUM(G67:G71)</f>
        <v>0</v>
      </c>
      <c r="H72" s="6">
        <f t="shared" si="20"/>
        <v>0</v>
      </c>
      <c r="I72" s="6">
        <f t="shared" si="20"/>
        <v>0</v>
      </c>
      <c r="J72" s="6">
        <f t="shared" ref="J72:K72" si="21">SUM(J67:J71)</f>
        <v>0</v>
      </c>
      <c r="K72" s="6">
        <f t="shared" si="21"/>
        <v>0</v>
      </c>
    </row>
    <row r="73" spans="1:11">
      <c r="C73" s="297"/>
      <c r="D73" s="7"/>
      <c r="E73" s="7"/>
      <c r="F73" s="7"/>
      <c r="G73" s="417"/>
      <c r="H73" s="417"/>
      <c r="I73" s="417"/>
      <c r="J73" s="417"/>
      <c r="K73" s="417"/>
    </row>
    <row r="74" spans="1:11">
      <c r="A74" s="273"/>
      <c r="B74" s="284" t="s">
        <v>884</v>
      </c>
      <c r="C74" s="295"/>
      <c r="D74" s="7"/>
      <c r="E74" s="7"/>
      <c r="F74" s="7"/>
      <c r="G74" s="417"/>
      <c r="H74" s="417"/>
      <c r="I74" s="417"/>
      <c r="J74" s="417"/>
      <c r="K74" s="417"/>
    </row>
    <row r="75" spans="1:11">
      <c r="A75" s="12" t="s">
        <v>885</v>
      </c>
      <c r="B75" s="283" t="s">
        <v>252</v>
      </c>
      <c r="C75" s="294" t="s">
        <v>210</v>
      </c>
      <c r="D75" s="11">
        <v>292128.89127853909</v>
      </c>
      <c r="E75" s="11">
        <v>2172049.1894775857</v>
      </c>
      <c r="F75" s="11">
        <v>550725.31384772167</v>
      </c>
      <c r="G75" s="11"/>
      <c r="H75" s="11"/>
      <c r="I75" s="11"/>
      <c r="J75" s="11"/>
      <c r="K75" s="11"/>
    </row>
    <row r="76" spans="1:11">
      <c r="A76" s="12" t="s">
        <v>886</v>
      </c>
      <c r="B76" s="12" t="s">
        <v>255</v>
      </c>
      <c r="C76" s="294" t="s">
        <v>210</v>
      </c>
      <c r="D76" s="11">
        <v>851563.34739725839</v>
      </c>
      <c r="E76" s="11">
        <v>0</v>
      </c>
      <c r="F76" s="11">
        <v>1599496.6652939951</v>
      </c>
      <c r="G76" s="11"/>
      <c r="H76" s="11"/>
      <c r="I76" s="11"/>
      <c r="J76" s="11"/>
      <c r="K76" s="11"/>
    </row>
    <row r="77" spans="1:11">
      <c r="A77" s="12" t="s">
        <v>887</v>
      </c>
      <c r="B77" s="12" t="s">
        <v>1739</v>
      </c>
      <c r="C77" s="294" t="s">
        <v>210</v>
      </c>
      <c r="D77" s="11">
        <v>341644.48410958896</v>
      </c>
      <c r="E77" s="11">
        <v>586591.40923242271</v>
      </c>
      <c r="F77" s="11">
        <v>597378.563974499</v>
      </c>
      <c r="G77" s="11"/>
      <c r="H77" s="11"/>
      <c r="I77" s="11"/>
      <c r="J77" s="11"/>
      <c r="K77" s="11"/>
    </row>
    <row r="78" spans="1:11">
      <c r="A78" s="12" t="s">
        <v>888</v>
      </c>
      <c r="B78" s="12" t="s">
        <v>1740</v>
      </c>
      <c r="C78" s="294" t="s">
        <v>210</v>
      </c>
      <c r="D78" s="11"/>
      <c r="E78" s="11">
        <v>0</v>
      </c>
      <c r="F78" s="11"/>
      <c r="G78" s="11"/>
      <c r="H78" s="11"/>
      <c r="I78" s="11"/>
      <c r="J78" s="11"/>
      <c r="K78" s="11"/>
    </row>
    <row r="79" spans="1:11">
      <c r="A79" s="12" t="s">
        <v>889</v>
      </c>
      <c r="B79" s="12" t="s">
        <v>262</v>
      </c>
      <c r="C79" s="294" t="s">
        <v>210</v>
      </c>
      <c r="D79" s="11"/>
      <c r="E79" s="11">
        <v>0</v>
      </c>
      <c r="F79" s="11">
        <v>0</v>
      </c>
      <c r="G79" s="11"/>
      <c r="H79" s="11"/>
      <c r="I79" s="11"/>
      <c r="J79" s="11"/>
      <c r="K79" s="11"/>
    </row>
    <row r="80" spans="1:11">
      <c r="A80" s="12" t="s">
        <v>890</v>
      </c>
      <c r="B80" s="16" t="s">
        <v>265</v>
      </c>
      <c r="C80" s="298" t="s">
        <v>160</v>
      </c>
      <c r="D80" s="6">
        <v>1485336.7227853863</v>
      </c>
      <c r="E80" s="6">
        <v>2758640.5987100084</v>
      </c>
      <c r="F80" s="6">
        <f>SUM(F75:F79)</f>
        <v>2747600.5431162156</v>
      </c>
      <c r="G80" s="6">
        <f t="shared" ref="G80:I80" si="22">SUM(G75:G79)</f>
        <v>0</v>
      </c>
      <c r="H80" s="6">
        <f t="shared" si="22"/>
        <v>0</v>
      </c>
      <c r="I80" s="6">
        <f t="shared" si="22"/>
        <v>0</v>
      </c>
      <c r="J80" s="6">
        <f t="shared" ref="J80:K80" si="23">SUM(J75:J79)</f>
        <v>0</v>
      </c>
      <c r="K80" s="6">
        <f t="shared" si="23"/>
        <v>0</v>
      </c>
    </row>
    <row r="81" spans="1:11">
      <c r="C81" s="297"/>
      <c r="D81" s="7"/>
      <c r="E81" s="7"/>
      <c r="F81" s="7"/>
      <c r="G81" s="417"/>
      <c r="H81" s="417"/>
      <c r="I81" s="417"/>
      <c r="J81" s="417"/>
      <c r="K81" s="417"/>
    </row>
    <row r="82" spans="1:11" s="1" customFormat="1">
      <c r="A82" s="273"/>
      <c r="B82" s="284" t="s">
        <v>267</v>
      </c>
      <c r="C82" s="295"/>
      <c r="D82" s="17"/>
      <c r="E82" s="17"/>
      <c r="F82" s="17"/>
      <c r="G82" s="417"/>
    </row>
    <row r="83" spans="1:11" s="1" customFormat="1">
      <c r="A83" s="12" t="s">
        <v>891</v>
      </c>
      <c r="B83" s="283" t="s">
        <v>892</v>
      </c>
      <c r="C83" s="299" t="s">
        <v>210</v>
      </c>
      <c r="D83" s="11">
        <v>67</v>
      </c>
      <c r="E83" s="11">
        <v>68</v>
      </c>
      <c r="F83" s="11">
        <v>68</v>
      </c>
      <c r="G83" s="11"/>
      <c r="H83" s="11"/>
      <c r="I83" s="11"/>
      <c r="J83" s="11"/>
      <c r="K83" s="11"/>
    </row>
    <row r="84" spans="1:11" s="1" customFormat="1">
      <c r="A84" s="12" t="s">
        <v>893</v>
      </c>
      <c r="B84" s="12" t="s">
        <v>894</v>
      </c>
      <c r="C84" s="299" t="s">
        <v>210</v>
      </c>
      <c r="D84" s="11">
        <v>66</v>
      </c>
      <c r="E84" s="11">
        <v>66</v>
      </c>
      <c r="F84" s="11">
        <v>66</v>
      </c>
      <c r="G84" s="11"/>
      <c r="H84" s="11"/>
      <c r="I84" s="11"/>
      <c r="J84" s="11"/>
      <c r="K84" s="11"/>
    </row>
    <row r="85" spans="1:11" s="1" customFormat="1">
      <c r="A85" s="12" t="s">
        <v>895</v>
      </c>
      <c r="B85" s="12" t="s">
        <v>896</v>
      </c>
      <c r="C85" s="299" t="s">
        <v>210</v>
      </c>
      <c r="D85" s="11">
        <v>69</v>
      </c>
      <c r="E85" s="11">
        <v>69</v>
      </c>
      <c r="F85" s="11">
        <v>69</v>
      </c>
      <c r="G85" s="11"/>
      <c r="H85" s="11"/>
      <c r="I85" s="11"/>
      <c r="J85" s="11"/>
      <c r="K85" s="11"/>
    </row>
    <row r="86" spans="1:11" s="1" customFormat="1">
      <c r="A86" s="12" t="s">
        <v>897</v>
      </c>
      <c r="B86" s="12" t="s">
        <v>898</v>
      </c>
      <c r="C86" s="299" t="s">
        <v>210</v>
      </c>
      <c r="D86" s="11">
        <v>133</v>
      </c>
      <c r="E86" s="11">
        <v>136</v>
      </c>
      <c r="F86" s="11">
        <v>136</v>
      </c>
      <c r="G86" s="11"/>
      <c r="H86" s="11"/>
      <c r="I86" s="11"/>
      <c r="J86" s="11"/>
      <c r="K86" s="11"/>
    </row>
    <row r="87" spans="1:11" s="1" customFormat="1">
      <c r="A87" s="12" t="s">
        <v>899</v>
      </c>
      <c r="B87" s="12" t="s">
        <v>900</v>
      </c>
      <c r="C87" s="299" t="s">
        <v>210</v>
      </c>
      <c r="D87" s="11">
        <v>130</v>
      </c>
      <c r="E87" s="11">
        <v>130</v>
      </c>
      <c r="F87" s="11">
        <v>130</v>
      </c>
      <c r="G87" s="11"/>
      <c r="H87" s="11"/>
      <c r="I87" s="11"/>
      <c r="J87" s="11"/>
      <c r="K87" s="11"/>
    </row>
    <row r="88" spans="1:11" s="1" customFormat="1">
      <c r="A88" s="12" t="s">
        <v>901</v>
      </c>
      <c r="B88" s="12" t="s">
        <v>902</v>
      </c>
      <c r="C88" s="299" t="s">
        <v>210</v>
      </c>
      <c r="D88" s="11">
        <v>139</v>
      </c>
      <c r="E88" s="11">
        <v>139</v>
      </c>
      <c r="F88" s="11">
        <v>139</v>
      </c>
      <c r="G88" s="11"/>
      <c r="H88" s="11"/>
      <c r="I88" s="11"/>
      <c r="J88" s="11"/>
      <c r="K88" s="11"/>
    </row>
    <row r="89" spans="1:11" s="1" customFormat="1">
      <c r="A89" s="12" t="s">
        <v>903</v>
      </c>
      <c r="B89" s="12" t="s">
        <v>904</v>
      </c>
      <c r="C89" s="299" t="s">
        <v>210</v>
      </c>
      <c r="D89" s="11">
        <v>526</v>
      </c>
      <c r="E89" s="11">
        <v>537</v>
      </c>
      <c r="F89" s="11">
        <v>537</v>
      </c>
      <c r="G89" s="11"/>
      <c r="H89" s="11"/>
      <c r="I89" s="11"/>
      <c r="J89" s="11"/>
      <c r="K89" s="11"/>
    </row>
    <row r="90" spans="1:11" s="1" customFormat="1">
      <c r="A90" s="12" t="s">
        <v>905</v>
      </c>
      <c r="B90" s="12" t="s">
        <v>906</v>
      </c>
      <c r="C90" s="299" t="s">
        <v>210</v>
      </c>
      <c r="D90" s="11">
        <v>516</v>
      </c>
      <c r="E90" s="11">
        <v>516</v>
      </c>
      <c r="F90" s="11">
        <v>516</v>
      </c>
      <c r="G90" s="11"/>
      <c r="H90" s="11"/>
      <c r="I90" s="11"/>
      <c r="J90" s="11"/>
      <c r="K90" s="11"/>
    </row>
    <row r="91" spans="1:11" s="1" customFormat="1">
      <c r="A91" s="12" t="s">
        <v>907</v>
      </c>
      <c r="B91" s="12" t="s">
        <v>908</v>
      </c>
      <c r="C91" s="299" t="s">
        <v>210</v>
      </c>
      <c r="D91" s="11">
        <v>548</v>
      </c>
      <c r="E91" s="11">
        <v>548</v>
      </c>
      <c r="F91" s="11">
        <v>548</v>
      </c>
      <c r="G91" s="11"/>
      <c r="H91" s="11"/>
      <c r="I91" s="11"/>
      <c r="J91" s="11"/>
      <c r="K91" s="11"/>
    </row>
    <row r="92" spans="1:11" s="1" customFormat="1">
      <c r="A92" s="12" t="s">
        <v>909</v>
      </c>
      <c r="B92" s="12" t="s">
        <v>910</v>
      </c>
      <c r="C92" s="299" t="s">
        <v>210</v>
      </c>
      <c r="D92" s="11">
        <v>950</v>
      </c>
      <c r="E92" s="11">
        <v>969</v>
      </c>
      <c r="F92" s="11">
        <v>969</v>
      </c>
      <c r="G92" s="11"/>
      <c r="H92" s="11"/>
      <c r="I92" s="11"/>
      <c r="J92" s="11"/>
      <c r="K92" s="11"/>
    </row>
    <row r="93" spans="1:11" s="1" customFormat="1">
      <c r="A93" s="12" t="s">
        <v>911</v>
      </c>
      <c r="B93" s="12" t="s">
        <v>912</v>
      </c>
      <c r="C93" s="299" t="s">
        <v>210</v>
      </c>
      <c r="D93" s="11">
        <v>931</v>
      </c>
      <c r="E93" s="11">
        <v>931</v>
      </c>
      <c r="F93" s="11">
        <v>931</v>
      </c>
      <c r="G93" s="11"/>
      <c r="H93" s="11"/>
      <c r="I93" s="11"/>
      <c r="J93" s="11"/>
      <c r="K93" s="11"/>
    </row>
    <row r="94" spans="1:11" s="1" customFormat="1">
      <c r="A94" s="12" t="s">
        <v>913</v>
      </c>
      <c r="B94" s="12" t="s">
        <v>914</v>
      </c>
      <c r="C94" s="299" t="s">
        <v>210</v>
      </c>
      <c r="D94" s="11">
        <v>988</v>
      </c>
      <c r="E94" s="11">
        <v>988</v>
      </c>
      <c r="F94" s="11">
        <v>988</v>
      </c>
      <c r="G94" s="11"/>
      <c r="H94" s="11"/>
      <c r="I94" s="11"/>
      <c r="J94" s="11"/>
      <c r="K94" s="11"/>
    </row>
    <row r="95" spans="1:11" s="1" customFormat="1">
      <c r="A95" s="12" t="s">
        <v>915</v>
      </c>
      <c r="B95" s="12" t="s">
        <v>916</v>
      </c>
      <c r="C95" s="299" t="s">
        <v>210</v>
      </c>
      <c r="D95" s="11">
        <v>1848</v>
      </c>
      <c r="E95" s="11">
        <v>1855</v>
      </c>
      <c r="F95" s="11">
        <v>1855</v>
      </c>
      <c r="G95" s="11"/>
      <c r="H95" s="11"/>
      <c r="I95" s="11"/>
      <c r="J95" s="11"/>
      <c r="K95" s="11"/>
    </row>
    <row r="96" spans="1:11" s="1" customFormat="1">
      <c r="A96" s="12" t="s">
        <v>917</v>
      </c>
      <c r="B96" s="12" t="s">
        <v>918</v>
      </c>
      <c r="C96" s="299" t="s">
        <v>210</v>
      </c>
      <c r="D96" s="11">
        <v>1812</v>
      </c>
      <c r="E96" s="11">
        <v>1812</v>
      </c>
      <c r="F96" s="11">
        <v>1812</v>
      </c>
      <c r="G96" s="11"/>
      <c r="H96" s="11"/>
      <c r="I96" s="11"/>
      <c r="J96" s="11"/>
      <c r="K96" s="11"/>
    </row>
    <row r="97" spans="1:11" s="1" customFormat="1">
      <c r="A97" s="12" t="s">
        <v>919</v>
      </c>
      <c r="B97" s="12" t="s">
        <v>920</v>
      </c>
      <c r="C97" s="299" t="s">
        <v>210</v>
      </c>
      <c r="D97" s="11">
        <v>1923</v>
      </c>
      <c r="E97" s="11">
        <v>1923</v>
      </c>
      <c r="F97" s="11">
        <v>1923</v>
      </c>
      <c r="G97" s="11"/>
      <c r="H97" s="11"/>
      <c r="I97" s="11"/>
      <c r="J97" s="11"/>
      <c r="K97" s="11"/>
    </row>
    <row r="98" spans="1:11" s="1" customFormat="1">
      <c r="B98" s="18"/>
      <c r="C98" s="296"/>
      <c r="D98" s="7"/>
      <c r="E98" s="7"/>
      <c r="F98" s="7"/>
      <c r="G98" s="417"/>
    </row>
    <row r="99" spans="1:11">
      <c r="A99" s="273"/>
      <c r="B99" s="284" t="s">
        <v>278</v>
      </c>
      <c r="C99" s="295"/>
      <c r="D99" s="7"/>
      <c r="E99" s="7"/>
      <c r="F99" s="7"/>
      <c r="G99" s="417"/>
      <c r="H99" s="417"/>
      <c r="I99" s="417"/>
      <c r="J99" s="417"/>
      <c r="K99" s="417"/>
    </row>
    <row r="100" spans="1:11">
      <c r="A100" s="12" t="s">
        <v>921</v>
      </c>
      <c r="B100" s="283" t="s">
        <v>280</v>
      </c>
      <c r="C100" s="294" t="s">
        <v>210</v>
      </c>
      <c r="D100" s="41">
        <v>0.51880000000000004</v>
      </c>
      <c r="E100" s="41">
        <v>0.5292</v>
      </c>
      <c r="F100" s="41">
        <v>0.5292</v>
      </c>
      <c r="G100" s="41"/>
      <c r="H100" s="41"/>
      <c r="I100" s="41"/>
      <c r="J100" s="41"/>
      <c r="K100" s="41"/>
    </row>
    <row r="101" spans="1:11">
      <c r="A101" s="12" t="s">
        <v>922</v>
      </c>
      <c r="B101" s="12" t="s">
        <v>923</v>
      </c>
      <c r="C101" s="294" t="s">
        <v>210</v>
      </c>
      <c r="D101" s="41">
        <v>0.51880000000000004</v>
      </c>
      <c r="E101" s="41">
        <v>0.5292</v>
      </c>
      <c r="F101" s="41">
        <v>0.5292</v>
      </c>
      <c r="G101" s="41"/>
      <c r="H101" s="41"/>
      <c r="I101" s="41"/>
      <c r="J101" s="41"/>
      <c r="K101" s="41"/>
    </row>
    <row r="102" spans="1:11">
      <c r="A102" s="12" t="s">
        <v>924</v>
      </c>
      <c r="B102" s="12" t="s">
        <v>925</v>
      </c>
      <c r="C102" s="294" t="s">
        <v>210</v>
      </c>
      <c r="D102" s="41">
        <v>0.50860000000000005</v>
      </c>
      <c r="E102" s="41">
        <v>0.50860000000000005</v>
      </c>
      <c r="F102" s="41">
        <v>0.50860000000000005</v>
      </c>
      <c r="G102" s="41"/>
      <c r="H102" s="41"/>
      <c r="I102" s="41"/>
      <c r="J102" s="41"/>
      <c r="K102" s="41"/>
    </row>
    <row r="103" spans="1:11">
      <c r="A103" s="12" t="s">
        <v>926</v>
      </c>
      <c r="B103" s="12" t="s">
        <v>927</v>
      </c>
      <c r="C103" s="294" t="s">
        <v>210</v>
      </c>
      <c r="D103" s="41">
        <v>0.53979999999999995</v>
      </c>
      <c r="E103" s="41">
        <v>0.53979999999999995</v>
      </c>
      <c r="F103" s="41">
        <v>0.53979999999999995</v>
      </c>
      <c r="G103" s="41"/>
      <c r="H103" s="41"/>
      <c r="I103" s="41"/>
      <c r="J103" s="41"/>
      <c r="K103" s="41"/>
    </row>
    <row r="104" spans="1:11">
      <c r="B104" s="15"/>
      <c r="C104" s="290"/>
      <c r="D104" s="418"/>
      <c r="E104" s="7"/>
      <c r="F104" s="7"/>
      <c r="G104" s="417"/>
      <c r="H104" s="417"/>
      <c r="I104" s="417"/>
      <c r="J104" s="417"/>
      <c r="K104" s="417"/>
    </row>
    <row r="105" spans="1:11">
      <c r="A105" s="273"/>
      <c r="B105" s="284" t="s">
        <v>928</v>
      </c>
      <c r="C105" s="295"/>
      <c r="D105" s="418"/>
      <c r="E105" s="7"/>
      <c r="F105" s="7"/>
      <c r="G105" s="417"/>
      <c r="H105" s="417"/>
      <c r="I105" s="417"/>
      <c r="J105" s="417"/>
      <c r="K105" s="417"/>
    </row>
    <row r="106" spans="1:11">
      <c r="A106" s="12" t="s">
        <v>929</v>
      </c>
      <c r="B106" s="283" t="s">
        <v>252</v>
      </c>
      <c r="C106" s="289" t="s">
        <v>210</v>
      </c>
      <c r="D106" s="41">
        <v>0.70520000000000005</v>
      </c>
      <c r="E106" s="41">
        <v>0.71930000000000005</v>
      </c>
      <c r="F106" s="41">
        <v>0.71930000000000005</v>
      </c>
      <c r="G106" s="41"/>
      <c r="H106" s="41"/>
      <c r="I106" s="41"/>
      <c r="J106" s="41"/>
      <c r="K106" s="41"/>
    </row>
    <row r="107" spans="1:11">
      <c r="A107" s="12" t="s">
        <v>930</v>
      </c>
      <c r="B107" s="12" t="s">
        <v>255</v>
      </c>
      <c r="C107" s="289" t="s">
        <v>210</v>
      </c>
      <c r="D107" s="41">
        <v>0.70520000000000005</v>
      </c>
      <c r="E107" s="41">
        <v>0.71930000000000005</v>
      </c>
      <c r="F107" s="41">
        <v>0.71930000000000005</v>
      </c>
      <c r="G107" s="41"/>
      <c r="H107" s="41"/>
      <c r="I107" s="41"/>
      <c r="J107" s="41"/>
      <c r="K107" s="41"/>
    </row>
    <row r="108" spans="1:11">
      <c r="A108" s="12" t="s">
        <v>931</v>
      </c>
      <c r="B108" s="12" t="s">
        <v>1739</v>
      </c>
      <c r="C108" s="289" t="s">
        <v>210</v>
      </c>
      <c r="D108" s="41">
        <v>0.70520000000000005</v>
      </c>
      <c r="E108" s="41">
        <v>0.71930000000000005</v>
      </c>
      <c r="F108" s="41">
        <v>0.71930000000000005</v>
      </c>
      <c r="G108" s="41"/>
      <c r="H108" s="41"/>
      <c r="I108" s="41"/>
      <c r="J108" s="41"/>
      <c r="K108" s="41"/>
    </row>
    <row r="109" spans="1:11">
      <c r="A109" s="12" t="s">
        <v>932</v>
      </c>
      <c r="B109" s="12" t="s">
        <v>1740</v>
      </c>
      <c r="C109" s="289" t="s">
        <v>210</v>
      </c>
      <c r="D109" s="41">
        <v>0.59589999999999999</v>
      </c>
      <c r="E109" s="41">
        <v>0.60780000000000001</v>
      </c>
      <c r="F109" s="41">
        <v>0.60780000000000001</v>
      </c>
      <c r="G109" s="41"/>
      <c r="H109" s="41"/>
      <c r="I109" s="41"/>
      <c r="J109" s="41"/>
      <c r="K109" s="41"/>
    </row>
    <row r="110" spans="1:11">
      <c r="A110" s="12" t="s">
        <v>933</v>
      </c>
      <c r="B110" s="12" t="s">
        <v>262</v>
      </c>
      <c r="C110" s="289" t="s">
        <v>210</v>
      </c>
      <c r="D110" s="41">
        <v>0.36570000000000003</v>
      </c>
      <c r="E110" s="41">
        <v>0.373</v>
      </c>
      <c r="F110" s="41">
        <v>0.373</v>
      </c>
      <c r="G110" s="41"/>
      <c r="H110" s="41"/>
      <c r="I110" s="41"/>
      <c r="J110" s="41"/>
      <c r="K110" s="41"/>
    </row>
    <row r="111" spans="1:11">
      <c r="C111" s="297"/>
      <c r="D111" s="418"/>
      <c r="E111" s="7"/>
      <c r="F111" s="7"/>
      <c r="G111" s="417"/>
      <c r="H111" s="417"/>
      <c r="I111" s="417"/>
      <c r="J111" s="417"/>
      <c r="K111" s="417"/>
    </row>
    <row r="112" spans="1:11">
      <c r="A112" s="273"/>
      <c r="B112" s="284" t="s">
        <v>934</v>
      </c>
      <c r="C112" s="295"/>
      <c r="D112" s="418"/>
      <c r="E112" s="7"/>
      <c r="F112" s="7"/>
      <c r="G112" s="417"/>
      <c r="H112" s="417"/>
      <c r="I112" s="417"/>
      <c r="J112" s="417"/>
      <c r="K112" s="417"/>
    </row>
    <row r="113" spans="1:11">
      <c r="A113" s="12" t="s">
        <v>935</v>
      </c>
      <c r="B113" s="283" t="s">
        <v>252</v>
      </c>
      <c r="C113" s="289" t="s">
        <v>210</v>
      </c>
      <c r="D113" s="41">
        <v>0.69140000000000001</v>
      </c>
      <c r="E113" s="41">
        <v>0.69140000000000001</v>
      </c>
      <c r="F113" s="41">
        <v>0.69140000000000001</v>
      </c>
      <c r="G113" s="41"/>
      <c r="H113" s="41"/>
      <c r="I113" s="41"/>
      <c r="J113" s="41"/>
      <c r="K113" s="41"/>
    </row>
    <row r="114" spans="1:11">
      <c r="A114" s="12" t="s">
        <v>936</v>
      </c>
      <c r="B114" s="12" t="s">
        <v>255</v>
      </c>
      <c r="C114" s="289" t="s">
        <v>210</v>
      </c>
      <c r="D114" s="41">
        <v>0.69140000000000001</v>
      </c>
      <c r="E114" s="41">
        <v>0.69140000000000001</v>
      </c>
      <c r="F114" s="41">
        <v>0.69140000000000001</v>
      </c>
      <c r="G114" s="41"/>
      <c r="H114" s="41"/>
      <c r="I114" s="41"/>
      <c r="J114" s="41"/>
      <c r="K114" s="41"/>
    </row>
    <row r="115" spans="1:11">
      <c r="A115" s="12" t="s">
        <v>937</v>
      </c>
      <c r="B115" s="12" t="s">
        <v>1739</v>
      </c>
      <c r="C115" s="289" t="s">
        <v>210</v>
      </c>
      <c r="D115" s="41">
        <v>0.69140000000000001</v>
      </c>
      <c r="E115" s="41">
        <v>0.69140000000000001</v>
      </c>
      <c r="F115" s="41">
        <v>0.69140000000000001</v>
      </c>
      <c r="G115" s="41"/>
      <c r="H115" s="41"/>
      <c r="I115" s="41"/>
      <c r="J115" s="41"/>
      <c r="K115" s="41"/>
    </row>
    <row r="116" spans="1:11">
      <c r="A116" s="12" t="s">
        <v>938</v>
      </c>
      <c r="B116" s="12" t="s">
        <v>1740</v>
      </c>
      <c r="C116" s="289" t="s">
        <v>210</v>
      </c>
      <c r="D116" s="41">
        <v>0.58420000000000005</v>
      </c>
      <c r="E116" s="41">
        <v>0.58420000000000005</v>
      </c>
      <c r="F116" s="41">
        <v>0.58420000000000005</v>
      </c>
      <c r="G116" s="41"/>
      <c r="H116" s="41"/>
      <c r="I116" s="41"/>
      <c r="J116" s="41"/>
      <c r="K116" s="41"/>
    </row>
    <row r="117" spans="1:11">
      <c r="A117" s="12" t="s">
        <v>939</v>
      </c>
      <c r="B117" s="12" t="s">
        <v>262</v>
      </c>
      <c r="C117" s="289" t="s">
        <v>210</v>
      </c>
      <c r="D117" s="41">
        <v>0.35849999999999999</v>
      </c>
      <c r="E117" s="41">
        <v>0.35849999999999999</v>
      </c>
      <c r="F117" s="41">
        <v>0.35849999999999999</v>
      </c>
      <c r="G117" s="41"/>
      <c r="H117" s="41"/>
      <c r="I117" s="41"/>
      <c r="J117" s="41"/>
      <c r="K117" s="41"/>
    </row>
    <row r="118" spans="1:11">
      <c r="C118" s="297"/>
      <c r="D118" s="418"/>
      <c r="E118" s="418"/>
      <c r="F118" s="418"/>
      <c r="G118" s="417"/>
      <c r="H118" s="417"/>
      <c r="I118" s="417"/>
      <c r="J118" s="417"/>
      <c r="K118" s="417"/>
    </row>
    <row r="119" spans="1:11">
      <c r="A119" s="273"/>
      <c r="B119" s="284" t="s">
        <v>940</v>
      </c>
      <c r="C119" s="295"/>
      <c r="D119" s="418"/>
      <c r="E119" s="7"/>
      <c r="F119" s="7"/>
      <c r="G119" s="417"/>
      <c r="H119" s="417"/>
      <c r="I119" s="417"/>
      <c r="J119" s="417"/>
      <c r="K119" s="417"/>
    </row>
    <row r="120" spans="1:11">
      <c r="A120" s="12" t="s">
        <v>941</v>
      </c>
      <c r="B120" s="283" t="s">
        <v>252</v>
      </c>
      <c r="C120" s="289" t="s">
        <v>210</v>
      </c>
      <c r="D120" s="41">
        <v>0.73370000000000002</v>
      </c>
      <c r="E120" s="41">
        <v>0.73370000000000002</v>
      </c>
      <c r="F120" s="41">
        <v>0.73370000000000002</v>
      </c>
      <c r="G120" s="41"/>
      <c r="H120" s="41"/>
      <c r="I120" s="41"/>
      <c r="J120" s="41"/>
      <c r="K120" s="41"/>
    </row>
    <row r="121" spans="1:11">
      <c r="A121" s="12" t="s">
        <v>942</v>
      </c>
      <c r="B121" s="12" t="s">
        <v>255</v>
      </c>
      <c r="C121" s="289" t="s">
        <v>210</v>
      </c>
      <c r="D121" s="41">
        <v>0.73370000000000002</v>
      </c>
      <c r="E121" s="41">
        <v>0.73370000000000002</v>
      </c>
      <c r="F121" s="41">
        <v>0.73370000000000002</v>
      </c>
      <c r="G121" s="41"/>
      <c r="H121" s="41"/>
      <c r="I121" s="41"/>
      <c r="J121" s="41"/>
      <c r="K121" s="41"/>
    </row>
    <row r="122" spans="1:11">
      <c r="A122" s="12" t="s">
        <v>943</v>
      </c>
      <c r="B122" s="12" t="s">
        <v>1739</v>
      </c>
      <c r="C122" s="289" t="s">
        <v>210</v>
      </c>
      <c r="D122" s="41">
        <v>0.73370000000000002</v>
      </c>
      <c r="E122" s="41">
        <v>0.73370000000000002</v>
      </c>
      <c r="F122" s="41">
        <v>0.73370000000000002</v>
      </c>
      <c r="G122" s="41"/>
      <c r="H122" s="41"/>
      <c r="I122" s="41"/>
      <c r="J122" s="41"/>
      <c r="K122" s="41"/>
    </row>
    <row r="123" spans="1:11">
      <c r="A123" s="12" t="s">
        <v>944</v>
      </c>
      <c r="B123" s="12" t="s">
        <v>1740</v>
      </c>
      <c r="C123" s="289" t="s">
        <v>210</v>
      </c>
      <c r="D123" s="41">
        <v>0.62</v>
      </c>
      <c r="E123" s="41">
        <v>0.62</v>
      </c>
      <c r="F123" s="41">
        <v>0.62</v>
      </c>
      <c r="G123" s="41"/>
      <c r="H123" s="41"/>
      <c r="I123" s="41"/>
      <c r="J123" s="41"/>
      <c r="K123" s="41"/>
    </row>
    <row r="124" spans="1:11">
      <c r="A124" s="12" t="s">
        <v>945</v>
      </c>
      <c r="B124" s="12" t="s">
        <v>262</v>
      </c>
      <c r="C124" s="289" t="s">
        <v>210</v>
      </c>
      <c r="D124" s="41">
        <v>0.3805</v>
      </c>
      <c r="E124" s="41">
        <v>0.3805</v>
      </c>
      <c r="F124" s="41">
        <v>0.3805</v>
      </c>
      <c r="G124" s="41"/>
      <c r="H124" s="41"/>
      <c r="I124" s="41"/>
      <c r="J124" s="41"/>
      <c r="K124" s="41"/>
    </row>
    <row r="125" spans="1:11">
      <c r="C125" s="297"/>
      <c r="D125" s="7"/>
      <c r="E125" s="7"/>
      <c r="F125" s="7"/>
      <c r="G125" s="417"/>
      <c r="H125" s="417"/>
      <c r="I125" s="417"/>
      <c r="J125" s="417"/>
      <c r="K125" s="417"/>
    </row>
    <row r="126" spans="1:11">
      <c r="A126" s="273"/>
      <c r="B126" s="284" t="s">
        <v>296</v>
      </c>
      <c r="C126" s="295"/>
      <c r="D126" s="7"/>
      <c r="E126" s="7"/>
      <c r="F126" s="7"/>
      <c r="G126" s="417"/>
      <c r="H126" s="417"/>
      <c r="I126" s="417"/>
      <c r="J126" s="417"/>
      <c r="K126" s="417"/>
    </row>
    <row r="127" spans="1:11">
      <c r="A127" s="12" t="s">
        <v>946</v>
      </c>
      <c r="B127" s="23" t="s">
        <v>298</v>
      </c>
      <c r="C127" s="300" t="s">
        <v>210</v>
      </c>
      <c r="D127" s="11">
        <v>6279</v>
      </c>
      <c r="E127" s="11">
        <v>6077</v>
      </c>
      <c r="F127" s="11">
        <v>6263.5839312038988</v>
      </c>
      <c r="G127" s="11"/>
      <c r="H127" s="11"/>
      <c r="I127" s="11"/>
      <c r="J127" s="11"/>
      <c r="K127" s="11"/>
    </row>
    <row r="128" spans="1:11">
      <c r="A128" s="12" t="s">
        <v>947</v>
      </c>
      <c r="B128" s="19" t="s">
        <v>301</v>
      </c>
      <c r="C128" s="300" t="s">
        <v>210</v>
      </c>
      <c r="D128" s="11">
        <v>-15.9</v>
      </c>
      <c r="E128" s="11">
        <v>-16.235199999999999</v>
      </c>
      <c r="F128" s="11">
        <v>-16.235199999999999</v>
      </c>
      <c r="G128" s="11"/>
      <c r="H128" s="11"/>
      <c r="I128" s="11"/>
      <c r="J128" s="11"/>
      <c r="K128" s="11"/>
    </row>
    <row r="129" spans="1:11">
      <c r="C129" s="297"/>
      <c r="D129" s="7"/>
      <c r="E129" s="7"/>
      <c r="F129" s="7"/>
      <c r="G129" s="417"/>
      <c r="H129" s="417"/>
      <c r="I129" s="417"/>
      <c r="J129" s="417"/>
      <c r="K129" s="417"/>
    </row>
    <row r="130" spans="1:11">
      <c r="A130" s="273"/>
      <c r="B130" s="284" t="s">
        <v>303</v>
      </c>
      <c r="C130" s="295"/>
      <c r="D130" s="7"/>
      <c r="E130" s="7"/>
      <c r="F130" s="7"/>
      <c r="G130" s="417"/>
      <c r="H130" s="417"/>
      <c r="I130" s="417"/>
      <c r="J130" s="417"/>
      <c r="K130" s="417"/>
    </row>
    <row r="131" spans="1:11">
      <c r="A131" s="12" t="s">
        <v>948</v>
      </c>
      <c r="B131" s="23" t="s">
        <v>305</v>
      </c>
      <c r="C131" s="294" t="s">
        <v>160</v>
      </c>
      <c r="D131" s="6">
        <v>1421224.6712328778</v>
      </c>
      <c r="E131" s="6">
        <v>1427495.2531876187</v>
      </c>
      <c r="F131" s="6">
        <f>SUMPRODUCT(F23:F37,F83:F97)</f>
        <v>1407713.6921675771</v>
      </c>
      <c r="G131" s="6">
        <f t="shared" ref="G131:I131" si="24">SUMPRODUCT(G23:G37,G83:G97)</f>
        <v>0</v>
      </c>
      <c r="H131" s="6">
        <f t="shared" si="24"/>
        <v>0</v>
      </c>
      <c r="I131" s="6">
        <f t="shared" si="24"/>
        <v>0</v>
      </c>
      <c r="J131" s="6">
        <f>SUMPRODUCT(J23:J37,J83:J97)</f>
        <v>0</v>
      </c>
      <c r="K131" s="6">
        <f t="shared" ref="K131" si="25">SUMPRODUCT(K23:K37,K83:K97)</f>
        <v>0</v>
      </c>
    </row>
    <row r="132" spans="1:11">
      <c r="A132" s="12" t="s">
        <v>949</v>
      </c>
      <c r="B132" s="4" t="s">
        <v>308</v>
      </c>
      <c r="C132" s="294" t="s">
        <v>160</v>
      </c>
      <c r="D132" s="42">
        <v>524235.14061204647</v>
      </c>
      <c r="E132" s="42">
        <v>475831.87655466254</v>
      </c>
      <c r="F132" s="42">
        <f>((F41+F44+F47+F50+F53)*F101)+((F42+F45+F48+F51+F54)*F102)+((F43+F46+F49+F52+F55)*F103)</f>
        <v>526782.83657300647</v>
      </c>
      <c r="G132" s="42">
        <f t="shared" ref="G132:I132" si="26">((G41+G44+G47+G50+G53)*G101)+((G42+G45+G48+G51+G54)*G102)+((G43+G46+G49+G52+G55)*G103)</f>
        <v>0</v>
      </c>
      <c r="H132" s="42">
        <f t="shared" si="26"/>
        <v>0</v>
      </c>
      <c r="I132" s="42">
        <f t="shared" si="26"/>
        <v>0</v>
      </c>
      <c r="J132" s="42">
        <f t="shared" ref="J132:K132" si="27">((J41+J44+J47+J50+J53)*J101)+((J42+J45+J48+J51+J54)*J102)+((J43+J46+J49+J52+J55)*J103)</f>
        <v>0</v>
      </c>
      <c r="K132" s="42">
        <f t="shared" si="27"/>
        <v>0</v>
      </c>
    </row>
    <row r="133" spans="1:11">
      <c r="A133" s="12" t="s">
        <v>950</v>
      </c>
      <c r="B133" s="19" t="s">
        <v>311</v>
      </c>
      <c r="C133" s="294" t="s">
        <v>160</v>
      </c>
      <c r="D133" s="42">
        <v>3153711.4353914</v>
      </c>
      <c r="E133" s="42">
        <v>3160582.8165229848</v>
      </c>
      <c r="F133" s="42">
        <f>SUMPRODUCT(F59:F61,F106:F108)+SUMPRODUCT(F67:F69,F113:F115)+SUMPRODUCT(F75:F79,F120:F124)</f>
        <v>3165591.8995242296</v>
      </c>
      <c r="G133" s="42">
        <f t="shared" ref="G133:I133" si="28">SUMPRODUCT(G59:G61,G106:G108)+SUMPRODUCT(G67:G69,G113:G115)+SUMPRODUCT(G75:G79,G120:G124)</f>
        <v>0</v>
      </c>
      <c r="H133" s="42">
        <f t="shared" si="28"/>
        <v>0</v>
      </c>
      <c r="I133" s="42">
        <f t="shared" si="28"/>
        <v>0</v>
      </c>
      <c r="J133" s="42">
        <f t="shared" ref="J133:K133" si="29">SUMPRODUCT(J59:J61,J106:J108)+SUMPRODUCT(J67:J69,J113:J115)+SUMPRODUCT(J75:J79,J120:J124)</f>
        <v>0</v>
      </c>
      <c r="K133" s="42">
        <f t="shared" si="29"/>
        <v>0</v>
      </c>
    </row>
    <row r="134" spans="1:11">
      <c r="A134" s="12" t="s">
        <v>951</v>
      </c>
      <c r="B134" s="19" t="s">
        <v>314</v>
      </c>
      <c r="C134" s="294" t="s">
        <v>160</v>
      </c>
      <c r="D134" s="6">
        <f>+D128*D127</f>
        <v>-99836.1</v>
      </c>
      <c r="E134" s="6">
        <f>+E128*E127</f>
        <v>-98661.310399999988</v>
      </c>
      <c r="F134" s="6">
        <f>+F128*F127</f>
        <v>-101690.53783988154</v>
      </c>
      <c r="G134" s="6">
        <f t="shared" ref="G134:I134" si="30">+G128*G127</f>
        <v>0</v>
      </c>
      <c r="H134" s="6">
        <f t="shared" si="30"/>
        <v>0</v>
      </c>
      <c r="I134" s="6">
        <f t="shared" si="30"/>
        <v>0</v>
      </c>
      <c r="J134" s="6">
        <f t="shared" ref="J134:K134" si="31">+J128*J127</f>
        <v>0</v>
      </c>
      <c r="K134" s="6">
        <f t="shared" si="31"/>
        <v>0</v>
      </c>
    </row>
    <row r="135" spans="1:11">
      <c r="A135" s="12" t="s">
        <v>952</v>
      </c>
      <c r="B135" s="19" t="s">
        <v>176</v>
      </c>
      <c r="C135" s="294" t="s">
        <v>160</v>
      </c>
      <c r="D135" s="6">
        <f>SUM(D131:D134)</f>
        <v>4999335.1472363248</v>
      </c>
      <c r="E135" s="6">
        <f>SUM(E131:E134)</f>
        <v>4965248.6358652664</v>
      </c>
      <c r="F135" s="6">
        <f>SUM(F131:F134)</f>
        <v>4998397.8904249324</v>
      </c>
      <c r="G135" s="6">
        <f t="shared" ref="G135:I135" si="32">SUM(G131:G134)</f>
        <v>0</v>
      </c>
      <c r="H135" s="6">
        <f t="shared" si="32"/>
        <v>0</v>
      </c>
      <c r="I135" s="6">
        <f t="shared" si="32"/>
        <v>0</v>
      </c>
      <c r="J135" s="6">
        <f t="shared" ref="J135:K135" si="33">SUM(J131:J134)</f>
        <v>0</v>
      </c>
      <c r="K135" s="6">
        <f t="shared" si="33"/>
        <v>0</v>
      </c>
    </row>
    <row r="136" spans="1:11">
      <c r="C136" s="290"/>
      <c r="D136" s="8"/>
      <c r="E136" s="8"/>
      <c r="F136" s="8"/>
      <c r="G136" s="417"/>
      <c r="H136" s="417"/>
      <c r="I136" s="417"/>
      <c r="J136" s="417"/>
      <c r="K136" s="417"/>
    </row>
    <row r="137" spans="1:11">
      <c r="A137" s="273"/>
      <c r="B137" s="284" t="s">
        <v>318</v>
      </c>
      <c r="C137" s="290"/>
      <c r="D137" s="8"/>
      <c r="E137" s="8"/>
      <c r="F137" s="8"/>
      <c r="G137" s="417"/>
      <c r="H137" s="417"/>
      <c r="I137" s="417"/>
      <c r="J137" s="417"/>
      <c r="K137" s="417"/>
    </row>
    <row r="138" spans="1:11">
      <c r="A138" s="12" t="s">
        <v>953</v>
      </c>
      <c r="B138" s="285" t="s">
        <v>320</v>
      </c>
      <c r="C138" s="289" t="s">
        <v>210</v>
      </c>
      <c r="D138" s="11">
        <v>536618.4593999997</v>
      </c>
      <c r="E138" s="11">
        <v>504763.90789999889</v>
      </c>
      <c r="F138" s="11">
        <v>517226.33610000124</v>
      </c>
      <c r="G138" s="11"/>
      <c r="H138" s="11"/>
      <c r="I138" s="11"/>
      <c r="J138" s="11"/>
      <c r="K138" s="11"/>
    </row>
    <row r="139" spans="1:11">
      <c r="A139" s="12" t="s">
        <v>954</v>
      </c>
      <c r="B139" s="20" t="s">
        <v>323</v>
      </c>
      <c r="C139" s="294" t="s">
        <v>160</v>
      </c>
      <c r="D139" s="6"/>
      <c r="E139" s="35">
        <f>E138/E135</f>
        <v>0.10165934174050409</v>
      </c>
      <c r="F139" s="35">
        <f>F138/F135</f>
        <v>0.10347842397477283</v>
      </c>
      <c r="G139" s="35" t="e">
        <f t="shared" ref="G139:I139" si="34">G138/G135</f>
        <v>#DIV/0!</v>
      </c>
      <c r="H139" s="35" t="e">
        <f t="shared" si="34"/>
        <v>#DIV/0!</v>
      </c>
      <c r="I139" s="35" t="e">
        <f t="shared" si="34"/>
        <v>#DIV/0!</v>
      </c>
      <c r="J139" s="35" t="e">
        <f t="shared" ref="J139:K139" si="35">J138/J135</f>
        <v>#DIV/0!</v>
      </c>
      <c r="K139" s="35" t="e">
        <f t="shared" si="35"/>
        <v>#DIV/0!</v>
      </c>
    </row>
    <row r="140" spans="1:11">
      <c r="A140" s="12" t="s">
        <v>955</v>
      </c>
      <c r="B140" s="20" t="s">
        <v>326</v>
      </c>
      <c r="C140" s="289" t="s">
        <v>210</v>
      </c>
      <c r="D140" s="11">
        <v>263240.9693000007</v>
      </c>
      <c r="E140" s="11">
        <f>256325.61</f>
        <v>256325.61</v>
      </c>
      <c r="F140" s="11">
        <v>247105.75440000131</v>
      </c>
      <c r="G140" s="11"/>
      <c r="H140" s="11"/>
      <c r="I140" s="11"/>
      <c r="J140" s="11"/>
      <c r="K140" s="11"/>
    </row>
    <row r="141" spans="1:11">
      <c r="A141" s="12" t="s">
        <v>956</v>
      </c>
      <c r="B141" s="20" t="s">
        <v>329</v>
      </c>
      <c r="C141" s="294" t="s">
        <v>160</v>
      </c>
      <c r="D141" s="6"/>
      <c r="E141" s="35">
        <f>E140/E135</f>
        <v>5.1623922344692721E-2</v>
      </c>
      <c r="F141" s="35">
        <f>F140/F135</f>
        <v>4.9436991575513393E-2</v>
      </c>
      <c r="G141" s="35" t="e">
        <f t="shared" ref="G141:I141" si="36">G140/G135</f>
        <v>#DIV/0!</v>
      </c>
      <c r="H141" s="35" t="e">
        <f t="shared" si="36"/>
        <v>#DIV/0!</v>
      </c>
      <c r="I141" s="35" t="e">
        <f t="shared" si="36"/>
        <v>#DIV/0!</v>
      </c>
      <c r="J141" s="35" t="e">
        <f t="shared" ref="J141:K141" si="37">J140/J135</f>
        <v>#DIV/0!</v>
      </c>
      <c r="K141" s="35" t="e">
        <f t="shared" si="37"/>
        <v>#DIV/0!</v>
      </c>
    </row>
    <row r="142" spans="1:11">
      <c r="A142" s="12" t="s">
        <v>957</v>
      </c>
      <c r="B142" s="20" t="s">
        <v>332</v>
      </c>
      <c r="C142" s="289" t="s">
        <v>210</v>
      </c>
      <c r="D142" s="11">
        <v>29177.489000000063</v>
      </c>
      <c r="E142" s="11">
        <v>24719.813699999962</v>
      </c>
      <c r="F142" s="11">
        <v>24312.415100000006</v>
      </c>
      <c r="G142" s="11"/>
      <c r="H142" s="11"/>
      <c r="I142" s="11"/>
      <c r="J142" s="11"/>
      <c r="K142" s="11"/>
    </row>
    <row r="143" spans="1:11">
      <c r="A143" s="12" t="s">
        <v>958</v>
      </c>
      <c r="B143" s="20" t="s">
        <v>335</v>
      </c>
      <c r="C143" s="294" t="s">
        <v>160</v>
      </c>
      <c r="D143" s="6"/>
      <c r="E143" s="6">
        <v>5.3670598474939907E-2</v>
      </c>
      <c r="F143" s="39">
        <f>+F142/F135</f>
        <v>4.864041565513128E-3</v>
      </c>
      <c r="G143" s="39" t="e">
        <f t="shared" ref="G143:I143" si="38">+G142/G135</f>
        <v>#DIV/0!</v>
      </c>
      <c r="H143" s="39" t="e">
        <f t="shared" si="38"/>
        <v>#DIV/0!</v>
      </c>
      <c r="I143" s="39" t="e">
        <f t="shared" si="38"/>
        <v>#DIV/0!</v>
      </c>
      <c r="J143" s="39" t="e">
        <f t="shared" ref="J143:K143" si="39">+J142/J135</f>
        <v>#DIV/0!</v>
      </c>
      <c r="K143" s="39" t="e">
        <f t="shared" si="39"/>
        <v>#DIV/0!</v>
      </c>
    </row>
    <row r="144" spans="1:11">
      <c r="C144" s="297"/>
      <c r="D144" s="7"/>
      <c r="E144" s="7"/>
      <c r="F144" s="7"/>
      <c r="G144" s="417"/>
      <c r="H144" s="417"/>
      <c r="I144" s="417"/>
      <c r="J144" s="417"/>
      <c r="K144" s="417"/>
    </row>
    <row r="145" spans="1:11" ht="18">
      <c r="B145" s="2" t="s">
        <v>336</v>
      </c>
      <c r="C145" s="291"/>
      <c r="D145" s="7"/>
      <c r="E145" s="7"/>
      <c r="F145" s="7"/>
      <c r="G145" s="417"/>
      <c r="H145" s="417"/>
      <c r="I145" s="417"/>
      <c r="J145" s="417"/>
      <c r="K145" s="417"/>
    </row>
    <row r="146" spans="1:11">
      <c r="A146" s="273"/>
      <c r="B146" s="163" t="s">
        <v>337</v>
      </c>
      <c r="C146" s="26" t="s">
        <v>152</v>
      </c>
      <c r="D146" s="26" t="str">
        <f>+$D$10</f>
        <v>2018-19 RF</v>
      </c>
      <c r="E146" s="26" t="str">
        <f>+$E$10</f>
        <v>2019-20 monthly</v>
      </c>
      <c r="F146" s="26" t="str">
        <f>+$F$10</f>
        <v>2019-20 RF</v>
      </c>
      <c r="G146" s="26" t="s">
        <v>807</v>
      </c>
      <c r="H146" s="26" t="s">
        <v>18</v>
      </c>
      <c r="I146" s="26" t="s">
        <v>808</v>
      </c>
      <c r="J146" s="26" t="s">
        <v>20</v>
      </c>
      <c r="K146" s="26" t="s">
        <v>809</v>
      </c>
    </row>
    <row r="147" spans="1:11">
      <c r="A147" s="12" t="s">
        <v>959</v>
      </c>
      <c r="B147" s="282" t="s">
        <v>209</v>
      </c>
      <c r="C147" s="293" t="s">
        <v>210</v>
      </c>
      <c r="D147" s="11">
        <v>117504.79452054796</v>
      </c>
      <c r="E147" s="11">
        <v>119903.69398907076</v>
      </c>
      <c r="F147" s="11">
        <v>119176.05737703929</v>
      </c>
      <c r="G147" s="11"/>
      <c r="H147" s="11"/>
      <c r="I147" s="11"/>
      <c r="J147" s="11"/>
      <c r="K147" s="11"/>
    </row>
    <row r="148" spans="1:11">
      <c r="A148" s="12" t="s">
        <v>960</v>
      </c>
      <c r="B148" s="12" t="s">
        <v>213</v>
      </c>
      <c r="C148" s="293" t="s">
        <v>210</v>
      </c>
      <c r="D148" s="11">
        <v>8644.5095890411194</v>
      </c>
      <c r="E148" s="11">
        <v>8596.2295081967204</v>
      </c>
      <c r="F148" s="11">
        <v>8528.8360655738288</v>
      </c>
      <c r="G148" s="11"/>
      <c r="H148" s="11"/>
      <c r="I148" s="11"/>
      <c r="J148" s="11"/>
      <c r="K148" s="11"/>
    </row>
    <row r="149" spans="1:11">
      <c r="A149" s="12" t="s">
        <v>961</v>
      </c>
      <c r="B149" s="12" t="s">
        <v>216</v>
      </c>
      <c r="C149" s="293" t="s">
        <v>210</v>
      </c>
      <c r="D149" s="11">
        <v>1743.1123287671235</v>
      </c>
      <c r="E149" s="11">
        <v>1775.4754098360659</v>
      </c>
      <c r="F149" s="11">
        <v>1762.9972677595626</v>
      </c>
      <c r="G149" s="11"/>
      <c r="H149" s="11"/>
      <c r="I149" s="11"/>
      <c r="J149" s="11"/>
      <c r="K149" s="11"/>
    </row>
    <row r="150" spans="1:11">
      <c r="A150" s="12" t="s">
        <v>962</v>
      </c>
      <c r="B150" s="12" t="s">
        <v>219</v>
      </c>
      <c r="C150" s="293" t="s">
        <v>210</v>
      </c>
      <c r="D150" s="11">
        <v>1262.3835616438355</v>
      </c>
      <c r="E150" s="11">
        <v>1252.3469945355191</v>
      </c>
      <c r="F150" s="11">
        <v>1238.6229508196734</v>
      </c>
      <c r="G150" s="11"/>
      <c r="H150" s="11"/>
      <c r="I150" s="11"/>
      <c r="J150" s="11"/>
      <c r="K150" s="11"/>
    </row>
    <row r="151" spans="1:11">
      <c r="A151" s="12" t="s">
        <v>963</v>
      </c>
      <c r="B151" s="12" t="s">
        <v>222</v>
      </c>
      <c r="C151" s="293" t="s">
        <v>210</v>
      </c>
      <c r="D151" s="11">
        <v>304.15068493150687</v>
      </c>
      <c r="E151" s="11">
        <v>302.72404371584702</v>
      </c>
      <c r="F151" s="11">
        <v>297.37158469945359</v>
      </c>
      <c r="G151" s="11"/>
      <c r="H151" s="11"/>
      <c r="I151" s="11"/>
      <c r="J151" s="11"/>
      <c r="K151" s="11"/>
    </row>
    <row r="152" spans="1:11">
      <c r="A152" s="12" t="s">
        <v>964</v>
      </c>
      <c r="B152" s="12" t="s">
        <v>349</v>
      </c>
      <c r="C152" s="293" t="s">
        <v>210</v>
      </c>
      <c r="D152" s="11">
        <v>69.715068493150682</v>
      </c>
      <c r="E152" s="11">
        <v>69</v>
      </c>
      <c r="F152" s="11">
        <v>68</v>
      </c>
      <c r="G152" s="11"/>
      <c r="H152" s="11"/>
      <c r="I152" s="11"/>
      <c r="J152" s="11"/>
      <c r="K152" s="11"/>
    </row>
    <row r="153" spans="1:11">
      <c r="A153" s="12" t="s">
        <v>965</v>
      </c>
      <c r="B153" s="12" t="s">
        <v>352</v>
      </c>
      <c r="C153" s="293" t="s">
        <v>210</v>
      </c>
      <c r="D153" s="11">
        <v>21.578082191780823</v>
      </c>
      <c r="E153" s="11">
        <v>21</v>
      </c>
      <c r="F153" s="11">
        <v>21</v>
      </c>
      <c r="G153" s="11"/>
      <c r="H153" s="11"/>
      <c r="I153" s="11"/>
      <c r="J153" s="11"/>
      <c r="K153" s="11"/>
    </row>
    <row r="154" spans="1:11">
      <c r="A154" s="12" t="s">
        <v>966</v>
      </c>
      <c r="B154" s="12" t="s">
        <v>355</v>
      </c>
      <c r="C154" s="293" t="s">
        <v>210</v>
      </c>
      <c r="D154" s="11">
        <v>0</v>
      </c>
      <c r="E154" s="11">
        <v>0</v>
      </c>
      <c r="F154" s="11">
        <v>0</v>
      </c>
      <c r="G154" s="11"/>
      <c r="H154" s="11"/>
      <c r="I154" s="11"/>
      <c r="J154" s="11"/>
      <c r="K154" s="11"/>
    </row>
    <row r="155" spans="1:11">
      <c r="A155" s="12" t="s">
        <v>967</v>
      </c>
      <c r="B155" s="12" t="s">
        <v>358</v>
      </c>
      <c r="C155" s="293" t="s">
        <v>210</v>
      </c>
      <c r="D155" s="11">
        <v>1</v>
      </c>
      <c r="E155" s="11">
        <v>1</v>
      </c>
      <c r="F155" s="11">
        <v>1</v>
      </c>
      <c r="G155" s="11"/>
      <c r="H155" s="11"/>
      <c r="I155" s="11"/>
      <c r="J155" s="11"/>
      <c r="K155" s="11"/>
    </row>
    <row r="156" spans="1:11">
      <c r="A156" s="12" t="s">
        <v>968</v>
      </c>
      <c r="B156" s="12" t="s">
        <v>361</v>
      </c>
      <c r="C156" s="293" t="s">
        <v>210</v>
      </c>
      <c r="D156" s="11">
        <v>2</v>
      </c>
      <c r="E156" s="11">
        <v>2</v>
      </c>
      <c r="F156" s="11">
        <v>2</v>
      </c>
      <c r="G156" s="11"/>
      <c r="H156" s="11"/>
      <c r="I156" s="11"/>
      <c r="J156" s="11"/>
      <c r="K156" s="11"/>
    </row>
    <row r="157" spans="1:11">
      <c r="A157" s="12" t="s">
        <v>969</v>
      </c>
      <c r="B157" s="16" t="s">
        <v>225</v>
      </c>
      <c r="C157" s="294" t="s">
        <v>160</v>
      </c>
      <c r="D157" s="6">
        <v>129553.24383561648</v>
      </c>
      <c r="E157" s="6">
        <v>131923.46994535491</v>
      </c>
      <c r="F157" s="6">
        <f>SUM(F147:F156)</f>
        <v>131095.88524589181</v>
      </c>
      <c r="G157" s="6">
        <f t="shared" ref="G157:I157" si="40">SUM(G147:G156)</f>
        <v>0</v>
      </c>
      <c r="H157" s="6">
        <f t="shared" si="40"/>
        <v>0</v>
      </c>
      <c r="I157" s="6">
        <f t="shared" si="40"/>
        <v>0</v>
      </c>
      <c r="J157" s="6">
        <f t="shared" ref="J157:K157" si="41">SUM(J147:J156)</f>
        <v>0</v>
      </c>
      <c r="K157" s="6">
        <f t="shared" si="41"/>
        <v>0</v>
      </c>
    </row>
    <row r="158" spans="1:11">
      <c r="B158" s="21"/>
      <c r="C158" s="22"/>
      <c r="D158" s="21"/>
      <c r="E158" s="21"/>
      <c r="F158" s="21"/>
      <c r="G158" s="417"/>
      <c r="H158" s="417"/>
      <c r="I158" s="417"/>
      <c r="J158" s="417"/>
      <c r="K158" s="417"/>
    </row>
    <row r="159" spans="1:11">
      <c r="A159" s="273"/>
      <c r="B159" s="284" t="s">
        <v>377</v>
      </c>
      <c r="C159" s="295"/>
      <c r="D159" s="21"/>
      <c r="E159" s="21"/>
      <c r="F159" s="21"/>
      <c r="G159" s="417"/>
      <c r="H159" s="417"/>
      <c r="I159" s="417"/>
      <c r="J159" s="417"/>
      <c r="K159" s="417"/>
    </row>
    <row r="160" spans="1:11">
      <c r="A160" s="12" t="s">
        <v>970</v>
      </c>
      <c r="B160" s="282" t="s">
        <v>379</v>
      </c>
      <c r="C160" s="293" t="s">
        <v>210</v>
      </c>
      <c r="D160" s="11">
        <v>4933957.4689040724</v>
      </c>
      <c r="E160" s="11">
        <v>5210208.5575304898</v>
      </c>
      <c r="F160" s="11">
        <v>4887356.0982049303</v>
      </c>
      <c r="G160" s="11"/>
      <c r="H160" s="11"/>
      <c r="I160" s="11"/>
      <c r="J160" s="11"/>
      <c r="K160" s="11"/>
    </row>
    <row r="161" spans="1:11">
      <c r="A161" s="12" t="s">
        <v>971</v>
      </c>
      <c r="B161" s="10" t="s">
        <v>246</v>
      </c>
      <c r="C161" s="293" t="s">
        <v>210</v>
      </c>
      <c r="D161" s="11">
        <v>11478990.199041102</v>
      </c>
      <c r="E161" s="11">
        <v>12133116.673703548</v>
      </c>
      <c r="F161" s="11">
        <v>10845204.764118925</v>
      </c>
      <c r="G161" s="11"/>
      <c r="H161" s="11"/>
      <c r="I161" s="11"/>
      <c r="J161" s="11"/>
      <c r="K161" s="11"/>
    </row>
    <row r="162" spans="1:11">
      <c r="A162" s="12" t="s">
        <v>972</v>
      </c>
      <c r="B162" s="16" t="s">
        <v>225</v>
      </c>
      <c r="C162" s="294" t="s">
        <v>160</v>
      </c>
      <c r="D162" s="6">
        <v>16412947.667945175</v>
      </c>
      <c r="E162" s="6">
        <f>SUM(E160:E161)</f>
        <v>17343325.231234036</v>
      </c>
      <c r="F162" s="6">
        <f>SUM(F160:F161)</f>
        <v>15732560.862323854</v>
      </c>
      <c r="G162" s="6">
        <f t="shared" ref="G162:I162" si="42">SUM(G160:G161)</f>
        <v>0</v>
      </c>
      <c r="H162" s="6">
        <f t="shared" si="42"/>
        <v>0</v>
      </c>
      <c r="I162" s="6">
        <f t="shared" si="42"/>
        <v>0</v>
      </c>
      <c r="J162" s="6">
        <f t="shared" ref="J162:K162" si="43">SUM(J160:J161)</f>
        <v>0</v>
      </c>
      <c r="K162" s="6">
        <f t="shared" si="43"/>
        <v>0</v>
      </c>
    </row>
    <row r="163" spans="1:11">
      <c r="B163" s="21"/>
      <c r="C163" s="22"/>
      <c r="D163" s="21"/>
      <c r="E163" s="21"/>
      <c r="F163" s="21"/>
      <c r="G163" s="417"/>
      <c r="H163" s="417"/>
      <c r="I163" s="417"/>
      <c r="J163" s="417"/>
      <c r="K163" s="417"/>
    </row>
    <row r="164" spans="1:11">
      <c r="A164" s="273"/>
      <c r="B164" s="284" t="s">
        <v>385</v>
      </c>
      <c r="C164" s="295"/>
      <c r="D164" s="21"/>
      <c r="E164" s="21"/>
      <c r="F164" s="21"/>
      <c r="G164" s="417"/>
      <c r="H164" s="417"/>
      <c r="I164" s="417"/>
      <c r="J164" s="417"/>
      <c r="K164" s="417"/>
    </row>
    <row r="165" spans="1:11">
      <c r="A165" s="12" t="s">
        <v>973</v>
      </c>
      <c r="B165" s="283" t="s">
        <v>387</v>
      </c>
      <c r="C165" s="294" t="s">
        <v>210</v>
      </c>
      <c r="D165" s="11">
        <v>4933957.4689040724</v>
      </c>
      <c r="E165" s="11">
        <v>5157504.5851894971</v>
      </c>
      <c r="F165" s="11">
        <v>4887356.0982049303</v>
      </c>
      <c r="G165" s="11"/>
      <c r="H165" s="11"/>
      <c r="I165" s="11"/>
      <c r="J165" s="11"/>
      <c r="K165" s="11"/>
    </row>
    <row r="166" spans="1:11">
      <c r="A166" s="12" t="s">
        <v>974</v>
      </c>
      <c r="B166" s="12" t="s">
        <v>389</v>
      </c>
      <c r="C166" s="294" t="s">
        <v>210</v>
      </c>
      <c r="D166" s="11">
        <v>33245115.97904091</v>
      </c>
      <c r="E166" s="11">
        <v>34697277.345373467</v>
      </c>
      <c r="F166" s="11">
        <v>32257631.55817711</v>
      </c>
      <c r="G166" s="11"/>
      <c r="H166" s="11"/>
      <c r="I166" s="11"/>
      <c r="J166" s="11"/>
      <c r="K166" s="11"/>
    </row>
    <row r="167" spans="1:11">
      <c r="A167" s="12" t="s">
        <v>975</v>
      </c>
      <c r="B167" s="12" t="s">
        <v>1741</v>
      </c>
      <c r="C167" s="294" t="s">
        <v>210</v>
      </c>
      <c r="D167" s="11">
        <v>45948388.373425059</v>
      </c>
      <c r="E167" s="11">
        <v>45011073.074992612</v>
      </c>
      <c r="F167" s="11">
        <v>45283438.922063738</v>
      </c>
      <c r="G167" s="11"/>
      <c r="H167" s="11"/>
      <c r="I167" s="11"/>
      <c r="J167" s="11"/>
      <c r="K167" s="11"/>
    </row>
    <row r="168" spans="1:11">
      <c r="A168" s="12" t="s">
        <v>976</v>
      </c>
      <c r="B168" s="12" t="s">
        <v>1742</v>
      </c>
      <c r="C168" s="294" t="s">
        <v>210</v>
      </c>
      <c r="D168" s="11">
        <v>697387.46</v>
      </c>
      <c r="E168" s="11">
        <v>541358.95669999998</v>
      </c>
      <c r="F168" s="11">
        <v>492050.90969535522</v>
      </c>
      <c r="G168" s="11"/>
      <c r="H168" s="11"/>
      <c r="I168" s="11"/>
      <c r="J168" s="11"/>
      <c r="K168" s="11"/>
    </row>
    <row r="169" spans="1:11">
      <c r="A169" s="12" t="s">
        <v>977</v>
      </c>
      <c r="B169" s="12" t="s">
        <v>398</v>
      </c>
      <c r="C169" s="294" t="s">
        <v>210</v>
      </c>
      <c r="D169" s="11">
        <v>0</v>
      </c>
      <c r="E169" s="11">
        <v>0</v>
      </c>
      <c r="F169" s="11">
        <v>0</v>
      </c>
      <c r="G169" s="11"/>
      <c r="H169" s="11"/>
      <c r="I169" s="11"/>
      <c r="J169" s="11"/>
      <c r="K169" s="11"/>
    </row>
    <row r="170" spans="1:11">
      <c r="A170" s="12" t="s">
        <v>978</v>
      </c>
      <c r="B170" s="12" t="s">
        <v>401</v>
      </c>
      <c r="C170" s="294" t="s">
        <v>210</v>
      </c>
      <c r="D170" s="11">
        <v>2331.2382191780821</v>
      </c>
      <c r="E170" s="11">
        <v>4231.2423136612024</v>
      </c>
      <c r="F170" s="11">
        <v>2231.8075382513662</v>
      </c>
      <c r="G170" s="11"/>
      <c r="H170" s="11"/>
      <c r="I170" s="11"/>
      <c r="J170" s="11"/>
      <c r="K170" s="11"/>
    </row>
    <row r="171" spans="1:11">
      <c r="A171" s="12" t="s">
        <v>979</v>
      </c>
      <c r="B171" s="12" t="s">
        <v>404</v>
      </c>
      <c r="C171" s="294" t="s">
        <v>210</v>
      </c>
      <c r="D171" s="11">
        <v>224546.69027397261</v>
      </c>
      <c r="E171" s="11">
        <v>264900.0568169399</v>
      </c>
      <c r="F171" s="11">
        <v>211409.19127595628</v>
      </c>
      <c r="G171" s="11"/>
      <c r="H171" s="11"/>
      <c r="I171" s="11"/>
      <c r="J171" s="11"/>
      <c r="K171" s="11"/>
    </row>
    <row r="172" spans="1:11">
      <c r="A172" s="12" t="s">
        <v>980</v>
      </c>
      <c r="B172" s="12" t="s">
        <v>1743</v>
      </c>
      <c r="C172" s="294" t="s">
        <v>210</v>
      </c>
      <c r="D172" s="11">
        <v>7744529.5313698631</v>
      </c>
      <c r="E172" s="11">
        <v>7223367.8908311483</v>
      </c>
      <c r="F172" s="11">
        <v>7280759.1530683031</v>
      </c>
      <c r="G172" s="11"/>
      <c r="H172" s="11"/>
      <c r="I172" s="11"/>
      <c r="J172" s="11"/>
      <c r="K172" s="11"/>
    </row>
    <row r="173" spans="1:11">
      <c r="A173" s="12" t="s">
        <v>981</v>
      </c>
      <c r="B173" s="12" t="s">
        <v>1744</v>
      </c>
      <c r="C173" s="294" t="s">
        <v>210</v>
      </c>
      <c r="D173" s="11">
        <v>5918097.2454794515</v>
      </c>
      <c r="E173" s="11">
        <v>4950762.2843021853</v>
      </c>
      <c r="F173" s="11">
        <v>5159258.9699057369</v>
      </c>
      <c r="G173" s="11"/>
      <c r="H173" s="11"/>
      <c r="I173" s="11"/>
      <c r="J173" s="11"/>
      <c r="K173" s="11"/>
    </row>
    <row r="174" spans="1:11">
      <c r="A174" s="12" t="s">
        <v>982</v>
      </c>
      <c r="B174" s="12" t="s">
        <v>1745</v>
      </c>
      <c r="C174" s="294" t="s">
        <v>210</v>
      </c>
      <c r="D174" s="11">
        <v>6532639.9964383561</v>
      </c>
      <c r="E174" s="11">
        <v>6661784.9300721306</v>
      </c>
      <c r="F174" s="11">
        <v>6723210.2269781418</v>
      </c>
      <c r="G174" s="11"/>
      <c r="H174" s="11"/>
      <c r="I174" s="11"/>
      <c r="J174" s="11"/>
      <c r="K174" s="11"/>
    </row>
    <row r="175" spans="1:11">
      <c r="A175" s="12" t="s">
        <v>983</v>
      </c>
      <c r="B175" s="12" t="s">
        <v>413</v>
      </c>
      <c r="C175" s="294" t="s">
        <v>210</v>
      </c>
      <c r="D175" s="11">
        <v>8717377.9299999997</v>
      </c>
      <c r="E175" s="11">
        <v>6002116.3587999986</v>
      </c>
      <c r="F175" s="11">
        <v>6628154.1018497255</v>
      </c>
      <c r="G175" s="11"/>
      <c r="H175" s="11"/>
      <c r="I175" s="11"/>
      <c r="J175" s="11"/>
      <c r="K175" s="11"/>
    </row>
    <row r="176" spans="1:11">
      <c r="A176" s="12" t="s">
        <v>984</v>
      </c>
      <c r="B176" s="10" t="s">
        <v>225</v>
      </c>
      <c r="C176" s="294" t="s">
        <v>160</v>
      </c>
      <c r="D176" s="6">
        <v>113964371.91315085</v>
      </c>
      <c r="E176" s="6">
        <v>110514376.72539163</v>
      </c>
      <c r="F176" s="6">
        <f>SUM(F165:F175)</f>
        <v>108925500.93875724</v>
      </c>
      <c r="G176" s="6">
        <f t="shared" ref="G176:I176" si="44">SUM(G165:G175)</f>
        <v>0</v>
      </c>
      <c r="H176" s="6">
        <f t="shared" si="44"/>
        <v>0</v>
      </c>
      <c r="I176" s="6">
        <f t="shared" si="44"/>
        <v>0</v>
      </c>
      <c r="J176" s="6">
        <f t="shared" ref="J176:K176" si="45">SUM(J165:J175)</f>
        <v>0</v>
      </c>
      <c r="K176" s="6">
        <f t="shared" si="45"/>
        <v>0</v>
      </c>
    </row>
    <row r="177" spans="1:11">
      <c r="B177" s="21"/>
      <c r="C177" s="22"/>
      <c r="D177" s="21"/>
      <c r="E177" s="21"/>
      <c r="F177" s="21"/>
      <c r="G177" s="417"/>
      <c r="H177" s="417"/>
      <c r="I177" s="417"/>
      <c r="J177" s="417"/>
      <c r="K177" s="417"/>
    </row>
    <row r="178" spans="1:11">
      <c r="A178" s="273"/>
      <c r="B178" s="284" t="s">
        <v>267</v>
      </c>
      <c r="C178" s="295"/>
      <c r="D178" s="21"/>
      <c r="E178" s="21"/>
      <c r="F178" s="21"/>
      <c r="G178" s="417"/>
      <c r="H178" s="417"/>
      <c r="I178" s="417"/>
      <c r="J178" s="417"/>
      <c r="K178" s="417"/>
    </row>
    <row r="179" spans="1:11">
      <c r="A179" s="12" t="s">
        <v>985</v>
      </c>
      <c r="B179" s="282" t="s">
        <v>209</v>
      </c>
      <c r="C179" s="293" t="s">
        <v>210</v>
      </c>
      <c r="D179" s="11">
        <v>67</v>
      </c>
      <c r="E179" s="11">
        <v>68</v>
      </c>
      <c r="F179" s="11">
        <v>68</v>
      </c>
      <c r="G179" s="11"/>
      <c r="H179" s="11"/>
      <c r="I179" s="11"/>
      <c r="J179" s="11"/>
      <c r="K179" s="11"/>
    </row>
    <row r="180" spans="1:11">
      <c r="A180" s="12" t="s">
        <v>986</v>
      </c>
      <c r="B180" s="12" t="s">
        <v>213</v>
      </c>
      <c r="C180" s="293" t="s">
        <v>210</v>
      </c>
      <c r="D180" s="11">
        <v>133</v>
      </c>
      <c r="E180" s="11">
        <v>136</v>
      </c>
      <c r="F180" s="11">
        <v>136</v>
      </c>
      <c r="G180" s="11"/>
      <c r="H180" s="11"/>
      <c r="I180" s="11"/>
      <c r="J180" s="11"/>
      <c r="K180" s="11"/>
    </row>
    <row r="181" spans="1:11">
      <c r="A181" s="12" t="s">
        <v>987</v>
      </c>
      <c r="B181" s="12" t="s">
        <v>216</v>
      </c>
      <c r="C181" s="293" t="s">
        <v>210</v>
      </c>
      <c r="D181" s="11">
        <v>526</v>
      </c>
      <c r="E181" s="11">
        <v>537</v>
      </c>
      <c r="F181" s="11">
        <v>537</v>
      </c>
      <c r="G181" s="11"/>
      <c r="H181" s="11"/>
      <c r="I181" s="11"/>
      <c r="J181" s="11"/>
      <c r="K181" s="11"/>
    </row>
    <row r="182" spans="1:11">
      <c r="A182" s="12" t="s">
        <v>988</v>
      </c>
      <c r="B182" s="12" t="s">
        <v>219</v>
      </c>
      <c r="C182" s="293" t="s">
        <v>210</v>
      </c>
      <c r="D182" s="11">
        <v>950</v>
      </c>
      <c r="E182" s="11">
        <v>969</v>
      </c>
      <c r="F182" s="11">
        <v>969</v>
      </c>
      <c r="G182" s="11"/>
      <c r="H182" s="11"/>
      <c r="I182" s="11"/>
      <c r="J182" s="11"/>
      <c r="K182" s="11"/>
    </row>
    <row r="183" spans="1:11">
      <c r="A183" s="12" t="s">
        <v>989</v>
      </c>
      <c r="B183" s="12" t="s">
        <v>222</v>
      </c>
      <c r="C183" s="293" t="s">
        <v>210</v>
      </c>
      <c r="D183" s="11">
        <v>1848</v>
      </c>
      <c r="E183" s="11">
        <v>1885</v>
      </c>
      <c r="F183" s="11">
        <v>1885</v>
      </c>
      <c r="G183" s="11"/>
      <c r="H183" s="11"/>
      <c r="I183" s="11"/>
      <c r="J183" s="11"/>
      <c r="K183" s="11"/>
    </row>
    <row r="184" spans="1:11">
      <c r="A184" s="12" t="s">
        <v>990</v>
      </c>
      <c r="B184" s="12" t="s">
        <v>349</v>
      </c>
      <c r="C184" s="293" t="s">
        <v>210</v>
      </c>
      <c r="D184" s="11">
        <v>2003</v>
      </c>
      <c r="E184" s="11">
        <v>2043</v>
      </c>
      <c r="F184" s="11">
        <v>2043</v>
      </c>
      <c r="G184" s="11"/>
      <c r="H184" s="11"/>
      <c r="I184" s="11"/>
      <c r="J184" s="11"/>
      <c r="K184" s="11"/>
    </row>
    <row r="185" spans="1:11">
      <c r="A185" s="12" t="s">
        <v>991</v>
      </c>
      <c r="B185" s="12" t="s">
        <v>352</v>
      </c>
      <c r="C185" s="293" t="s">
        <v>210</v>
      </c>
      <c r="D185" s="11">
        <v>4219</v>
      </c>
      <c r="E185" s="11">
        <v>4303</v>
      </c>
      <c r="F185" s="11">
        <v>4303</v>
      </c>
      <c r="G185" s="11"/>
      <c r="H185" s="11"/>
      <c r="I185" s="11"/>
      <c r="J185" s="11"/>
      <c r="K185" s="11"/>
    </row>
    <row r="186" spans="1:11">
      <c r="A186" s="12" t="s">
        <v>992</v>
      </c>
      <c r="B186" s="12" t="s">
        <v>355</v>
      </c>
      <c r="C186" s="293" t="s">
        <v>210</v>
      </c>
      <c r="D186" s="11">
        <v>31643</v>
      </c>
      <c r="E186" s="11">
        <v>32276</v>
      </c>
      <c r="F186" s="11">
        <v>32276</v>
      </c>
      <c r="G186" s="11"/>
      <c r="H186" s="11"/>
      <c r="I186" s="11"/>
      <c r="J186" s="11"/>
      <c r="K186" s="11"/>
    </row>
    <row r="187" spans="1:11">
      <c r="A187" s="12" t="s">
        <v>993</v>
      </c>
      <c r="B187" s="12" t="s">
        <v>358</v>
      </c>
      <c r="C187" s="293" t="s">
        <v>210</v>
      </c>
      <c r="D187" s="11">
        <v>84382</v>
      </c>
      <c r="E187" s="11">
        <v>86070</v>
      </c>
      <c r="F187" s="11">
        <v>86070</v>
      </c>
      <c r="G187" s="11"/>
      <c r="H187" s="11"/>
      <c r="I187" s="11"/>
      <c r="J187" s="11"/>
      <c r="K187" s="11"/>
    </row>
    <row r="188" spans="1:11">
      <c r="A188" s="12" t="s">
        <v>994</v>
      </c>
      <c r="B188" s="12" t="s">
        <v>361</v>
      </c>
      <c r="C188" s="293" t="s">
        <v>210</v>
      </c>
      <c r="D188" s="11">
        <v>104424</v>
      </c>
      <c r="E188" s="11">
        <v>106512</v>
      </c>
      <c r="F188" s="11">
        <v>106512</v>
      </c>
      <c r="G188" s="11"/>
      <c r="H188" s="11"/>
      <c r="I188" s="11"/>
      <c r="J188" s="11"/>
      <c r="K188" s="11"/>
    </row>
    <row r="189" spans="1:11">
      <c r="B189" s="21"/>
      <c r="C189" s="22"/>
      <c r="D189" s="21"/>
      <c r="E189" s="21"/>
      <c r="F189" s="21"/>
      <c r="G189" s="417"/>
      <c r="H189" s="417"/>
      <c r="I189" s="417"/>
      <c r="J189" s="417"/>
      <c r="K189" s="417"/>
    </row>
    <row r="190" spans="1:11">
      <c r="A190" s="273"/>
      <c r="B190" s="284" t="s">
        <v>278</v>
      </c>
      <c r="C190" s="295"/>
      <c r="D190" s="21"/>
      <c r="E190" s="21"/>
      <c r="F190" s="21"/>
      <c r="G190" s="417"/>
      <c r="H190" s="417"/>
      <c r="I190" s="417"/>
      <c r="J190" s="417"/>
      <c r="K190" s="417"/>
    </row>
    <row r="191" spans="1:11">
      <c r="A191" s="12" t="s">
        <v>995</v>
      </c>
      <c r="B191" s="282" t="s">
        <v>434</v>
      </c>
      <c r="C191" s="301" t="s">
        <v>210</v>
      </c>
      <c r="D191" s="41">
        <v>0.51880000000000004</v>
      </c>
      <c r="E191" s="41">
        <v>0.5292</v>
      </c>
      <c r="F191" s="41">
        <v>0.5292</v>
      </c>
      <c r="G191" s="41"/>
      <c r="H191" s="41"/>
      <c r="I191" s="41"/>
      <c r="J191" s="41"/>
      <c r="K191" s="41"/>
    </row>
    <row r="192" spans="1:11">
      <c r="A192" s="12" t="s">
        <v>996</v>
      </c>
      <c r="B192" s="10" t="s">
        <v>283</v>
      </c>
      <c r="C192" s="301" t="s">
        <v>210</v>
      </c>
      <c r="D192" s="41">
        <v>0.51880000000000004</v>
      </c>
      <c r="E192" s="41">
        <v>0.5292</v>
      </c>
      <c r="F192" s="41">
        <v>0.5292</v>
      </c>
      <c r="G192" s="41"/>
      <c r="H192" s="41"/>
      <c r="I192" s="41"/>
      <c r="J192" s="41"/>
      <c r="K192" s="41"/>
    </row>
    <row r="193" spans="1:11">
      <c r="B193" s="22"/>
      <c r="C193" s="22"/>
      <c r="D193" s="419"/>
      <c r="E193" s="419"/>
      <c r="F193" s="419"/>
      <c r="G193" s="417"/>
      <c r="H193" s="420"/>
      <c r="I193" s="417"/>
      <c r="J193" s="420"/>
      <c r="K193" s="417"/>
    </row>
    <row r="194" spans="1:11">
      <c r="A194" s="273"/>
      <c r="B194" s="284" t="s">
        <v>438</v>
      </c>
      <c r="C194" s="295"/>
      <c r="D194" s="419"/>
      <c r="E194" s="419"/>
      <c r="F194" s="419"/>
      <c r="G194" s="417"/>
      <c r="H194" s="417"/>
      <c r="I194" s="417"/>
      <c r="J194" s="417"/>
      <c r="K194" s="417"/>
    </row>
    <row r="195" spans="1:11">
      <c r="A195" s="12" t="s">
        <v>997</v>
      </c>
      <c r="B195" s="285" t="s">
        <v>387</v>
      </c>
      <c r="C195" s="302" t="s">
        <v>210</v>
      </c>
      <c r="D195" s="41">
        <v>0.70520000000000005</v>
      </c>
      <c r="E195" s="41">
        <v>0.71930000000000005</v>
      </c>
      <c r="F195" s="41">
        <v>0.71930000000000005</v>
      </c>
      <c r="G195" s="41"/>
      <c r="H195" s="41"/>
      <c r="I195" s="41"/>
      <c r="J195" s="41"/>
      <c r="K195" s="41"/>
    </row>
    <row r="196" spans="1:11">
      <c r="A196" s="12" t="s">
        <v>998</v>
      </c>
      <c r="B196" s="20" t="s">
        <v>389</v>
      </c>
      <c r="C196" s="302" t="s">
        <v>210</v>
      </c>
      <c r="D196" s="41">
        <v>0.70520000000000005</v>
      </c>
      <c r="E196" s="41">
        <v>0.71930000000000005</v>
      </c>
      <c r="F196" s="41">
        <v>0.71930000000000005</v>
      </c>
      <c r="G196" s="41"/>
      <c r="H196" s="41"/>
      <c r="I196" s="41"/>
      <c r="J196" s="41"/>
      <c r="K196" s="41"/>
    </row>
    <row r="197" spans="1:11">
      <c r="A197" s="12" t="s">
        <v>999</v>
      </c>
      <c r="B197" s="12" t="s">
        <v>392</v>
      </c>
      <c r="C197" s="302" t="s">
        <v>210</v>
      </c>
      <c r="D197" s="41">
        <v>0.70520000000000005</v>
      </c>
      <c r="E197" s="41">
        <v>0.71930000000000005</v>
      </c>
      <c r="F197" s="41">
        <v>0.71930000000000005</v>
      </c>
      <c r="G197" s="41"/>
      <c r="H197" s="41"/>
      <c r="I197" s="41"/>
      <c r="J197" s="41"/>
      <c r="K197" s="41"/>
    </row>
    <row r="198" spans="1:11">
      <c r="A198" s="12" t="s">
        <v>1000</v>
      </c>
      <c r="B198" s="12" t="s">
        <v>395</v>
      </c>
      <c r="C198" s="302" t="s">
        <v>210</v>
      </c>
      <c r="D198" s="41">
        <v>0.59589999999999999</v>
      </c>
      <c r="E198" s="41">
        <v>0.60780000000000001</v>
      </c>
      <c r="F198" s="41">
        <v>0.60780000000000001</v>
      </c>
      <c r="G198" s="41"/>
      <c r="H198" s="41"/>
      <c r="I198" s="41"/>
      <c r="J198" s="41"/>
      <c r="K198" s="41"/>
    </row>
    <row r="199" spans="1:11">
      <c r="A199" s="12" t="s">
        <v>1001</v>
      </c>
      <c r="B199" s="12" t="s">
        <v>398</v>
      </c>
      <c r="C199" s="302" t="s">
        <v>210</v>
      </c>
      <c r="D199" s="41">
        <v>0.36570000000000003</v>
      </c>
      <c r="E199" s="41">
        <v>0.373</v>
      </c>
      <c r="F199" s="41">
        <v>0.373</v>
      </c>
      <c r="G199" s="41"/>
      <c r="H199" s="41"/>
      <c r="I199" s="41"/>
      <c r="J199" s="41"/>
      <c r="K199" s="41"/>
    </row>
    <row r="200" spans="1:11">
      <c r="A200" s="12" t="s">
        <v>1002</v>
      </c>
      <c r="B200" s="12" t="s">
        <v>401</v>
      </c>
      <c r="C200" s="302" t="s">
        <v>210</v>
      </c>
      <c r="D200" s="41">
        <v>0.70520000000000005</v>
      </c>
      <c r="E200" s="41">
        <v>0.71930000000000005</v>
      </c>
      <c r="F200" s="41">
        <v>0.71930000000000005</v>
      </c>
      <c r="G200" s="41"/>
      <c r="H200" s="41"/>
      <c r="I200" s="41"/>
      <c r="J200" s="41"/>
      <c r="K200" s="41"/>
    </row>
    <row r="201" spans="1:11">
      <c r="A201" s="12" t="s">
        <v>1003</v>
      </c>
      <c r="B201" s="12" t="s">
        <v>404</v>
      </c>
      <c r="C201" s="302" t="s">
        <v>210</v>
      </c>
      <c r="D201" s="41">
        <v>0.70520000000000005</v>
      </c>
      <c r="E201" s="41">
        <v>0.71930000000000005</v>
      </c>
      <c r="F201" s="41">
        <v>0.71930000000000005</v>
      </c>
      <c r="G201" s="41"/>
      <c r="H201" s="41"/>
      <c r="I201" s="41"/>
      <c r="J201" s="41"/>
      <c r="K201" s="41"/>
    </row>
    <row r="202" spans="1:11">
      <c r="A202" s="12" t="s">
        <v>1004</v>
      </c>
      <c r="B202" s="12" t="s">
        <v>1743</v>
      </c>
      <c r="C202" s="302" t="s">
        <v>210</v>
      </c>
      <c r="D202" s="41">
        <v>0.70520000000000005</v>
      </c>
      <c r="E202" s="41">
        <v>0.71930000000000005</v>
      </c>
      <c r="F202" s="41">
        <v>0.71930000000000005</v>
      </c>
      <c r="G202" s="41"/>
      <c r="H202" s="41"/>
      <c r="I202" s="41"/>
      <c r="J202" s="41"/>
      <c r="K202" s="41"/>
    </row>
    <row r="203" spans="1:11">
      <c r="A203" s="12" t="s">
        <v>1005</v>
      </c>
      <c r="B203" s="12" t="s">
        <v>1744</v>
      </c>
      <c r="C203" s="302" t="s">
        <v>210</v>
      </c>
      <c r="D203" s="41">
        <v>0.59589999999999999</v>
      </c>
      <c r="E203" s="41">
        <v>0.71930000000000005</v>
      </c>
      <c r="F203" s="41">
        <v>0.71930000000000005</v>
      </c>
      <c r="G203" s="41"/>
      <c r="H203" s="41"/>
      <c r="I203" s="41"/>
      <c r="J203" s="41"/>
      <c r="K203" s="41"/>
    </row>
    <row r="204" spans="1:11">
      <c r="A204" s="12" t="s">
        <v>1006</v>
      </c>
      <c r="B204" s="12" t="s">
        <v>1745</v>
      </c>
      <c r="C204" s="302" t="s">
        <v>210</v>
      </c>
      <c r="D204" s="41">
        <v>0.59589999999999999</v>
      </c>
      <c r="E204" s="41">
        <v>0.60780000000000001</v>
      </c>
      <c r="F204" s="41">
        <v>0.60780000000000001</v>
      </c>
      <c r="G204" s="41"/>
      <c r="H204" s="41"/>
      <c r="I204" s="41"/>
      <c r="J204" s="41"/>
      <c r="K204" s="41"/>
    </row>
    <row r="205" spans="1:11">
      <c r="A205" s="12" t="s">
        <v>1007</v>
      </c>
      <c r="B205" s="12" t="s">
        <v>413</v>
      </c>
      <c r="C205" s="302" t="s">
        <v>210</v>
      </c>
      <c r="D205" s="41">
        <v>0.36570000000000003</v>
      </c>
      <c r="E205" s="41">
        <v>0.373</v>
      </c>
      <c r="F205" s="41">
        <v>0.373</v>
      </c>
      <c r="G205" s="41"/>
      <c r="H205" s="41"/>
      <c r="I205" s="41"/>
      <c r="J205" s="41"/>
      <c r="K205" s="41"/>
    </row>
    <row r="206" spans="1:11">
      <c r="C206" s="297"/>
      <c r="D206" s="7"/>
      <c r="E206" s="7"/>
      <c r="F206" s="7"/>
      <c r="G206" s="417"/>
      <c r="H206" s="417"/>
      <c r="I206" s="417"/>
      <c r="J206" s="417"/>
      <c r="K206" s="417"/>
    </row>
    <row r="207" spans="1:11">
      <c r="A207" s="273"/>
      <c r="B207" s="284" t="s">
        <v>461</v>
      </c>
      <c r="C207" s="295"/>
      <c r="D207" s="7"/>
      <c r="E207" s="7"/>
      <c r="F207" s="7"/>
      <c r="G207" s="417"/>
      <c r="H207" s="417"/>
      <c r="I207" s="417"/>
      <c r="J207" s="417"/>
      <c r="K207" s="417"/>
    </row>
    <row r="208" spans="1:11">
      <c r="A208" s="12" t="s">
        <v>1008</v>
      </c>
      <c r="B208" s="286" t="s">
        <v>463</v>
      </c>
      <c r="C208" s="302" t="s">
        <v>210</v>
      </c>
      <c r="D208" s="11">
        <v>18336716.059999999</v>
      </c>
      <c r="E208" s="11">
        <v>16164534.784499977</v>
      </c>
      <c r="F208" s="11">
        <v>16561717.198500007</v>
      </c>
      <c r="G208" s="11"/>
      <c r="H208" s="11"/>
      <c r="I208" s="11"/>
      <c r="J208" s="11"/>
      <c r="K208" s="11"/>
    </row>
    <row r="209" spans="1:11">
      <c r="A209" s="12" t="s">
        <v>1009</v>
      </c>
      <c r="B209" s="16" t="s">
        <v>466</v>
      </c>
      <c r="C209" s="302" t="s">
        <v>210</v>
      </c>
      <c r="D209" s="11">
        <v>4589998.2489999998</v>
      </c>
      <c r="E209" s="11">
        <v>4178666.7235999955</v>
      </c>
      <c r="F209" s="11">
        <v>4303681.3757999996</v>
      </c>
      <c r="G209" s="11"/>
      <c r="H209" s="11"/>
      <c r="I209" s="11"/>
      <c r="J209" s="11"/>
      <c r="K209" s="11"/>
    </row>
    <row r="210" spans="1:11">
      <c r="C210" s="297"/>
      <c r="D210" s="7"/>
      <c r="E210" s="7"/>
      <c r="F210" s="7"/>
      <c r="G210" s="417"/>
      <c r="H210" s="417"/>
      <c r="I210" s="417"/>
      <c r="J210" s="417"/>
      <c r="K210" s="417"/>
    </row>
    <row r="211" spans="1:11">
      <c r="A211" s="273"/>
      <c r="B211" s="284" t="s">
        <v>303</v>
      </c>
      <c r="C211" s="295"/>
      <c r="D211" s="7"/>
      <c r="E211" s="7"/>
      <c r="F211" s="7"/>
      <c r="G211" s="417"/>
      <c r="H211" s="417"/>
      <c r="I211" s="417"/>
      <c r="J211" s="417"/>
      <c r="K211" s="417"/>
    </row>
    <row r="212" spans="1:11">
      <c r="A212" s="12" t="s">
        <v>1010</v>
      </c>
      <c r="B212" s="23" t="s">
        <v>305</v>
      </c>
      <c r="C212" s="294" t="s">
        <v>160</v>
      </c>
      <c r="D212" s="6">
        <f>SUMPRODUCT(D147:D156,D179:D188)</f>
        <v>12224660.153424665</v>
      </c>
      <c r="E212" s="6">
        <f>SUMPRODUCT(E147:E156,E179:E188)</f>
        <v>12590551.759562822</v>
      </c>
      <c r="F212" s="6">
        <f>SUMPRODUCT(F147:F156,F179:F188)</f>
        <v>12499775.21584633</v>
      </c>
      <c r="G212" s="6">
        <f t="shared" ref="G212:I212" si="46">SUMPRODUCT(G147:G156,G179:G188)</f>
        <v>0</v>
      </c>
      <c r="H212" s="6">
        <f t="shared" si="46"/>
        <v>0</v>
      </c>
      <c r="I212" s="6">
        <f t="shared" si="46"/>
        <v>0</v>
      </c>
      <c r="J212" s="6">
        <f t="shared" ref="J212:K212" si="47">SUMPRODUCT(J147:J156,J179:J188)</f>
        <v>0</v>
      </c>
      <c r="K212" s="6">
        <f t="shared" si="47"/>
        <v>0</v>
      </c>
    </row>
    <row r="213" spans="1:11">
      <c r="A213" s="12" t="s">
        <v>1011</v>
      </c>
      <c r="B213" s="19" t="s">
        <v>308</v>
      </c>
      <c r="C213" s="294" t="s">
        <v>160</v>
      </c>
      <c r="D213" s="6">
        <f>SUMPRODUCT(D160:D161,D191:D192)</f>
        <v>8515037.2501299568</v>
      </c>
      <c r="E213" s="6">
        <f>SUMPRODUCT(E160:E161,E191:E192)</f>
        <v>9178087.7123690527</v>
      </c>
      <c r="F213" s="6">
        <f>SUMPRODUCT(F160:F161,F191:F192)</f>
        <v>8325671.2083417848</v>
      </c>
      <c r="G213" s="6">
        <f t="shared" ref="G213:I213" si="48">SUMPRODUCT(G160:G161,G191:G192)</f>
        <v>0</v>
      </c>
      <c r="H213" s="6">
        <f t="shared" si="48"/>
        <v>0</v>
      </c>
      <c r="I213" s="6">
        <f t="shared" si="48"/>
        <v>0</v>
      </c>
      <c r="J213" s="6">
        <f t="shared" ref="J213:K213" si="49">SUMPRODUCT(J160:J161,J191:J192)</f>
        <v>0</v>
      </c>
      <c r="K213" s="6">
        <f t="shared" si="49"/>
        <v>0</v>
      </c>
    </row>
    <row r="214" spans="1:11">
      <c r="A214" s="12" t="s">
        <v>1012</v>
      </c>
      <c r="B214" s="19" t="s">
        <v>311</v>
      </c>
      <c r="C214" s="294" t="s">
        <v>160</v>
      </c>
      <c r="D214" s="6">
        <f>SUMPRODUCT(D165:D175,D195:D205)</f>
        <v>75971035.235999361</v>
      </c>
      <c r="E214" s="6">
        <f>SUMPRODUCT(E165:E175,E195:E205)</f>
        <v>76611307.740146682</v>
      </c>
      <c r="F214" s="6">
        <f>SUMPRODUCT(F165:F175,F195:F205)</f>
        <v>75250281.443038434</v>
      </c>
      <c r="G214" s="6">
        <f t="shared" ref="G214:I214" si="50">SUMPRODUCT(G165:G175,G195:G205)</f>
        <v>0</v>
      </c>
      <c r="H214" s="6">
        <f t="shared" si="50"/>
        <v>0</v>
      </c>
      <c r="I214" s="6">
        <f t="shared" si="50"/>
        <v>0</v>
      </c>
      <c r="J214" s="6">
        <f t="shared" ref="J214:K214" si="51">SUMPRODUCT(J165:J175,J195:J205)</f>
        <v>0</v>
      </c>
      <c r="K214" s="6">
        <f t="shared" si="51"/>
        <v>0</v>
      </c>
    </row>
    <row r="215" spans="1:11">
      <c r="A215" s="12" t="s">
        <v>1013</v>
      </c>
      <c r="B215" s="19" t="s">
        <v>475</v>
      </c>
      <c r="C215" s="294" t="s">
        <v>160</v>
      </c>
      <c r="D215" s="6">
        <f>+D209</f>
        <v>4589998.2489999998</v>
      </c>
      <c r="E215" s="6">
        <f>+E209</f>
        <v>4178666.7235999955</v>
      </c>
      <c r="F215" s="6">
        <f>+F209</f>
        <v>4303681.3757999996</v>
      </c>
      <c r="G215" s="6">
        <f t="shared" ref="G215:I215" si="52">+G209</f>
        <v>0</v>
      </c>
      <c r="H215" s="6">
        <f t="shared" si="52"/>
        <v>0</v>
      </c>
      <c r="I215" s="6">
        <f t="shared" si="52"/>
        <v>0</v>
      </c>
      <c r="J215" s="6">
        <f t="shared" ref="J215:K215" si="53">+J209</f>
        <v>0</v>
      </c>
      <c r="K215" s="6">
        <f t="shared" si="53"/>
        <v>0</v>
      </c>
    </row>
    <row r="216" spans="1:11">
      <c r="A216" s="12" t="s">
        <v>1014</v>
      </c>
      <c r="B216" s="19" t="s">
        <v>176</v>
      </c>
      <c r="C216" s="294" t="s">
        <v>160</v>
      </c>
      <c r="D216" s="6">
        <f>SUM(D212:D215)</f>
        <v>101300730.88855398</v>
      </c>
      <c r="E216" s="6">
        <f>SUM(E212:E215)</f>
        <v>102558613.93567856</v>
      </c>
      <c r="F216" s="6">
        <f>SUM(F212:F215)</f>
        <v>100379409.24302654</v>
      </c>
      <c r="G216" s="6">
        <f t="shared" ref="G216:I216" si="54">SUM(G212:G215)</f>
        <v>0</v>
      </c>
      <c r="H216" s="6">
        <f t="shared" si="54"/>
        <v>0</v>
      </c>
      <c r="I216" s="6">
        <f t="shared" si="54"/>
        <v>0</v>
      </c>
      <c r="J216" s="6">
        <f t="shared" ref="J216:K216" si="55">SUM(J212:J215)</f>
        <v>0</v>
      </c>
      <c r="K216" s="6">
        <f t="shared" si="55"/>
        <v>0</v>
      </c>
    </row>
    <row r="217" spans="1:11">
      <c r="C217" s="290"/>
      <c r="D217" s="8"/>
      <c r="E217" s="8"/>
      <c r="F217" s="8"/>
      <c r="G217" s="417"/>
      <c r="H217" s="417"/>
      <c r="I217" s="417"/>
      <c r="J217" s="417"/>
      <c r="K217" s="417"/>
    </row>
    <row r="218" spans="1:11">
      <c r="A218" s="273"/>
      <c r="B218" s="284" t="s">
        <v>477</v>
      </c>
      <c r="C218" s="290"/>
      <c r="D218" s="8"/>
      <c r="E218" s="8"/>
      <c r="F218" s="8"/>
      <c r="G218" s="417"/>
      <c r="H218" s="417"/>
      <c r="I218" s="417"/>
      <c r="J218" s="417"/>
      <c r="K218" s="417"/>
    </row>
    <row r="219" spans="1:11">
      <c r="A219" s="12" t="s">
        <v>1015</v>
      </c>
      <c r="B219" s="285" t="s">
        <v>479</v>
      </c>
      <c r="C219" s="289" t="s">
        <v>210</v>
      </c>
      <c r="D219" s="11">
        <v>1922288.9223999933</v>
      </c>
      <c r="E219" s="11">
        <v>2199812.8775999658</v>
      </c>
      <c r="F219" s="11">
        <v>2167354.4561999887</v>
      </c>
      <c r="G219" s="11"/>
      <c r="H219" s="11"/>
      <c r="I219" s="11"/>
      <c r="J219" s="11"/>
      <c r="K219" s="11"/>
    </row>
    <row r="220" spans="1:11">
      <c r="A220" s="12" t="s">
        <v>1016</v>
      </c>
      <c r="B220" s="20" t="s">
        <v>482</v>
      </c>
      <c r="C220" s="294" t="s">
        <v>160</v>
      </c>
      <c r="D220" s="6"/>
      <c r="E220" s="35">
        <f>E219/E216</f>
        <v>2.144932339841895E-2</v>
      </c>
      <c r="F220" s="35">
        <f>F219/F216</f>
        <v>2.15916239450329E-2</v>
      </c>
      <c r="G220" s="35" t="e">
        <f t="shared" ref="G220:I220" si="56">G219/G216</f>
        <v>#DIV/0!</v>
      </c>
      <c r="H220" s="35" t="e">
        <f t="shared" si="56"/>
        <v>#DIV/0!</v>
      </c>
      <c r="I220" s="35" t="e">
        <f t="shared" si="56"/>
        <v>#DIV/0!</v>
      </c>
      <c r="J220" s="35" t="e">
        <f t="shared" ref="J220:K220" si="57">J219/J216</f>
        <v>#DIV/0!</v>
      </c>
      <c r="K220" s="35" t="e">
        <f t="shared" si="57"/>
        <v>#DIV/0!</v>
      </c>
    </row>
    <row r="221" spans="1:11">
      <c r="A221" s="12" t="s">
        <v>1017</v>
      </c>
      <c r="B221" s="20" t="s">
        <v>485</v>
      </c>
      <c r="C221" s="289" t="s">
        <v>210</v>
      </c>
      <c r="D221" s="11">
        <v>1484296.5958999968</v>
      </c>
      <c r="E221" s="11">
        <f>1250383.1</f>
        <v>1250383.1000000001</v>
      </c>
      <c r="F221" s="11">
        <v>1423325.5144000037</v>
      </c>
      <c r="G221" s="11"/>
      <c r="H221" s="11"/>
      <c r="I221" s="11"/>
      <c r="J221" s="11"/>
      <c r="K221" s="11"/>
    </row>
    <row r="222" spans="1:11">
      <c r="A222" s="12" t="s">
        <v>1018</v>
      </c>
      <c r="B222" s="20" t="s">
        <v>488</v>
      </c>
      <c r="C222" s="289" t="s">
        <v>160</v>
      </c>
      <c r="D222" s="6"/>
      <c r="E222" s="35">
        <f>E221/E216</f>
        <v>1.2191887663226415E-2</v>
      </c>
      <c r="F222" s="35">
        <f>F221/F216</f>
        <v>1.417945697363111E-2</v>
      </c>
      <c r="G222" s="35" t="e">
        <f t="shared" ref="G222:H222" si="58">G221/G216</f>
        <v>#DIV/0!</v>
      </c>
      <c r="H222" s="35" t="e">
        <f t="shared" si="58"/>
        <v>#DIV/0!</v>
      </c>
      <c r="I222" s="35" t="e">
        <f>I221/I216</f>
        <v>#DIV/0!</v>
      </c>
      <c r="J222" s="35" t="e">
        <f t="shared" ref="J222" si="59">J221/J216</f>
        <v>#DIV/0!</v>
      </c>
      <c r="K222" s="35" t="e">
        <f>K221/K216</f>
        <v>#DIV/0!</v>
      </c>
    </row>
    <row r="223" spans="1:11">
      <c r="A223" s="12" t="s">
        <v>1019</v>
      </c>
      <c r="B223" s="20" t="s">
        <v>332</v>
      </c>
      <c r="C223" s="289" t="s">
        <v>210</v>
      </c>
      <c r="D223" s="11">
        <v>70428.976499999961</v>
      </c>
      <c r="E223" s="11">
        <v>57905.696999999978</v>
      </c>
      <c r="F223" s="11">
        <v>74764.06309999997</v>
      </c>
      <c r="G223" s="11"/>
      <c r="H223" s="11"/>
      <c r="I223" s="11"/>
      <c r="J223" s="11"/>
      <c r="K223" s="11"/>
    </row>
    <row r="224" spans="1:11">
      <c r="A224" s="12" t="s">
        <v>1020</v>
      </c>
      <c r="B224" s="20" t="s">
        <v>335</v>
      </c>
      <c r="C224" s="289" t="s">
        <v>160</v>
      </c>
      <c r="D224" s="6">
        <v>0</v>
      </c>
      <c r="E224" s="6">
        <v>0</v>
      </c>
      <c r="F224" s="35">
        <f>F223/F216</f>
        <v>7.4481473505178962E-4</v>
      </c>
      <c r="G224" s="35" t="e">
        <f t="shared" ref="G224:I224" si="60">G223/G216</f>
        <v>#DIV/0!</v>
      </c>
      <c r="H224" s="35" t="e">
        <f t="shared" si="60"/>
        <v>#DIV/0!</v>
      </c>
      <c r="I224" s="35" t="e">
        <f t="shared" si="60"/>
        <v>#DIV/0!</v>
      </c>
      <c r="J224" s="35" t="e">
        <f t="shared" ref="J224:K224" si="61">J223/J216</f>
        <v>#DIV/0!</v>
      </c>
      <c r="K224" s="35" t="e">
        <f t="shared" si="61"/>
        <v>#DIV/0!</v>
      </c>
    </row>
    <row r="225" spans="1:11">
      <c r="C225" s="297"/>
      <c r="D225" s="7"/>
      <c r="E225" s="7"/>
      <c r="F225" s="7"/>
      <c r="G225" s="417"/>
      <c r="H225" s="417"/>
      <c r="I225" s="417"/>
      <c r="J225" s="417"/>
      <c r="K225" s="417"/>
    </row>
    <row r="226" spans="1:11" ht="18">
      <c r="B226" s="2" t="s">
        <v>492</v>
      </c>
      <c r="C226" s="291"/>
      <c r="D226" s="7"/>
      <c r="E226" s="7"/>
      <c r="F226" s="7"/>
      <c r="G226" s="417"/>
      <c r="H226" s="417"/>
      <c r="I226" s="417"/>
      <c r="J226" s="417"/>
      <c r="K226" s="417"/>
    </row>
    <row r="227" spans="1:11">
      <c r="A227" s="273"/>
      <c r="B227" s="163" t="s">
        <v>493</v>
      </c>
      <c r="C227" s="26" t="s">
        <v>152</v>
      </c>
      <c r="D227" s="26" t="str">
        <f>+$D$10</f>
        <v>2018-19 RF</v>
      </c>
      <c r="E227" s="26" t="str">
        <f>+$E$10</f>
        <v>2019-20 monthly</v>
      </c>
      <c r="F227" s="26" t="str">
        <f>+$F$10</f>
        <v>2019-20 RF</v>
      </c>
      <c r="G227" s="26" t="s">
        <v>807</v>
      </c>
      <c r="H227" s="26" t="s">
        <v>18</v>
      </c>
      <c r="I227" s="26" t="s">
        <v>808</v>
      </c>
      <c r="J227" s="26" t="s">
        <v>20</v>
      </c>
      <c r="K227" s="26" t="s">
        <v>809</v>
      </c>
    </row>
    <row r="228" spans="1:11">
      <c r="A228" s="12" t="s">
        <v>1021</v>
      </c>
      <c r="B228" s="282" t="s">
        <v>824</v>
      </c>
      <c r="C228" s="301" t="s">
        <v>210</v>
      </c>
      <c r="D228" s="11">
        <v>865.08767123287669</v>
      </c>
      <c r="E228" s="11">
        <v>1483.4562841530162</v>
      </c>
      <c r="F228" s="11">
        <v>1459.696721311489</v>
      </c>
      <c r="G228" s="11"/>
      <c r="H228" s="11"/>
      <c r="I228" s="11"/>
      <c r="J228" s="11"/>
      <c r="K228" s="11"/>
    </row>
    <row r="229" spans="1:11">
      <c r="A229" s="12" t="s">
        <v>1022</v>
      </c>
      <c r="B229" s="10" t="s">
        <v>826</v>
      </c>
      <c r="C229" s="301" t="s">
        <v>210</v>
      </c>
      <c r="D229" s="11">
        <v>11366.566210045678</v>
      </c>
      <c r="E229" s="11">
        <v>5376.8296903460969</v>
      </c>
      <c r="F229" s="11">
        <v>5265.5892531876334</v>
      </c>
      <c r="G229" s="11"/>
      <c r="H229" s="11"/>
      <c r="I229" s="11"/>
      <c r="J229" s="11"/>
      <c r="K229" s="11"/>
    </row>
    <row r="230" spans="1:11">
      <c r="A230" s="12" t="s">
        <v>1023</v>
      </c>
      <c r="B230" s="10" t="s">
        <v>828</v>
      </c>
      <c r="C230" s="301" t="s">
        <v>210</v>
      </c>
      <c r="D230" s="11">
        <v>5683.2840182648515</v>
      </c>
      <c r="E230" s="11">
        <v>10760.083788706765</v>
      </c>
      <c r="F230" s="11">
        <v>10537.464480874363</v>
      </c>
      <c r="G230" s="11"/>
      <c r="H230" s="11"/>
      <c r="I230" s="11"/>
      <c r="J230" s="11"/>
      <c r="K230" s="11"/>
    </row>
    <row r="231" spans="1:11">
      <c r="A231" s="12" t="s">
        <v>1024</v>
      </c>
      <c r="B231" s="12" t="s">
        <v>830</v>
      </c>
      <c r="C231" s="301" t="s">
        <v>210</v>
      </c>
      <c r="D231" s="11">
        <v>15.232876712328771</v>
      </c>
      <c r="E231" s="11">
        <v>19.846994535519123</v>
      </c>
      <c r="F231" s="11">
        <v>17.89071038251366</v>
      </c>
      <c r="G231" s="11"/>
      <c r="H231" s="11"/>
      <c r="I231" s="11"/>
      <c r="J231" s="11"/>
      <c r="K231" s="11"/>
    </row>
    <row r="232" spans="1:11">
      <c r="A232" s="12" t="s">
        <v>1025</v>
      </c>
      <c r="B232" s="12" t="s">
        <v>832</v>
      </c>
      <c r="C232" s="301" t="s">
        <v>210</v>
      </c>
      <c r="D232" s="11">
        <v>111.8502283105023</v>
      </c>
      <c r="E232" s="11">
        <v>52.96812386156649</v>
      </c>
      <c r="F232" s="11">
        <v>51.758652094717661</v>
      </c>
      <c r="G232" s="11"/>
      <c r="H232" s="11"/>
      <c r="I232" s="11"/>
      <c r="J232" s="11"/>
      <c r="K232" s="11"/>
    </row>
    <row r="233" spans="1:11">
      <c r="A233" s="12" t="s">
        <v>1026</v>
      </c>
      <c r="B233" s="12" t="s">
        <v>834</v>
      </c>
      <c r="C233" s="301" t="s">
        <v>210</v>
      </c>
      <c r="D233" s="11">
        <v>50.278538812785392</v>
      </c>
      <c r="E233" s="11">
        <v>90.650273224043701</v>
      </c>
      <c r="F233" s="11">
        <v>88.752276867030972</v>
      </c>
      <c r="G233" s="11"/>
      <c r="H233" s="11"/>
      <c r="I233" s="11"/>
      <c r="J233" s="11"/>
      <c r="K233" s="11"/>
    </row>
    <row r="234" spans="1:11">
      <c r="A234" s="12" t="s">
        <v>1027</v>
      </c>
      <c r="B234" s="12" t="s">
        <v>836</v>
      </c>
      <c r="C234" s="301" t="s">
        <v>210</v>
      </c>
      <c r="D234" s="11">
        <v>2.2219178082191782</v>
      </c>
      <c r="E234" s="11">
        <v>1.2595628415300546</v>
      </c>
      <c r="F234" s="11">
        <v>1.6721311475409837</v>
      </c>
      <c r="G234" s="11"/>
      <c r="H234" s="11"/>
      <c r="I234" s="11"/>
      <c r="J234" s="11"/>
      <c r="K234" s="11"/>
    </row>
    <row r="235" spans="1:11">
      <c r="A235" s="12" t="s">
        <v>1028</v>
      </c>
      <c r="B235" s="12" t="s">
        <v>838</v>
      </c>
      <c r="C235" s="301" t="s">
        <v>210</v>
      </c>
      <c r="D235" s="11">
        <v>8.3543378995433795</v>
      </c>
      <c r="E235" s="11">
        <v>3.7768670309653913</v>
      </c>
      <c r="F235" s="11">
        <v>3.8479052823315119</v>
      </c>
      <c r="G235" s="11"/>
      <c r="H235" s="11"/>
      <c r="I235" s="11"/>
      <c r="J235" s="11"/>
      <c r="K235" s="11"/>
    </row>
    <row r="236" spans="1:11">
      <c r="A236" s="12" t="s">
        <v>1029</v>
      </c>
      <c r="B236" s="12" t="s">
        <v>840</v>
      </c>
      <c r="C236" s="301" t="s">
        <v>210</v>
      </c>
      <c r="D236" s="11">
        <v>8.6931506849315081</v>
      </c>
      <c r="E236" s="11">
        <v>15.364298724954461</v>
      </c>
      <c r="F236" s="11">
        <v>14.987249544626595</v>
      </c>
      <c r="G236" s="11"/>
      <c r="H236" s="11"/>
      <c r="I236" s="11"/>
      <c r="J236" s="11"/>
      <c r="K236" s="11"/>
    </row>
    <row r="237" spans="1:11">
      <c r="A237" s="12" t="s">
        <v>1030</v>
      </c>
      <c r="B237" s="12" t="s">
        <v>842</v>
      </c>
      <c r="C237" s="301" t="s">
        <v>210</v>
      </c>
      <c r="D237" s="11">
        <v>0.94794520547945205</v>
      </c>
      <c r="E237" s="11">
        <v>1.2295081967213113</v>
      </c>
      <c r="F237" s="11">
        <v>2.1010928961748632</v>
      </c>
      <c r="G237" s="11"/>
      <c r="H237" s="11"/>
      <c r="I237" s="11"/>
      <c r="J237" s="11"/>
      <c r="K237" s="11"/>
    </row>
    <row r="238" spans="1:11">
      <c r="A238" s="12" t="s">
        <v>1031</v>
      </c>
      <c r="B238" s="12" t="s">
        <v>844</v>
      </c>
      <c r="C238" s="301" t="s">
        <v>210</v>
      </c>
      <c r="D238" s="11">
        <v>5.6876712328767125</v>
      </c>
      <c r="E238" s="11">
        <v>2.1930783242258651</v>
      </c>
      <c r="F238" s="11">
        <v>2.3852459016393444</v>
      </c>
      <c r="G238" s="11"/>
      <c r="H238" s="11"/>
      <c r="I238" s="11"/>
      <c r="J238" s="11"/>
      <c r="K238" s="11"/>
    </row>
    <row r="239" spans="1:11">
      <c r="A239" s="12" t="s">
        <v>1032</v>
      </c>
      <c r="B239" s="12" t="s">
        <v>846</v>
      </c>
      <c r="C239" s="301" t="s">
        <v>210</v>
      </c>
      <c r="D239" s="11">
        <v>3.9735159817351597</v>
      </c>
      <c r="E239" s="11">
        <v>5.5191256830601096</v>
      </c>
      <c r="F239" s="11">
        <v>5.9581056466302371</v>
      </c>
      <c r="G239" s="11"/>
      <c r="H239" s="11"/>
      <c r="I239" s="11"/>
      <c r="J239" s="11"/>
      <c r="K239" s="11"/>
    </row>
    <row r="240" spans="1:11">
      <c r="A240" s="12" t="s">
        <v>1033</v>
      </c>
      <c r="B240" s="12" t="s">
        <v>848</v>
      </c>
      <c r="C240" s="301" t="s">
        <v>210</v>
      </c>
      <c r="D240" s="11">
        <v>0</v>
      </c>
      <c r="E240" s="11">
        <v>0</v>
      </c>
      <c r="F240" s="11">
        <v>0</v>
      </c>
      <c r="G240" s="11"/>
      <c r="H240" s="11"/>
      <c r="I240" s="11"/>
      <c r="J240" s="11"/>
      <c r="K240" s="11"/>
    </row>
    <row r="241" spans="1:11">
      <c r="A241" s="12" t="s">
        <v>1034</v>
      </c>
      <c r="B241" s="12" t="s">
        <v>850</v>
      </c>
      <c r="C241" s="301" t="s">
        <v>210</v>
      </c>
      <c r="D241" s="11">
        <v>0</v>
      </c>
      <c r="E241" s="11">
        <v>0</v>
      </c>
      <c r="F241" s="11">
        <v>0</v>
      </c>
      <c r="G241" s="11"/>
      <c r="H241" s="11"/>
      <c r="I241" s="11"/>
      <c r="J241" s="11"/>
      <c r="K241" s="11"/>
    </row>
    <row r="242" spans="1:11">
      <c r="A242" s="12" t="s">
        <v>1035</v>
      </c>
      <c r="B242" s="12" t="s">
        <v>852</v>
      </c>
      <c r="C242" s="301" t="s">
        <v>210</v>
      </c>
      <c r="D242" s="11">
        <v>0</v>
      </c>
      <c r="E242" s="11">
        <v>0</v>
      </c>
      <c r="F242" s="11">
        <v>0</v>
      </c>
      <c r="G242" s="11"/>
      <c r="H242" s="11"/>
      <c r="I242" s="11"/>
      <c r="J242" s="11"/>
      <c r="K242" s="11"/>
    </row>
    <row r="243" spans="1:11">
      <c r="A243" s="12" t="s">
        <v>1036</v>
      </c>
      <c r="B243" s="16" t="s">
        <v>225</v>
      </c>
      <c r="C243" s="294" t="s">
        <v>160</v>
      </c>
      <c r="D243" s="6">
        <v>18122.178082191807</v>
      </c>
      <c r="E243" s="6">
        <v>17813.177595628462</v>
      </c>
      <c r="F243" s="6">
        <f>SUM(F228:F242)</f>
        <v>17452.103825136688</v>
      </c>
      <c r="G243" s="6">
        <f t="shared" ref="G243:I243" si="62">SUM(G228:G242)</f>
        <v>0</v>
      </c>
      <c r="H243" s="6">
        <f t="shared" si="62"/>
        <v>0</v>
      </c>
      <c r="I243" s="6">
        <f t="shared" si="62"/>
        <v>0</v>
      </c>
      <c r="J243" s="6">
        <f t="shared" ref="J243:K243" si="63">SUM(J228:J242)</f>
        <v>0</v>
      </c>
      <c r="K243" s="6">
        <f t="shared" si="63"/>
        <v>0</v>
      </c>
    </row>
    <row r="244" spans="1:11">
      <c r="B244" s="9"/>
      <c r="C244" s="291"/>
      <c r="D244" s="7"/>
      <c r="E244" s="7"/>
      <c r="F244" s="7"/>
      <c r="G244" s="417"/>
      <c r="H244" s="417"/>
      <c r="I244" s="417"/>
      <c r="J244" s="417"/>
      <c r="K244" s="417"/>
    </row>
    <row r="245" spans="1:11">
      <c r="A245" s="273"/>
      <c r="B245" s="284" t="s">
        <v>242</v>
      </c>
      <c r="C245" s="295"/>
      <c r="D245" s="7"/>
      <c r="E245" s="7"/>
      <c r="F245" s="7"/>
      <c r="G245" s="417"/>
      <c r="H245" s="417"/>
      <c r="I245" s="417"/>
      <c r="J245" s="417"/>
      <c r="K245" s="417"/>
    </row>
    <row r="246" spans="1:11">
      <c r="A246" s="12" t="s">
        <v>1037</v>
      </c>
      <c r="B246" s="283" t="s">
        <v>824</v>
      </c>
      <c r="C246" s="289" t="s">
        <v>210</v>
      </c>
      <c r="D246" s="11">
        <v>12689.470410958902</v>
      </c>
      <c r="E246" s="11">
        <v>28441.173885181579</v>
      </c>
      <c r="F246" s="11">
        <v>21216.974315300529</v>
      </c>
      <c r="G246" s="11"/>
      <c r="H246" s="11"/>
      <c r="I246" s="11"/>
      <c r="J246" s="11"/>
      <c r="K246" s="11"/>
    </row>
    <row r="247" spans="1:11">
      <c r="A247" s="12" t="s">
        <v>1038</v>
      </c>
      <c r="B247" s="12" t="s">
        <v>826</v>
      </c>
      <c r="C247" s="289" t="s">
        <v>210</v>
      </c>
      <c r="D247" s="11">
        <v>217072.42502283098</v>
      </c>
      <c r="E247" s="11">
        <v>116891.84384492273</v>
      </c>
      <c r="F247" s="11">
        <v>101830.11299034576</v>
      </c>
      <c r="G247" s="11"/>
      <c r="H247" s="11"/>
      <c r="I247" s="11"/>
      <c r="J247" s="11"/>
      <c r="K247" s="11"/>
    </row>
    <row r="248" spans="1:11">
      <c r="A248" s="12" t="s">
        <v>1039</v>
      </c>
      <c r="B248" s="12" t="s">
        <v>828</v>
      </c>
      <c r="C248" s="289" t="s">
        <v>210</v>
      </c>
      <c r="D248" s="11">
        <v>112530.58036529685</v>
      </c>
      <c r="E248" s="11">
        <v>240302.34991083873</v>
      </c>
      <c r="F248" s="11">
        <v>211642.15268815958</v>
      </c>
      <c r="G248" s="11"/>
      <c r="H248" s="11"/>
      <c r="I248" s="11"/>
      <c r="J248" s="11"/>
      <c r="K248" s="11"/>
    </row>
    <row r="249" spans="1:11">
      <c r="A249" s="12" t="s">
        <v>1040</v>
      </c>
      <c r="B249" s="12" t="s">
        <v>830</v>
      </c>
      <c r="C249" s="289" t="s">
        <v>210</v>
      </c>
      <c r="D249" s="11">
        <v>3503.5616438356155</v>
      </c>
      <c r="E249" s="11">
        <v>4564.8087431693984</v>
      </c>
      <c r="F249" s="11">
        <v>4114.863387978141</v>
      </c>
      <c r="G249" s="11"/>
      <c r="H249" s="11"/>
      <c r="I249" s="11"/>
      <c r="J249" s="11"/>
      <c r="K249" s="11"/>
    </row>
    <row r="250" spans="1:11">
      <c r="A250" s="12" t="s">
        <v>1041</v>
      </c>
      <c r="B250" s="12" t="s">
        <v>832</v>
      </c>
      <c r="C250" s="289" t="s">
        <v>210</v>
      </c>
      <c r="D250" s="11">
        <v>25725.552511415521</v>
      </c>
      <c r="E250" s="11">
        <v>1589.0437158469947</v>
      </c>
      <c r="F250" s="11">
        <v>11904.48998178506</v>
      </c>
      <c r="G250" s="11"/>
      <c r="H250" s="11"/>
      <c r="I250" s="11"/>
      <c r="J250" s="11"/>
      <c r="K250" s="11"/>
    </row>
    <row r="251" spans="1:11">
      <c r="A251" s="12" t="s">
        <v>1042</v>
      </c>
      <c r="B251" s="12" t="s">
        <v>834</v>
      </c>
      <c r="C251" s="289" t="s">
        <v>210</v>
      </c>
      <c r="D251" s="11">
        <v>11564.06392694064</v>
      </c>
      <c r="E251" s="11">
        <v>2719.5081967213114</v>
      </c>
      <c r="F251" s="11">
        <v>20413.023679417121</v>
      </c>
      <c r="G251" s="11"/>
      <c r="H251" s="11"/>
      <c r="I251" s="11"/>
      <c r="J251" s="11"/>
      <c r="K251" s="11"/>
    </row>
    <row r="252" spans="1:11">
      <c r="A252" s="12" t="s">
        <v>1043</v>
      </c>
      <c r="B252" s="12" t="s">
        <v>836</v>
      </c>
      <c r="C252" s="289" t="s">
        <v>210</v>
      </c>
      <c r="D252" s="11">
        <v>1066.5205479452054</v>
      </c>
      <c r="E252" s="11">
        <v>604.5901639344263</v>
      </c>
      <c r="F252" s="11">
        <v>802.62295081967216</v>
      </c>
      <c r="G252" s="11"/>
      <c r="H252" s="11"/>
      <c r="I252" s="11"/>
      <c r="J252" s="11"/>
      <c r="K252" s="11"/>
    </row>
    <row r="253" spans="1:11">
      <c r="A253" s="12" t="s">
        <v>1044</v>
      </c>
      <c r="B253" s="12" t="s">
        <v>838</v>
      </c>
      <c r="C253" s="289" t="s">
        <v>210</v>
      </c>
      <c r="D253" s="11">
        <v>4010.0821917808221</v>
      </c>
      <c r="E253" s="11">
        <v>113.30601092896175</v>
      </c>
      <c r="F253" s="11">
        <v>1846.9945355191257</v>
      </c>
      <c r="G253" s="11"/>
      <c r="H253" s="11"/>
      <c r="I253" s="11"/>
      <c r="J253" s="11"/>
      <c r="K253" s="11"/>
    </row>
    <row r="254" spans="1:11">
      <c r="A254" s="12" t="s">
        <v>1045</v>
      </c>
      <c r="B254" s="12" t="s">
        <v>840</v>
      </c>
      <c r="C254" s="289" t="s">
        <v>210</v>
      </c>
      <c r="D254" s="11">
        <v>4172.7123287671229</v>
      </c>
      <c r="E254" s="11">
        <v>460.92896174863387</v>
      </c>
      <c r="F254" s="11">
        <v>7193.8797814207655</v>
      </c>
      <c r="G254" s="11"/>
      <c r="H254" s="11"/>
      <c r="I254" s="11"/>
      <c r="J254" s="11"/>
      <c r="K254" s="11"/>
    </row>
    <row r="255" spans="1:11">
      <c r="A255" s="12" t="s">
        <v>1046</v>
      </c>
      <c r="B255" s="12" t="s">
        <v>842</v>
      </c>
      <c r="C255" s="289" t="s">
        <v>210</v>
      </c>
      <c r="D255" s="11">
        <v>1402.958904109589</v>
      </c>
      <c r="E255" s="11">
        <v>1819.6721311475412</v>
      </c>
      <c r="F255" s="11">
        <v>3109.6174863387978</v>
      </c>
      <c r="G255" s="11"/>
      <c r="H255" s="11"/>
      <c r="I255" s="11"/>
      <c r="J255" s="11"/>
      <c r="K255" s="11"/>
    </row>
    <row r="256" spans="1:11">
      <c r="A256" s="12" t="s">
        <v>1047</v>
      </c>
      <c r="B256" s="12" t="s">
        <v>844</v>
      </c>
      <c r="C256" s="289" t="s">
        <v>210</v>
      </c>
      <c r="D256" s="11">
        <v>8417.7534246575342</v>
      </c>
      <c r="E256" s="11">
        <v>65.792349726775953</v>
      </c>
      <c r="F256" s="11">
        <v>3530.1639344262298</v>
      </c>
      <c r="G256" s="11"/>
      <c r="H256" s="11"/>
      <c r="I256" s="11"/>
      <c r="J256" s="11"/>
      <c r="K256" s="11"/>
    </row>
    <row r="257" spans="1:11">
      <c r="A257" s="12" t="s">
        <v>1048</v>
      </c>
      <c r="B257" s="12" t="s">
        <v>846</v>
      </c>
      <c r="C257" s="289" t="s">
        <v>210</v>
      </c>
      <c r="D257" s="11">
        <v>5880.8036529680367</v>
      </c>
      <c r="E257" s="11">
        <v>165.57377049180329</v>
      </c>
      <c r="F257" s="11">
        <v>8817.9963570127511</v>
      </c>
      <c r="G257" s="11"/>
      <c r="H257" s="11"/>
      <c r="I257" s="11"/>
      <c r="J257" s="11"/>
      <c r="K257" s="11"/>
    </row>
    <row r="258" spans="1:11">
      <c r="A258" s="12" t="s">
        <v>1049</v>
      </c>
      <c r="B258" s="12" t="s">
        <v>848</v>
      </c>
      <c r="C258" s="289" t="s">
        <v>210</v>
      </c>
      <c r="D258" s="11">
        <v>0</v>
      </c>
      <c r="E258" s="11">
        <v>0</v>
      </c>
      <c r="F258" s="11">
        <v>0</v>
      </c>
      <c r="G258" s="11"/>
      <c r="H258" s="11"/>
      <c r="I258" s="11"/>
      <c r="J258" s="11"/>
      <c r="K258" s="11"/>
    </row>
    <row r="259" spans="1:11">
      <c r="A259" s="12" t="s">
        <v>1050</v>
      </c>
      <c r="B259" s="12" t="s">
        <v>850</v>
      </c>
      <c r="C259" s="289" t="s">
        <v>210</v>
      </c>
      <c r="D259" s="11">
        <v>0</v>
      </c>
      <c r="E259" s="11">
        <v>0</v>
      </c>
      <c r="F259" s="11">
        <v>0</v>
      </c>
      <c r="G259" s="11"/>
      <c r="H259" s="11"/>
      <c r="I259" s="11"/>
      <c r="J259" s="11"/>
      <c r="K259" s="11"/>
    </row>
    <row r="260" spans="1:11">
      <c r="A260" s="12" t="s">
        <v>1051</v>
      </c>
      <c r="B260" s="12" t="s">
        <v>852</v>
      </c>
      <c r="C260" s="289" t="s">
        <v>210</v>
      </c>
      <c r="D260" s="11">
        <v>0</v>
      </c>
      <c r="E260" s="11">
        <v>0</v>
      </c>
      <c r="F260" s="11">
        <v>0</v>
      </c>
      <c r="G260" s="11"/>
      <c r="H260" s="11"/>
      <c r="I260" s="11"/>
      <c r="J260" s="11"/>
      <c r="K260" s="11"/>
    </row>
    <row r="261" spans="1:11">
      <c r="A261" s="12" t="s">
        <v>1052</v>
      </c>
      <c r="B261" s="12" t="s">
        <v>225</v>
      </c>
      <c r="C261" s="289" t="s">
        <v>160</v>
      </c>
      <c r="D261" s="6">
        <v>408036.48493150686</v>
      </c>
      <c r="E261" s="6">
        <v>397738.5916846589</v>
      </c>
      <c r="F261" s="6">
        <f>SUM(F246:F260)</f>
        <v>396422.89208852348</v>
      </c>
      <c r="G261" s="6">
        <f t="shared" ref="G261:I261" si="64">SUM(G246:G260)</f>
        <v>0</v>
      </c>
      <c r="H261" s="6">
        <f t="shared" si="64"/>
        <v>0</v>
      </c>
      <c r="I261" s="6">
        <f t="shared" si="64"/>
        <v>0</v>
      </c>
      <c r="J261" s="6">
        <f t="shared" ref="J261:K261" si="65">SUM(J246:J260)</f>
        <v>0</v>
      </c>
      <c r="K261" s="6">
        <f t="shared" si="65"/>
        <v>0</v>
      </c>
    </row>
    <row r="262" spans="1:11">
      <c r="B262" s="21"/>
      <c r="C262" s="22"/>
      <c r="D262" s="421"/>
      <c r="E262" s="421"/>
      <c r="F262" s="421"/>
      <c r="G262" s="417"/>
      <c r="H262" s="417"/>
      <c r="I262" s="417"/>
      <c r="J262" s="417"/>
      <c r="K262" s="417"/>
    </row>
    <row r="263" spans="1:11">
      <c r="B263" s="21"/>
      <c r="C263" s="22"/>
      <c r="D263" s="421"/>
      <c r="E263" s="421"/>
      <c r="F263" s="421"/>
      <c r="G263" s="417"/>
      <c r="H263" s="417"/>
      <c r="I263" s="417"/>
      <c r="J263" s="417"/>
      <c r="K263" s="417"/>
    </row>
    <row r="264" spans="1:11">
      <c r="A264" s="450"/>
      <c r="B264" s="284" t="s">
        <v>870</v>
      </c>
      <c r="C264" s="22"/>
      <c r="D264" s="421"/>
      <c r="E264" s="421"/>
      <c r="F264" s="421"/>
      <c r="G264" s="417"/>
      <c r="H264" s="417"/>
      <c r="I264" s="417"/>
      <c r="J264" s="417"/>
      <c r="K264" s="417"/>
    </row>
    <row r="265" spans="1:11">
      <c r="A265" s="283" t="s">
        <v>1053</v>
      </c>
      <c r="B265" s="283" t="s">
        <v>252</v>
      </c>
      <c r="C265" s="302" t="s">
        <v>210</v>
      </c>
      <c r="D265" s="11">
        <v>199513.16082191787</v>
      </c>
      <c r="E265" s="11">
        <v>293754.202853825</v>
      </c>
      <c r="F265" s="11">
        <v>303853.97284644813</v>
      </c>
      <c r="G265" s="11"/>
      <c r="H265" s="11"/>
      <c r="I265" s="11"/>
      <c r="J265" s="11"/>
      <c r="K265" s="11"/>
    </row>
    <row r="266" spans="1:11">
      <c r="B266" s="21"/>
      <c r="C266" s="22"/>
      <c r="D266" s="421"/>
      <c r="E266" s="421"/>
      <c r="F266" s="421"/>
      <c r="G266" s="417"/>
      <c r="H266" s="417"/>
      <c r="I266" s="417"/>
      <c r="J266" s="417"/>
      <c r="K266" s="417"/>
    </row>
    <row r="267" spans="1:11">
      <c r="A267" s="273"/>
      <c r="B267" s="284" t="s">
        <v>877</v>
      </c>
      <c r="C267" s="448"/>
      <c r="D267" s="449"/>
      <c r="E267" s="449"/>
      <c r="F267" s="449"/>
      <c r="G267" s="417"/>
      <c r="H267" s="417"/>
      <c r="I267" s="417"/>
      <c r="J267" s="417"/>
      <c r="K267" s="417"/>
    </row>
    <row r="268" spans="1:11">
      <c r="A268" s="12" t="s">
        <v>1054</v>
      </c>
      <c r="B268" s="283" t="s">
        <v>252</v>
      </c>
      <c r="C268" s="446" t="s">
        <v>210</v>
      </c>
      <c r="D268" s="447">
        <v>2485162.5882191793</v>
      </c>
      <c r="E268" s="447">
        <v>1173094.5090767874</v>
      </c>
      <c r="F268" s="447">
        <v>1172632.5831287839</v>
      </c>
      <c r="G268" s="11"/>
      <c r="H268" s="11"/>
      <c r="I268" s="11"/>
      <c r="J268" s="11"/>
      <c r="K268" s="11"/>
    </row>
    <row r="269" spans="1:11">
      <c r="B269" s="21"/>
      <c r="C269" s="22"/>
      <c r="D269" s="421"/>
      <c r="E269" s="421"/>
      <c r="F269" s="421"/>
      <c r="G269" s="417"/>
      <c r="H269" s="417"/>
      <c r="I269" s="417"/>
      <c r="J269" s="417"/>
      <c r="K269" s="417"/>
    </row>
    <row r="270" spans="1:11">
      <c r="A270" s="273"/>
      <c r="B270" s="284" t="s">
        <v>884</v>
      </c>
      <c r="C270" s="448"/>
      <c r="D270" s="449"/>
      <c r="E270" s="449"/>
      <c r="F270" s="449"/>
      <c r="G270" s="417"/>
      <c r="H270" s="417"/>
      <c r="I270" s="417"/>
      <c r="J270" s="417"/>
      <c r="K270" s="417"/>
    </row>
    <row r="271" spans="1:11">
      <c r="A271" s="12" t="s">
        <v>1055</v>
      </c>
      <c r="B271" s="283" t="s">
        <v>252</v>
      </c>
      <c r="C271" s="446" t="s">
        <v>210</v>
      </c>
      <c r="D271" s="447">
        <v>1311869.653287671</v>
      </c>
      <c r="E271" s="447">
        <v>2422182.0727883396</v>
      </c>
      <c r="F271" s="447">
        <v>2406412.3636003635</v>
      </c>
      <c r="G271" s="11"/>
      <c r="H271" s="11"/>
      <c r="I271" s="11"/>
      <c r="J271" s="11"/>
      <c r="K271" s="11"/>
    </row>
    <row r="272" spans="1:11">
      <c r="B272" s="21"/>
      <c r="C272" s="22"/>
      <c r="D272" s="421"/>
      <c r="E272" s="421"/>
      <c r="F272" s="421"/>
      <c r="G272" s="417"/>
      <c r="H272" s="417"/>
      <c r="I272" s="417"/>
      <c r="J272" s="417"/>
      <c r="K272" s="417"/>
    </row>
    <row r="273" spans="1:11">
      <c r="B273" s="9"/>
      <c r="C273" s="291"/>
      <c r="D273" s="7"/>
      <c r="E273" s="7"/>
      <c r="F273" s="7"/>
      <c r="G273" s="417"/>
      <c r="H273" s="417"/>
      <c r="I273" s="417"/>
      <c r="J273" s="417"/>
      <c r="K273" s="417"/>
    </row>
    <row r="274" spans="1:11">
      <c r="A274" s="273"/>
      <c r="B274" s="284" t="s">
        <v>267</v>
      </c>
      <c r="C274" s="295"/>
      <c r="D274" s="7"/>
      <c r="E274" s="7"/>
      <c r="F274" s="7"/>
      <c r="G274" s="417"/>
      <c r="H274" s="417"/>
      <c r="I274" s="417"/>
      <c r="J274" s="417"/>
      <c r="K274" s="417"/>
    </row>
    <row r="275" spans="1:11">
      <c r="A275" s="12" t="s">
        <v>1056</v>
      </c>
      <c r="B275" s="286" t="s">
        <v>892</v>
      </c>
      <c r="C275" s="303" t="s">
        <v>210</v>
      </c>
      <c r="D275" s="11">
        <v>48</v>
      </c>
      <c r="E275" s="11">
        <v>49</v>
      </c>
      <c r="F275" s="11">
        <v>49</v>
      </c>
      <c r="G275" s="11"/>
      <c r="H275" s="11"/>
      <c r="I275" s="11"/>
      <c r="J275" s="11"/>
      <c r="K275" s="11"/>
    </row>
    <row r="276" spans="1:11">
      <c r="A276" s="12" t="s">
        <v>1057</v>
      </c>
      <c r="B276" s="16" t="s">
        <v>894</v>
      </c>
      <c r="C276" s="303" t="s">
        <v>210</v>
      </c>
      <c r="D276" s="11">
        <v>47</v>
      </c>
      <c r="E276" s="11">
        <v>47</v>
      </c>
      <c r="F276" s="11">
        <v>47</v>
      </c>
      <c r="G276" s="11"/>
      <c r="H276" s="11"/>
      <c r="I276" s="11"/>
      <c r="J276" s="11"/>
      <c r="K276" s="11"/>
    </row>
    <row r="277" spans="1:11">
      <c r="A277" s="12" t="s">
        <v>1058</v>
      </c>
      <c r="B277" s="16" t="s">
        <v>896</v>
      </c>
      <c r="C277" s="303" t="s">
        <v>210</v>
      </c>
      <c r="D277" s="11">
        <v>50</v>
      </c>
      <c r="E277" s="11">
        <v>50</v>
      </c>
      <c r="F277" s="11">
        <v>50</v>
      </c>
      <c r="G277" s="11"/>
      <c r="H277" s="11"/>
      <c r="I277" s="11"/>
      <c r="J277" s="11"/>
      <c r="K277" s="11"/>
    </row>
    <row r="278" spans="1:11">
      <c r="A278" s="12" t="s">
        <v>1059</v>
      </c>
      <c r="B278" s="16" t="s">
        <v>898</v>
      </c>
      <c r="C278" s="303" t="s">
        <v>210</v>
      </c>
      <c r="D278" s="11">
        <v>101</v>
      </c>
      <c r="E278" s="11">
        <v>102</v>
      </c>
      <c r="F278" s="11">
        <v>102</v>
      </c>
      <c r="G278" s="11"/>
      <c r="H278" s="11"/>
      <c r="I278" s="11"/>
      <c r="J278" s="11"/>
      <c r="K278" s="11"/>
    </row>
    <row r="279" spans="1:11">
      <c r="A279" s="12" t="s">
        <v>1060</v>
      </c>
      <c r="B279" s="16" t="s">
        <v>900</v>
      </c>
      <c r="C279" s="303" t="s">
        <v>210</v>
      </c>
      <c r="D279" s="11">
        <v>100</v>
      </c>
      <c r="E279" s="11">
        <v>100</v>
      </c>
      <c r="F279" s="11">
        <v>100</v>
      </c>
      <c r="G279" s="11"/>
      <c r="H279" s="11"/>
      <c r="I279" s="11"/>
      <c r="J279" s="11"/>
      <c r="K279" s="11"/>
    </row>
    <row r="280" spans="1:11">
      <c r="A280" s="12" t="s">
        <v>1061</v>
      </c>
      <c r="B280" s="16" t="s">
        <v>902</v>
      </c>
      <c r="C280" s="303" t="s">
        <v>210</v>
      </c>
      <c r="D280" s="11">
        <v>103</v>
      </c>
      <c r="E280" s="11">
        <v>103</v>
      </c>
      <c r="F280" s="11">
        <v>103</v>
      </c>
      <c r="G280" s="11"/>
      <c r="H280" s="11"/>
      <c r="I280" s="11"/>
      <c r="J280" s="11"/>
      <c r="K280" s="11"/>
    </row>
    <row r="281" spans="1:11">
      <c r="A281" s="12" t="s">
        <v>1062</v>
      </c>
      <c r="B281" s="16" t="s">
        <v>904</v>
      </c>
      <c r="C281" s="303" t="s">
        <v>210</v>
      </c>
      <c r="D281" s="11">
        <v>397</v>
      </c>
      <c r="E281" s="11">
        <v>404</v>
      </c>
      <c r="F281" s="11">
        <v>404</v>
      </c>
      <c r="G281" s="11"/>
      <c r="H281" s="11"/>
      <c r="I281" s="11"/>
      <c r="J281" s="11"/>
      <c r="K281" s="11"/>
    </row>
    <row r="282" spans="1:11">
      <c r="A282" s="12" t="s">
        <v>1063</v>
      </c>
      <c r="B282" s="16" t="s">
        <v>906</v>
      </c>
      <c r="C282" s="303" t="s">
        <v>210</v>
      </c>
      <c r="D282" s="11">
        <v>389</v>
      </c>
      <c r="E282" s="11">
        <v>389</v>
      </c>
      <c r="F282" s="11">
        <v>389</v>
      </c>
      <c r="G282" s="11"/>
      <c r="H282" s="11"/>
      <c r="I282" s="11"/>
      <c r="J282" s="11"/>
      <c r="K282" s="11"/>
    </row>
    <row r="283" spans="1:11">
      <c r="A283" s="12" t="s">
        <v>1064</v>
      </c>
      <c r="B283" s="16" t="s">
        <v>908</v>
      </c>
      <c r="C283" s="303" t="s">
        <v>210</v>
      </c>
      <c r="D283" s="11">
        <v>412</v>
      </c>
      <c r="E283" s="11">
        <v>412</v>
      </c>
      <c r="F283" s="11">
        <v>412</v>
      </c>
      <c r="G283" s="11"/>
      <c r="H283" s="11"/>
      <c r="I283" s="11"/>
      <c r="J283" s="11"/>
      <c r="K283" s="11"/>
    </row>
    <row r="284" spans="1:11">
      <c r="A284" s="12" t="s">
        <v>1065</v>
      </c>
      <c r="B284" s="16" t="s">
        <v>910</v>
      </c>
      <c r="C284" s="303" t="s">
        <v>210</v>
      </c>
      <c r="D284" s="11">
        <v>593</v>
      </c>
      <c r="E284" s="11">
        <v>605</v>
      </c>
      <c r="F284" s="11">
        <v>605</v>
      </c>
      <c r="G284" s="11"/>
      <c r="H284" s="11"/>
      <c r="I284" s="11"/>
      <c r="J284" s="11"/>
      <c r="K284" s="11"/>
    </row>
    <row r="285" spans="1:11">
      <c r="A285" s="12" t="s">
        <v>1066</v>
      </c>
      <c r="B285" s="16" t="s">
        <v>912</v>
      </c>
      <c r="C285" s="303" t="s">
        <v>210</v>
      </c>
      <c r="D285" s="11">
        <v>581</v>
      </c>
      <c r="E285" s="11">
        <v>581</v>
      </c>
      <c r="F285" s="11">
        <v>581</v>
      </c>
      <c r="G285" s="11"/>
      <c r="H285" s="11"/>
      <c r="I285" s="11"/>
      <c r="J285" s="11"/>
      <c r="K285" s="11"/>
    </row>
    <row r="286" spans="1:11">
      <c r="A286" s="12" t="s">
        <v>1067</v>
      </c>
      <c r="B286" s="12" t="s">
        <v>914</v>
      </c>
      <c r="C286" s="303" t="s">
        <v>210</v>
      </c>
      <c r="D286" s="11">
        <v>617</v>
      </c>
      <c r="E286" s="11">
        <v>617</v>
      </c>
      <c r="F286" s="11">
        <v>617</v>
      </c>
      <c r="G286" s="11"/>
      <c r="H286" s="11"/>
      <c r="I286" s="11"/>
      <c r="J286" s="11"/>
      <c r="K286" s="11"/>
    </row>
    <row r="287" spans="1:11">
      <c r="A287" s="12" t="s">
        <v>1068</v>
      </c>
      <c r="B287" s="12" t="s">
        <v>916</v>
      </c>
      <c r="C287" s="303" t="s">
        <v>210</v>
      </c>
      <c r="D287" s="11">
        <v>1607</v>
      </c>
      <c r="E287" s="11">
        <v>1639</v>
      </c>
      <c r="F287" s="11">
        <v>1639</v>
      </c>
      <c r="G287" s="11"/>
      <c r="H287" s="11"/>
      <c r="I287" s="11"/>
      <c r="J287" s="11"/>
      <c r="K287" s="11"/>
    </row>
    <row r="288" spans="1:11">
      <c r="A288" s="12" t="s">
        <v>1069</v>
      </c>
      <c r="B288" s="12" t="s">
        <v>918</v>
      </c>
      <c r="C288" s="303" t="s">
        <v>210</v>
      </c>
      <c r="D288" s="11">
        <v>1575</v>
      </c>
      <c r="E288" s="11">
        <v>1575</v>
      </c>
      <c r="F288" s="11">
        <v>1575</v>
      </c>
      <c r="G288" s="11"/>
      <c r="H288" s="11"/>
      <c r="I288" s="11"/>
      <c r="J288" s="11"/>
      <c r="K288" s="11"/>
    </row>
    <row r="289" spans="1:11">
      <c r="A289" s="12" t="s">
        <v>1070</v>
      </c>
      <c r="B289" s="16" t="s">
        <v>920</v>
      </c>
      <c r="C289" s="303" t="s">
        <v>210</v>
      </c>
      <c r="D289" s="11">
        <v>1672</v>
      </c>
      <c r="E289" s="11">
        <v>1672</v>
      </c>
      <c r="F289" s="11">
        <v>1672</v>
      </c>
      <c r="G289" s="11"/>
      <c r="H289" s="11"/>
      <c r="I289" s="11"/>
      <c r="J289" s="11"/>
      <c r="K289" s="11"/>
    </row>
    <row r="290" spans="1:11">
      <c r="B290" s="9"/>
      <c r="C290" s="291"/>
      <c r="D290" s="7"/>
      <c r="E290" s="7"/>
      <c r="F290" s="7"/>
      <c r="G290" s="417"/>
      <c r="H290" s="417"/>
      <c r="I290" s="417"/>
      <c r="J290" s="417"/>
      <c r="K290" s="417"/>
    </row>
    <row r="291" spans="1:11">
      <c r="A291" s="273"/>
      <c r="B291" s="284" t="s">
        <v>522</v>
      </c>
      <c r="C291" s="295"/>
      <c r="D291" s="7"/>
      <c r="E291" s="7"/>
      <c r="F291" s="7"/>
      <c r="G291" s="417"/>
      <c r="H291" s="417"/>
      <c r="I291" s="417"/>
      <c r="J291" s="417"/>
      <c r="K291" s="417"/>
    </row>
    <row r="292" spans="1:11">
      <c r="A292" s="12" t="s">
        <v>1071</v>
      </c>
      <c r="B292" s="286" t="s">
        <v>923</v>
      </c>
      <c r="C292" s="302" t="s">
        <v>210</v>
      </c>
      <c r="D292" s="40">
        <v>0.67400000000000004</v>
      </c>
      <c r="E292" s="40">
        <v>0.6875</v>
      </c>
      <c r="F292" s="40">
        <v>0.6875</v>
      </c>
      <c r="G292" s="40"/>
      <c r="H292" s="40"/>
      <c r="I292" s="40"/>
      <c r="J292" s="40"/>
      <c r="K292" s="40"/>
    </row>
    <row r="293" spans="1:11">
      <c r="A293" s="12" t="s">
        <v>1072</v>
      </c>
      <c r="B293" s="16" t="s">
        <v>925</v>
      </c>
      <c r="C293" s="302" t="s">
        <v>210</v>
      </c>
      <c r="D293" s="40">
        <v>0.66080000000000005</v>
      </c>
      <c r="E293" s="40">
        <v>0.66080000000000005</v>
      </c>
      <c r="F293" s="40">
        <v>0.66080000000000005</v>
      </c>
      <c r="G293" s="40"/>
      <c r="H293" s="40"/>
      <c r="I293" s="40"/>
      <c r="J293" s="40"/>
      <c r="K293" s="40"/>
    </row>
    <row r="294" spans="1:11">
      <c r="A294" s="12" t="s">
        <v>1073</v>
      </c>
      <c r="B294" s="16" t="s">
        <v>927</v>
      </c>
      <c r="C294" s="302" t="s">
        <v>210</v>
      </c>
      <c r="D294" s="40">
        <v>0.70130000000000003</v>
      </c>
      <c r="E294" s="40">
        <v>0.70130000000000003</v>
      </c>
      <c r="F294" s="40">
        <v>0.70130000000000003</v>
      </c>
      <c r="G294" s="40"/>
      <c r="H294" s="40"/>
      <c r="I294" s="40"/>
      <c r="J294" s="40"/>
      <c r="K294" s="40"/>
    </row>
    <row r="295" spans="1:11">
      <c r="A295" s="12" t="s">
        <v>1074</v>
      </c>
      <c r="B295" s="16" t="s">
        <v>1075</v>
      </c>
      <c r="C295" s="302" t="s">
        <v>210</v>
      </c>
      <c r="D295" s="40">
        <v>0.80769999999999997</v>
      </c>
      <c r="E295" s="40">
        <v>0.82389999999999997</v>
      </c>
      <c r="F295" s="40">
        <v>0.82389999999999997</v>
      </c>
      <c r="G295" s="40"/>
      <c r="H295" s="40"/>
      <c r="I295" s="40"/>
      <c r="J295" s="40"/>
      <c r="K295" s="40"/>
    </row>
    <row r="296" spans="1:11">
      <c r="A296" s="12" t="s">
        <v>1076</v>
      </c>
      <c r="B296" s="16" t="s">
        <v>1077</v>
      </c>
      <c r="C296" s="302" t="s">
        <v>210</v>
      </c>
      <c r="D296" s="40">
        <v>0.79190000000000005</v>
      </c>
      <c r="E296" s="40">
        <v>0.79190000000000005</v>
      </c>
      <c r="F296" s="40">
        <v>0.79190000000000005</v>
      </c>
      <c r="G296" s="40"/>
      <c r="H296" s="40"/>
      <c r="I296" s="40"/>
      <c r="J296" s="40"/>
      <c r="K296" s="40"/>
    </row>
    <row r="297" spans="1:11">
      <c r="A297" s="12" t="s">
        <v>1078</v>
      </c>
      <c r="B297" s="16" t="s">
        <v>1079</v>
      </c>
      <c r="C297" s="302" t="s">
        <v>210</v>
      </c>
      <c r="D297" s="40">
        <v>0.84040000000000004</v>
      </c>
      <c r="E297" s="40">
        <v>0.84040000000000004</v>
      </c>
      <c r="F297" s="40">
        <v>0.84040000000000004</v>
      </c>
      <c r="G297" s="40"/>
      <c r="H297" s="40"/>
      <c r="I297" s="40"/>
      <c r="J297" s="40"/>
      <c r="K297" s="40"/>
    </row>
    <row r="298" spans="1:11">
      <c r="B298" s="9"/>
      <c r="C298" s="291"/>
      <c r="D298" s="7"/>
      <c r="E298" s="7"/>
      <c r="F298" s="7"/>
      <c r="G298" s="417"/>
      <c r="H298" s="417"/>
      <c r="I298" s="417"/>
      <c r="J298" s="417"/>
      <c r="K298" s="417"/>
    </row>
    <row r="299" spans="1:11">
      <c r="A299" s="273"/>
      <c r="B299" s="284" t="s">
        <v>296</v>
      </c>
      <c r="C299" s="295"/>
      <c r="D299" s="7"/>
      <c r="E299" s="7"/>
      <c r="F299" s="7"/>
      <c r="G299" s="417"/>
      <c r="H299" s="417"/>
      <c r="I299" s="417"/>
      <c r="J299" s="417"/>
      <c r="K299" s="417"/>
    </row>
    <row r="300" spans="1:11">
      <c r="A300" s="12" t="s">
        <v>1080</v>
      </c>
      <c r="B300" s="23" t="s">
        <v>298</v>
      </c>
      <c r="C300" s="300" t="s">
        <v>210</v>
      </c>
      <c r="D300" s="11">
        <v>6240</v>
      </c>
      <c r="E300" s="11">
        <v>6027</v>
      </c>
      <c r="F300" s="11">
        <v>6204.7731936415057</v>
      </c>
      <c r="G300" s="11"/>
      <c r="H300" s="11"/>
      <c r="I300" s="11"/>
      <c r="J300" s="11"/>
      <c r="K300" s="11"/>
    </row>
    <row r="301" spans="1:11">
      <c r="A301" s="12" t="s">
        <v>1081</v>
      </c>
      <c r="B301" s="19" t="s">
        <v>301</v>
      </c>
      <c r="C301" s="300" t="s">
        <v>210</v>
      </c>
      <c r="D301" s="11">
        <v>-13.51</v>
      </c>
      <c r="E301" s="11">
        <v>-13.8</v>
      </c>
      <c r="F301" s="11">
        <v>-13.8</v>
      </c>
      <c r="G301" s="11"/>
      <c r="H301" s="11"/>
      <c r="I301" s="11"/>
      <c r="J301" s="11"/>
      <c r="K301" s="11"/>
    </row>
    <row r="302" spans="1:11">
      <c r="C302" s="297"/>
      <c r="D302" s="7"/>
      <c r="E302" s="7"/>
      <c r="F302" s="7"/>
      <c r="G302" s="417"/>
      <c r="H302" s="417"/>
      <c r="I302" s="417"/>
      <c r="J302" s="417"/>
      <c r="K302" s="417"/>
    </row>
    <row r="303" spans="1:11">
      <c r="A303" s="273"/>
      <c r="B303" s="284" t="s">
        <v>303</v>
      </c>
      <c r="C303" s="295"/>
      <c r="D303" s="7"/>
      <c r="E303" s="7"/>
      <c r="F303" s="7"/>
      <c r="G303" s="417"/>
      <c r="H303" s="417"/>
      <c r="I303" s="417"/>
      <c r="J303" s="417"/>
      <c r="K303" s="417"/>
    </row>
    <row r="304" spans="1:11">
      <c r="A304" s="12" t="s">
        <v>1082</v>
      </c>
      <c r="B304" s="23" t="s">
        <v>305</v>
      </c>
      <c r="C304" s="294" t="s">
        <v>160</v>
      </c>
      <c r="D304" s="13">
        <v>891851.09863013809</v>
      </c>
      <c r="E304" s="13">
        <v>893794.21402550337</v>
      </c>
      <c r="F304" s="13">
        <f>SUMPRODUCT(F228:F242,F275:F289)</f>
        <v>876703.52367942117</v>
      </c>
      <c r="G304" s="13">
        <f t="shared" ref="G304:I304" si="66">SUMPRODUCT(G228:G242,G275:G289)</f>
        <v>0</v>
      </c>
      <c r="H304" s="13">
        <f t="shared" si="66"/>
        <v>0</v>
      </c>
      <c r="I304" s="13">
        <f t="shared" si="66"/>
        <v>0</v>
      </c>
      <c r="J304" s="13">
        <f t="shared" ref="J304:K304" si="67">SUMPRODUCT(J228:J242,J275:J289)</f>
        <v>0</v>
      </c>
      <c r="K304" s="13">
        <f t="shared" si="67"/>
        <v>0</v>
      </c>
    </row>
    <row r="305" spans="1:11">
      <c r="A305" s="12" t="s">
        <v>1083</v>
      </c>
      <c r="B305" s="19" t="s">
        <v>308</v>
      </c>
      <c r="C305" s="294" t="s">
        <v>160</v>
      </c>
      <c r="D305" s="13">
        <v>275309.854885726</v>
      </c>
      <c r="E305" s="13">
        <v>273639.40753869026</v>
      </c>
      <c r="F305" s="13">
        <f>+((F246+F249+F252+F255+F258)*F292)+((F247+F250+F253+F256+F259)*F293)+((F248+F251+F254+F257+F260)*F294)</f>
        <v>272783.77960493945</v>
      </c>
      <c r="G305" s="13">
        <f t="shared" ref="G305:I305" si="68">+((G246+G249+G252+G255+G258)*G292)+((G247+G250+G253+G256+G259)*G293)+((G248+G251+G254+G257+G260)*G294)</f>
        <v>0</v>
      </c>
      <c r="H305" s="13">
        <f t="shared" si="68"/>
        <v>0</v>
      </c>
      <c r="I305" s="13">
        <f t="shared" si="68"/>
        <v>0</v>
      </c>
      <c r="J305" s="13">
        <f t="shared" ref="J305:K305" si="69">+((J246+J249+J252+J255+J258)*J292)+((J247+J250+J253+J256+J259)*J293)+((J248+J251+J254+J257+J260)*J294)</f>
        <v>0</v>
      </c>
      <c r="K305" s="13">
        <f t="shared" si="69"/>
        <v>0</v>
      </c>
    </row>
    <row r="306" spans="1:11">
      <c r="A306" s="12" t="s">
        <v>1084</v>
      </c>
      <c r="B306" s="19" t="s">
        <v>311</v>
      </c>
      <c r="C306" s="294" t="s">
        <v>160</v>
      </c>
      <c r="D306" s="13">
        <v>3231642.2902295897</v>
      </c>
      <c r="E306" s="13">
        <v>3206599.4434404951</v>
      </c>
      <c r="F306" s="13">
        <f>+(F265*F295)+(F268*F296)+(F271*F297)</f>
        <v>3201301.9811776178</v>
      </c>
      <c r="G306" s="13">
        <f t="shared" ref="G306:I306" si="70">+(G265*G295)+(G268*G296)+(G271*G297)</f>
        <v>0</v>
      </c>
      <c r="H306" s="13">
        <f t="shared" si="70"/>
        <v>0</v>
      </c>
      <c r="I306" s="13">
        <f t="shared" si="70"/>
        <v>0</v>
      </c>
      <c r="J306" s="13">
        <f t="shared" ref="J306:K306" si="71">+(J265*J295)+(J268*J296)+(J271*J297)</f>
        <v>0</v>
      </c>
      <c r="K306" s="13">
        <f t="shared" si="71"/>
        <v>0</v>
      </c>
    </row>
    <row r="307" spans="1:11">
      <c r="A307" s="12" t="s">
        <v>1085</v>
      </c>
      <c r="B307" s="19" t="s">
        <v>314</v>
      </c>
      <c r="C307" s="294" t="s">
        <v>160</v>
      </c>
      <c r="D307" s="43">
        <f>+D300*D301</f>
        <v>-84302.399999999994</v>
      </c>
      <c r="E307" s="43">
        <f>+E300*E301</f>
        <v>-83172.600000000006</v>
      </c>
      <c r="F307" s="43">
        <f>+F300*F301</f>
        <v>-85625.870072252786</v>
      </c>
      <c r="G307" s="43">
        <f t="shared" ref="G307:I307" si="72">+G300*G301</f>
        <v>0</v>
      </c>
      <c r="H307" s="43">
        <f t="shared" si="72"/>
        <v>0</v>
      </c>
      <c r="I307" s="43">
        <f t="shared" si="72"/>
        <v>0</v>
      </c>
      <c r="J307" s="43">
        <f t="shared" ref="J307:K307" si="73">+J300*J301</f>
        <v>0</v>
      </c>
      <c r="K307" s="43">
        <f t="shared" si="73"/>
        <v>0</v>
      </c>
    </row>
    <row r="308" spans="1:11">
      <c r="A308" s="12" t="s">
        <v>1086</v>
      </c>
      <c r="B308" s="19" t="s">
        <v>176</v>
      </c>
      <c r="C308" s="294" t="s">
        <v>160</v>
      </c>
      <c r="D308" s="13">
        <f>SUM(D304:D307)</f>
        <v>4314500.8437454533</v>
      </c>
      <c r="E308" s="13">
        <f>SUM(E304:E307)</f>
        <v>4290860.4650046891</v>
      </c>
      <c r="F308" s="13">
        <f>SUM(F304:F307)</f>
        <v>4265163.4143897258</v>
      </c>
      <c r="G308" s="13">
        <f t="shared" ref="G308:I308" si="74">SUM(G304:G307)</f>
        <v>0</v>
      </c>
      <c r="H308" s="13">
        <f t="shared" si="74"/>
        <v>0</v>
      </c>
      <c r="I308" s="13">
        <f t="shared" si="74"/>
        <v>0</v>
      </c>
      <c r="J308" s="13">
        <f t="shared" ref="J308:K308" si="75">SUM(J304:J307)</f>
        <v>0</v>
      </c>
      <c r="K308" s="13">
        <f t="shared" si="75"/>
        <v>0</v>
      </c>
    </row>
    <row r="309" spans="1:11">
      <c r="C309" s="297"/>
      <c r="D309" s="7"/>
      <c r="E309" s="7"/>
      <c r="F309" s="7"/>
      <c r="G309" s="417"/>
      <c r="H309" s="417"/>
      <c r="I309" s="417"/>
      <c r="J309" s="417"/>
      <c r="K309" s="417"/>
    </row>
    <row r="310" spans="1:11">
      <c r="A310" s="273"/>
      <c r="B310" s="284" t="s">
        <v>539</v>
      </c>
      <c r="C310" s="290"/>
      <c r="D310" s="8"/>
      <c r="E310" s="8"/>
      <c r="F310" s="8"/>
      <c r="G310" s="417"/>
      <c r="H310" s="417"/>
      <c r="I310" s="417"/>
      <c r="J310" s="417"/>
      <c r="K310" s="417"/>
    </row>
    <row r="311" spans="1:11">
      <c r="A311" s="12" t="s">
        <v>1087</v>
      </c>
      <c r="B311" s="285" t="s">
        <v>541</v>
      </c>
      <c r="C311" s="289" t="s">
        <v>210</v>
      </c>
      <c r="D311" s="11">
        <v>444021.57760000287</v>
      </c>
      <c r="E311" s="11">
        <v>405731.89869999985</v>
      </c>
      <c r="F311" s="11">
        <v>413621.89280000137</v>
      </c>
      <c r="G311" s="11"/>
      <c r="H311" s="11"/>
      <c r="I311" s="11"/>
      <c r="J311" s="11"/>
      <c r="K311" s="11"/>
    </row>
    <row r="312" spans="1:11">
      <c r="A312" s="12" t="s">
        <v>1088</v>
      </c>
      <c r="B312" s="20" t="s">
        <v>544</v>
      </c>
      <c r="C312" s="294" t="s">
        <v>160</v>
      </c>
      <c r="D312" s="35">
        <f>D311/D308</f>
        <v>0.10291377697693162</v>
      </c>
      <c r="E312" s="35">
        <f>E311/E308</f>
        <v>9.4557234384352429E-2</v>
      </c>
      <c r="F312" s="35">
        <f>F311/F308</f>
        <v>9.6976798451504073E-2</v>
      </c>
      <c r="G312" s="35" t="e">
        <f t="shared" ref="G312:I312" si="76">G311/G308</f>
        <v>#DIV/0!</v>
      </c>
      <c r="H312" s="35" t="e">
        <f t="shared" si="76"/>
        <v>#DIV/0!</v>
      </c>
      <c r="I312" s="35" t="e">
        <f t="shared" si="76"/>
        <v>#DIV/0!</v>
      </c>
      <c r="J312" s="35" t="e">
        <f t="shared" ref="J312:K312" si="77">J311/J308</f>
        <v>#DIV/0!</v>
      </c>
      <c r="K312" s="35" t="e">
        <f t="shared" si="77"/>
        <v>#DIV/0!</v>
      </c>
    </row>
    <row r="313" spans="1:11">
      <c r="A313" s="12" t="s">
        <v>1089</v>
      </c>
      <c r="B313" s="20" t="s">
        <v>547</v>
      </c>
      <c r="C313" s="289" t="s">
        <v>210</v>
      </c>
      <c r="D313" s="11">
        <v>173705.94659999889</v>
      </c>
      <c r="E313" s="11">
        <f>169941.23</f>
        <v>169941.23</v>
      </c>
      <c r="F313" s="11">
        <v>161866.86689999967</v>
      </c>
      <c r="G313" s="11"/>
      <c r="H313" s="11"/>
      <c r="I313" s="11"/>
      <c r="J313" s="11"/>
      <c r="K313" s="11"/>
    </row>
    <row r="314" spans="1:11">
      <c r="A314" s="12" t="s">
        <v>1090</v>
      </c>
      <c r="B314" s="20" t="s">
        <v>550</v>
      </c>
      <c r="C314" s="294" t="s">
        <v>160</v>
      </c>
      <c r="D314" s="35">
        <f>D313/D308</f>
        <v>4.026096016456062E-2</v>
      </c>
      <c r="E314" s="35">
        <f>E313/E308</f>
        <v>3.9605396490052097E-2</v>
      </c>
      <c r="F314" s="35">
        <f>F313/F308</f>
        <v>3.795091797746749E-2</v>
      </c>
      <c r="G314" s="35" t="e">
        <f t="shared" ref="G314:I314" si="78">G313/G308</f>
        <v>#DIV/0!</v>
      </c>
      <c r="H314" s="35" t="e">
        <f t="shared" si="78"/>
        <v>#DIV/0!</v>
      </c>
      <c r="I314" s="35" t="e">
        <f t="shared" si="78"/>
        <v>#DIV/0!</v>
      </c>
      <c r="J314" s="35" t="e">
        <f t="shared" ref="J314:K314" si="79">J313/J308</f>
        <v>#DIV/0!</v>
      </c>
      <c r="K314" s="35" t="e">
        <f t="shared" si="79"/>
        <v>#DIV/0!</v>
      </c>
    </row>
    <row r="315" spans="1:11">
      <c r="A315" s="12" t="s">
        <v>1091</v>
      </c>
      <c r="B315" s="20" t="s">
        <v>332</v>
      </c>
      <c r="C315" s="289" t="s">
        <v>210</v>
      </c>
      <c r="D315" s="11">
        <v>19000.896400000198</v>
      </c>
      <c r="E315" s="11">
        <v>16105.399500000025</v>
      </c>
      <c r="F315" s="11">
        <v>16031.56779999997</v>
      </c>
      <c r="G315" s="11"/>
      <c r="H315" s="11"/>
      <c r="I315" s="11"/>
      <c r="J315" s="11"/>
      <c r="K315" s="11"/>
    </row>
    <row r="316" spans="1:11">
      <c r="A316" s="12" t="s">
        <v>1092</v>
      </c>
      <c r="B316" s="20" t="s">
        <v>335</v>
      </c>
      <c r="C316" s="304" t="s">
        <v>160</v>
      </c>
      <c r="D316" s="35">
        <f t="shared" ref="D316:E316" si="80">D315/D308</f>
        <v>4.4039616836661372E-3</v>
      </c>
      <c r="E316" s="35">
        <f t="shared" si="80"/>
        <v>3.7534195370257572E-3</v>
      </c>
      <c r="F316" s="35">
        <f>F315/F308</f>
        <v>3.7587229942733207E-3</v>
      </c>
      <c r="G316" s="35" t="e">
        <f t="shared" ref="G316:I316" si="81">G315/G308</f>
        <v>#DIV/0!</v>
      </c>
      <c r="H316" s="35" t="e">
        <f t="shared" si="81"/>
        <v>#DIV/0!</v>
      </c>
      <c r="I316" s="35" t="e">
        <f t="shared" si="81"/>
        <v>#DIV/0!</v>
      </c>
      <c r="J316" s="35" t="e">
        <f t="shared" ref="J316:K316" si="82">J315/J308</f>
        <v>#DIV/0!</v>
      </c>
      <c r="K316" s="35" t="e">
        <f t="shared" si="82"/>
        <v>#DIV/0!</v>
      </c>
    </row>
    <row r="317" spans="1:11">
      <c r="C317" s="297"/>
      <c r="D317" s="7"/>
      <c r="E317" s="7"/>
      <c r="F317" s="7"/>
      <c r="G317" s="417"/>
      <c r="H317" s="417"/>
      <c r="I317" s="417"/>
      <c r="J317" s="417"/>
      <c r="K317" s="417"/>
    </row>
    <row r="318" spans="1:11" ht="18">
      <c r="B318" s="2" t="s">
        <v>554</v>
      </c>
      <c r="C318" s="291"/>
      <c r="D318" s="7"/>
      <c r="E318" s="7"/>
      <c r="F318" s="7"/>
      <c r="G318" s="417"/>
      <c r="H318" s="417"/>
      <c r="I318" s="417"/>
      <c r="J318" s="417"/>
      <c r="K318" s="417"/>
    </row>
    <row r="319" spans="1:11">
      <c r="A319" s="273"/>
      <c r="B319" s="163" t="s">
        <v>337</v>
      </c>
      <c r="C319" s="26" t="s">
        <v>152</v>
      </c>
      <c r="D319" s="26" t="str">
        <f>+$D$10</f>
        <v>2018-19 RF</v>
      </c>
      <c r="E319" s="26" t="str">
        <f>+$E$10</f>
        <v>2019-20 monthly</v>
      </c>
      <c r="F319" s="26" t="str">
        <f>+$F$10</f>
        <v>2019-20 RF</v>
      </c>
      <c r="G319" s="26" t="s">
        <v>807</v>
      </c>
      <c r="H319" s="26" t="s">
        <v>18</v>
      </c>
      <c r="I319" s="26" t="s">
        <v>808</v>
      </c>
      <c r="J319" s="26" t="s">
        <v>20</v>
      </c>
      <c r="K319" s="26" t="s">
        <v>809</v>
      </c>
    </row>
    <row r="320" spans="1:11">
      <c r="A320" s="12" t="s">
        <v>1093</v>
      </c>
      <c r="B320" s="282" t="s">
        <v>209</v>
      </c>
      <c r="C320" s="300" t="s">
        <v>210</v>
      </c>
      <c r="D320" s="11">
        <v>95839.005479453757</v>
      </c>
      <c r="E320" s="11">
        <v>98132.144808742218</v>
      </c>
      <c r="F320" s="11">
        <v>97367.275956287063</v>
      </c>
      <c r="G320" s="11"/>
      <c r="H320" s="11"/>
      <c r="I320" s="11"/>
      <c r="J320" s="11"/>
      <c r="K320" s="11"/>
    </row>
    <row r="321" spans="1:11">
      <c r="A321" s="12" t="s">
        <v>1094</v>
      </c>
      <c r="B321" s="12" t="s">
        <v>213</v>
      </c>
      <c r="C321" s="300" t="s">
        <v>210</v>
      </c>
      <c r="D321" s="11">
        <v>6242.7780821917968</v>
      </c>
      <c r="E321" s="11">
        <v>6272.1612021858118</v>
      </c>
      <c r="F321" s="11">
        <v>6216.1120218579781</v>
      </c>
      <c r="G321" s="11"/>
      <c r="H321" s="11"/>
      <c r="I321" s="11"/>
      <c r="J321" s="11"/>
      <c r="K321" s="11"/>
    </row>
    <row r="322" spans="1:11">
      <c r="A322" s="12" t="s">
        <v>1095</v>
      </c>
      <c r="B322" s="12" t="s">
        <v>216</v>
      </c>
      <c r="C322" s="300" t="s">
        <v>210</v>
      </c>
      <c r="D322" s="11">
        <v>1424.8657534246574</v>
      </c>
      <c r="E322" s="11">
        <v>1459.4234972677602</v>
      </c>
      <c r="F322" s="11">
        <v>1449.1174863387969</v>
      </c>
      <c r="G322" s="11"/>
      <c r="H322" s="11"/>
      <c r="I322" s="11"/>
      <c r="J322" s="11"/>
      <c r="K322" s="11"/>
    </row>
    <row r="323" spans="1:11">
      <c r="A323" s="12" t="s">
        <v>1096</v>
      </c>
      <c r="B323" s="12" t="s">
        <v>219</v>
      </c>
      <c r="C323" s="300" t="s">
        <v>210</v>
      </c>
      <c r="D323" s="11">
        <v>872.76438356164397</v>
      </c>
      <c r="E323" s="11">
        <v>874.84972677595647</v>
      </c>
      <c r="F323" s="11">
        <v>868.59836065573836</v>
      </c>
      <c r="G323" s="11"/>
      <c r="H323" s="11"/>
      <c r="I323" s="11"/>
      <c r="J323" s="11"/>
      <c r="K323" s="11"/>
    </row>
    <row r="324" spans="1:11">
      <c r="A324" s="12" t="s">
        <v>1097</v>
      </c>
      <c r="B324" s="12" t="s">
        <v>222</v>
      </c>
      <c r="C324" s="300" t="s">
        <v>210</v>
      </c>
      <c r="D324" s="11">
        <v>167.48767123287675</v>
      </c>
      <c r="E324" s="11">
        <v>167.8306010928961</v>
      </c>
      <c r="F324" s="11">
        <v>162.34153005464486</v>
      </c>
      <c r="G324" s="11"/>
      <c r="H324" s="11"/>
      <c r="I324" s="11"/>
      <c r="J324" s="11"/>
      <c r="K324" s="11"/>
    </row>
    <row r="325" spans="1:11">
      <c r="A325" s="12" t="s">
        <v>1098</v>
      </c>
      <c r="B325" s="12" t="s">
        <v>349</v>
      </c>
      <c r="C325" s="300" t="s">
        <v>210</v>
      </c>
      <c r="D325" s="11">
        <v>17.635616438356166</v>
      </c>
      <c r="E325" s="11">
        <v>18</v>
      </c>
      <c r="F325" s="11">
        <v>16</v>
      </c>
      <c r="G325" s="11"/>
      <c r="H325" s="11"/>
      <c r="I325" s="11"/>
      <c r="J325" s="11"/>
      <c r="K325" s="11"/>
    </row>
    <row r="326" spans="1:11">
      <c r="A326" s="12" t="s">
        <v>1099</v>
      </c>
      <c r="B326" s="12" t="s">
        <v>352</v>
      </c>
      <c r="C326" s="300" t="s">
        <v>210</v>
      </c>
      <c r="D326" s="11">
        <v>2.6219178082191781</v>
      </c>
      <c r="E326" s="11">
        <v>2.5027322404371586</v>
      </c>
      <c r="F326" s="11">
        <v>2</v>
      </c>
      <c r="G326" s="11"/>
      <c r="H326" s="11"/>
      <c r="I326" s="11"/>
      <c r="J326" s="11"/>
      <c r="K326" s="11"/>
    </row>
    <row r="327" spans="1:11">
      <c r="A327" s="12" t="s">
        <v>1100</v>
      </c>
      <c r="B327" s="16" t="s">
        <v>225</v>
      </c>
      <c r="C327" s="304" t="s">
        <v>160</v>
      </c>
      <c r="D327" s="6">
        <v>104567.15890411132</v>
      </c>
      <c r="E327" s="6">
        <v>106926.91256830508</v>
      </c>
      <c r="F327" s="6">
        <f>SUM(F320:F326)</f>
        <v>106081.44535519423</v>
      </c>
      <c r="G327" s="6">
        <f t="shared" ref="G327:I327" si="83">SUM(G320:G326)</f>
        <v>0</v>
      </c>
      <c r="H327" s="6">
        <f t="shared" si="83"/>
        <v>0</v>
      </c>
      <c r="I327" s="6">
        <f t="shared" si="83"/>
        <v>0</v>
      </c>
      <c r="J327" s="6">
        <f t="shared" ref="J327:K327" si="84">SUM(J320:J326)</f>
        <v>0</v>
      </c>
      <c r="K327" s="6">
        <f t="shared" si="84"/>
        <v>0</v>
      </c>
    </row>
    <row r="328" spans="1:11">
      <c r="B328" s="9"/>
      <c r="C328" s="291"/>
      <c r="D328" s="7"/>
      <c r="E328" s="7"/>
      <c r="F328" s="7"/>
      <c r="G328" s="417"/>
      <c r="H328" s="417"/>
      <c r="I328" s="417"/>
      <c r="J328" s="417"/>
      <c r="K328" s="417"/>
    </row>
    <row r="329" spans="1:11">
      <c r="A329" s="273"/>
      <c r="B329" s="284" t="s">
        <v>510</v>
      </c>
      <c r="C329" s="295"/>
      <c r="D329" s="7"/>
      <c r="E329" s="7"/>
      <c r="F329" s="7"/>
      <c r="G329" s="417"/>
      <c r="H329" s="417"/>
      <c r="I329" s="417"/>
      <c r="J329" s="417"/>
      <c r="K329" s="417"/>
    </row>
    <row r="330" spans="1:11">
      <c r="A330" s="12" t="s">
        <v>1101</v>
      </c>
      <c r="B330" s="283" t="s">
        <v>581</v>
      </c>
      <c r="C330" s="289" t="s">
        <v>210</v>
      </c>
      <c r="D330" s="11">
        <v>4832236.4104109667</v>
      </c>
      <c r="E330" s="11">
        <v>4815973.2602980947</v>
      </c>
      <c r="F330" s="11">
        <v>4771208.3934649946</v>
      </c>
      <c r="G330" s="11"/>
      <c r="H330" s="11"/>
      <c r="I330" s="11"/>
      <c r="J330" s="11"/>
      <c r="K330" s="11"/>
    </row>
    <row r="331" spans="1:11">
      <c r="A331" s="12" t="s">
        <v>1102</v>
      </c>
      <c r="B331" s="16" t="s">
        <v>265</v>
      </c>
      <c r="C331" s="289" t="s">
        <v>210</v>
      </c>
      <c r="D331" s="11">
        <v>49611241.227945499</v>
      </c>
      <c r="E331" s="11">
        <v>50778348.943581596</v>
      </c>
      <c r="F331" s="11">
        <v>48775769.294932507</v>
      </c>
      <c r="G331" s="11"/>
      <c r="H331" s="11"/>
      <c r="I331" s="11"/>
      <c r="J331" s="11"/>
      <c r="K331" s="11"/>
    </row>
    <row r="332" spans="1:11">
      <c r="B332" s="9"/>
      <c r="C332" s="291"/>
      <c r="D332" s="7"/>
      <c r="E332" s="7"/>
      <c r="F332" s="7"/>
      <c r="G332" s="417"/>
      <c r="H332" s="417"/>
      <c r="I332" s="417"/>
      <c r="J332" s="417"/>
      <c r="K332" s="417"/>
    </row>
    <row r="333" spans="1:11">
      <c r="A333" s="273"/>
      <c r="B333" s="284" t="s">
        <v>585</v>
      </c>
      <c r="C333" s="295"/>
      <c r="D333" s="7"/>
      <c r="E333" s="7"/>
      <c r="F333" s="7"/>
      <c r="G333" s="417"/>
      <c r="H333" s="417"/>
      <c r="I333" s="417"/>
      <c r="J333" s="417"/>
      <c r="K333" s="417"/>
    </row>
    <row r="334" spans="1:11">
      <c r="A334" s="12" t="s">
        <v>1103</v>
      </c>
      <c r="B334" s="286" t="s">
        <v>209</v>
      </c>
      <c r="C334" s="289" t="s">
        <v>210</v>
      </c>
      <c r="D334" s="11">
        <v>48</v>
      </c>
      <c r="E334" s="11">
        <v>49</v>
      </c>
      <c r="F334" s="11">
        <v>49</v>
      </c>
      <c r="G334" s="11"/>
      <c r="H334" s="11"/>
      <c r="I334" s="11"/>
      <c r="J334" s="11"/>
      <c r="K334" s="11"/>
    </row>
    <row r="335" spans="1:11">
      <c r="A335" s="12" t="s">
        <v>1104</v>
      </c>
      <c r="B335" s="12" t="s">
        <v>213</v>
      </c>
      <c r="C335" s="289" t="s">
        <v>210</v>
      </c>
      <c r="D335" s="11">
        <v>101</v>
      </c>
      <c r="E335" s="11">
        <v>102</v>
      </c>
      <c r="F335" s="11">
        <v>102</v>
      </c>
      <c r="G335" s="11"/>
      <c r="H335" s="11"/>
      <c r="I335" s="11"/>
      <c r="J335" s="11"/>
      <c r="K335" s="11"/>
    </row>
    <row r="336" spans="1:11">
      <c r="A336" s="12" t="s">
        <v>1105</v>
      </c>
      <c r="B336" s="12" t="s">
        <v>216</v>
      </c>
      <c r="C336" s="289" t="s">
        <v>210</v>
      </c>
      <c r="D336" s="11">
        <v>397</v>
      </c>
      <c r="E336" s="11">
        <v>404</v>
      </c>
      <c r="F336" s="11">
        <v>404</v>
      </c>
      <c r="G336" s="11"/>
      <c r="H336" s="11"/>
      <c r="I336" s="11"/>
      <c r="J336" s="11"/>
      <c r="K336" s="11"/>
    </row>
    <row r="337" spans="1:11">
      <c r="A337" s="12" t="s">
        <v>1106</v>
      </c>
      <c r="B337" s="12" t="s">
        <v>219</v>
      </c>
      <c r="C337" s="289" t="s">
        <v>210</v>
      </c>
      <c r="D337" s="11">
        <v>593</v>
      </c>
      <c r="E337" s="11">
        <v>605</v>
      </c>
      <c r="F337" s="11">
        <v>605</v>
      </c>
      <c r="G337" s="11"/>
      <c r="H337" s="11"/>
      <c r="I337" s="11"/>
      <c r="J337" s="11"/>
      <c r="K337" s="11"/>
    </row>
    <row r="338" spans="1:11">
      <c r="A338" s="12" t="s">
        <v>1107</v>
      </c>
      <c r="B338" s="12" t="s">
        <v>222</v>
      </c>
      <c r="C338" s="289" t="s">
        <v>210</v>
      </c>
      <c r="D338" s="11">
        <v>1607</v>
      </c>
      <c r="E338" s="11">
        <v>1639</v>
      </c>
      <c r="F338" s="11">
        <v>1639</v>
      </c>
      <c r="G338" s="11"/>
      <c r="H338" s="11"/>
      <c r="I338" s="11"/>
      <c r="J338" s="11"/>
      <c r="K338" s="11"/>
    </row>
    <row r="339" spans="1:11">
      <c r="A339" s="12" t="s">
        <v>1108</v>
      </c>
      <c r="B339" s="12" t="s">
        <v>349</v>
      </c>
      <c r="C339" s="289" t="s">
        <v>210</v>
      </c>
      <c r="D339" s="11">
        <v>2855</v>
      </c>
      <c r="E339" s="11">
        <v>2912</v>
      </c>
      <c r="F339" s="11">
        <v>2912</v>
      </c>
      <c r="G339" s="11"/>
      <c r="H339" s="11"/>
      <c r="I339" s="11"/>
      <c r="J339" s="11"/>
      <c r="K339" s="11"/>
    </row>
    <row r="340" spans="1:11">
      <c r="A340" s="12" t="s">
        <v>1109</v>
      </c>
      <c r="B340" s="16" t="s">
        <v>352</v>
      </c>
      <c r="C340" s="289" t="s">
        <v>210</v>
      </c>
      <c r="D340" s="11">
        <v>9143</v>
      </c>
      <c r="E340" s="11">
        <v>9326</v>
      </c>
      <c r="F340" s="11">
        <v>9326</v>
      </c>
      <c r="G340" s="11"/>
      <c r="H340" s="11"/>
      <c r="I340" s="11"/>
      <c r="J340" s="11"/>
      <c r="K340" s="11"/>
    </row>
    <row r="341" spans="1:11">
      <c r="B341" s="9"/>
      <c r="C341" s="291"/>
      <c r="D341" s="7"/>
      <c r="E341" s="7"/>
      <c r="F341" s="7"/>
      <c r="G341" s="417"/>
      <c r="H341" s="417"/>
      <c r="I341" s="417"/>
      <c r="J341" s="417"/>
      <c r="K341" s="417"/>
    </row>
    <row r="342" spans="1:11">
      <c r="A342" s="273"/>
      <c r="B342" s="284" t="s">
        <v>522</v>
      </c>
      <c r="C342" s="295"/>
      <c r="D342" s="7"/>
      <c r="E342" s="7"/>
      <c r="F342" s="7"/>
      <c r="G342" s="417"/>
      <c r="H342" s="417"/>
      <c r="I342" s="417"/>
      <c r="J342" s="417"/>
      <c r="K342" s="417"/>
    </row>
    <row r="343" spans="1:11">
      <c r="A343" s="12" t="s">
        <v>1110</v>
      </c>
      <c r="B343" s="286" t="s">
        <v>283</v>
      </c>
      <c r="C343" s="302" t="s">
        <v>210</v>
      </c>
      <c r="D343" s="11">
        <v>0.67400000000000004</v>
      </c>
      <c r="E343" s="11">
        <v>0.6875</v>
      </c>
      <c r="F343" s="11">
        <v>0.6875</v>
      </c>
      <c r="G343" s="11"/>
      <c r="H343" s="11"/>
      <c r="I343" s="11"/>
      <c r="J343" s="11"/>
      <c r="K343" s="11"/>
    </row>
    <row r="344" spans="1:11">
      <c r="A344" s="12" t="s">
        <v>1111</v>
      </c>
      <c r="B344" s="16" t="s">
        <v>526</v>
      </c>
      <c r="C344" s="302" t="s">
        <v>210</v>
      </c>
      <c r="D344" s="11">
        <v>0.80769999999999997</v>
      </c>
      <c r="E344" s="11">
        <v>0.82389999999999997</v>
      </c>
      <c r="F344" s="11">
        <v>0.82389999999999997</v>
      </c>
      <c r="G344" s="11"/>
      <c r="H344" s="11"/>
      <c r="I344" s="11"/>
      <c r="J344" s="11"/>
      <c r="K344" s="11"/>
    </row>
    <row r="345" spans="1:11">
      <c r="B345" s="21"/>
      <c r="C345" s="22"/>
      <c r="D345" s="21"/>
      <c r="E345" s="21"/>
      <c r="F345" s="21"/>
      <c r="G345" s="417"/>
      <c r="H345" s="417"/>
      <c r="I345" s="417"/>
      <c r="J345" s="417"/>
      <c r="K345" s="417"/>
    </row>
    <row r="346" spans="1:11">
      <c r="A346" s="273"/>
      <c r="B346" s="284" t="s">
        <v>461</v>
      </c>
      <c r="C346" s="295"/>
      <c r="D346" s="7"/>
      <c r="E346" s="7"/>
      <c r="F346" s="7"/>
      <c r="G346" s="417"/>
      <c r="H346" s="417"/>
      <c r="I346" s="417"/>
      <c r="J346" s="417"/>
      <c r="K346" s="417"/>
    </row>
    <row r="347" spans="1:11">
      <c r="A347" s="12" t="s">
        <v>1112</v>
      </c>
      <c r="B347" s="286" t="s">
        <v>600</v>
      </c>
      <c r="C347" s="289" t="s">
        <v>210</v>
      </c>
      <c r="D347" s="11">
        <v>70303.3</v>
      </c>
      <c r="E347" s="11">
        <v>75686.877899999934</v>
      </c>
      <c r="F347" s="11">
        <v>71196.950500000006</v>
      </c>
      <c r="G347" s="11"/>
      <c r="H347" s="11"/>
      <c r="I347" s="11"/>
      <c r="J347" s="11"/>
      <c r="K347" s="11"/>
    </row>
    <row r="348" spans="1:11">
      <c r="A348" s="12" t="s">
        <v>1113</v>
      </c>
      <c r="B348" s="16" t="s">
        <v>603</v>
      </c>
      <c r="C348" s="289" t="s">
        <v>210</v>
      </c>
      <c r="D348" s="11">
        <v>75239.027700000006</v>
      </c>
      <c r="E348" s="11">
        <v>99247.954200000022</v>
      </c>
      <c r="F348" s="11">
        <v>77179.753599999982</v>
      </c>
      <c r="G348" s="11"/>
      <c r="H348" s="11"/>
      <c r="I348" s="11"/>
      <c r="J348" s="11"/>
      <c r="K348" s="11"/>
    </row>
    <row r="349" spans="1:11">
      <c r="B349" s="9"/>
      <c r="C349" s="291"/>
      <c r="D349" s="7"/>
      <c r="E349" s="7"/>
      <c r="F349" s="7"/>
      <c r="G349" s="417"/>
      <c r="H349" s="417"/>
      <c r="I349" s="417"/>
      <c r="J349" s="417"/>
      <c r="K349" s="417"/>
    </row>
    <row r="350" spans="1:11">
      <c r="A350" s="273"/>
      <c r="B350" s="284" t="s">
        <v>303</v>
      </c>
      <c r="C350" s="295"/>
      <c r="D350" s="7"/>
      <c r="E350" s="7"/>
      <c r="F350" s="7"/>
      <c r="G350" s="417"/>
      <c r="H350" s="417"/>
      <c r="I350" s="417"/>
      <c r="J350" s="417"/>
      <c r="K350" s="417"/>
    </row>
    <row r="351" spans="1:11">
      <c r="A351" s="12" t="s">
        <v>1114</v>
      </c>
      <c r="B351" s="23" t="s">
        <v>606</v>
      </c>
      <c r="C351" s="294" t="s">
        <v>160</v>
      </c>
      <c r="D351" s="6">
        <f>SUMPRODUCT(D320:D326,D334:D340)</f>
        <v>6657488.4000000823</v>
      </c>
      <c r="E351" s="6">
        <f>SUMPRODUCT(E320:E326,E334:E340)</f>
        <v>6917957.5519125238</v>
      </c>
      <c r="F351" s="6">
        <f>SUMPRODUCT(F320:F326,F334:F340)</f>
        <v>6847307.1885247398</v>
      </c>
      <c r="G351" s="6">
        <f t="shared" ref="G351:I351" si="85">SUMPRODUCT(G320:G326,G334:G340)</f>
        <v>0</v>
      </c>
      <c r="H351" s="6">
        <f t="shared" si="85"/>
        <v>0</v>
      </c>
      <c r="I351" s="6">
        <f t="shared" si="85"/>
        <v>0</v>
      </c>
      <c r="J351" s="6">
        <f t="shared" ref="J351:K351" si="86">SUMPRODUCT(J320:J326,J334:J340)</f>
        <v>0</v>
      </c>
      <c r="K351" s="6">
        <f t="shared" si="86"/>
        <v>0</v>
      </c>
    </row>
    <row r="352" spans="1:11">
      <c r="A352" s="12" t="s">
        <v>1115</v>
      </c>
      <c r="B352" s="19" t="s">
        <v>308</v>
      </c>
      <c r="C352" s="294" t="s">
        <v>160</v>
      </c>
      <c r="D352" s="42">
        <f>+D330*D343</f>
        <v>3256927.3406169917</v>
      </c>
      <c r="E352" s="42">
        <f>+E330*E343</f>
        <v>3310981.6164549403</v>
      </c>
      <c r="F352" s="42">
        <f t="shared" ref="F352:I353" si="87">+F330*F343</f>
        <v>3280205.7705071839</v>
      </c>
      <c r="G352" s="42">
        <f t="shared" si="87"/>
        <v>0</v>
      </c>
      <c r="H352" s="42">
        <f t="shared" si="87"/>
        <v>0</v>
      </c>
      <c r="I352" s="42">
        <f t="shared" si="87"/>
        <v>0</v>
      </c>
      <c r="J352" s="42">
        <f t="shared" ref="J352:K352" si="88">+J330*J343</f>
        <v>0</v>
      </c>
      <c r="K352" s="42">
        <f t="shared" si="88"/>
        <v>0</v>
      </c>
    </row>
    <row r="353" spans="1:11">
      <c r="A353" s="12" t="s">
        <v>1116</v>
      </c>
      <c r="B353" s="19" t="s">
        <v>311</v>
      </c>
      <c r="C353" s="294" t="s">
        <v>160</v>
      </c>
      <c r="D353" s="42">
        <f>+D331*D344</f>
        <v>40070999.539811581</v>
      </c>
      <c r="E353" s="42">
        <f>+E331*E344</f>
        <v>41836281.694616877</v>
      </c>
      <c r="F353" s="42">
        <f t="shared" si="87"/>
        <v>40186356.322094887</v>
      </c>
      <c r="G353" s="42">
        <f t="shared" si="87"/>
        <v>0</v>
      </c>
      <c r="H353" s="42">
        <f t="shared" si="87"/>
        <v>0</v>
      </c>
      <c r="I353" s="42">
        <f t="shared" si="87"/>
        <v>0</v>
      </c>
      <c r="J353" s="42">
        <f t="shared" ref="J353:K353" si="89">+J331*J344</f>
        <v>0</v>
      </c>
      <c r="K353" s="42">
        <f t="shared" si="89"/>
        <v>0</v>
      </c>
    </row>
    <row r="354" spans="1:11">
      <c r="A354" s="12" t="s">
        <v>1117</v>
      </c>
      <c r="B354" s="19" t="s">
        <v>475</v>
      </c>
      <c r="C354" s="294" t="s">
        <v>160</v>
      </c>
      <c r="D354" s="6">
        <v>75239.027700000006</v>
      </c>
      <c r="E354" s="6">
        <f>+E348</f>
        <v>99247.954200000022</v>
      </c>
      <c r="F354" s="6">
        <f>+F348</f>
        <v>77179.753599999982</v>
      </c>
      <c r="G354" s="6">
        <f t="shared" ref="G354:I354" si="90">+G348</f>
        <v>0</v>
      </c>
      <c r="H354" s="6">
        <f t="shared" si="90"/>
        <v>0</v>
      </c>
      <c r="I354" s="6">
        <f t="shared" si="90"/>
        <v>0</v>
      </c>
      <c r="J354" s="6">
        <f t="shared" ref="J354:K354" si="91">+J348</f>
        <v>0</v>
      </c>
      <c r="K354" s="6">
        <f t="shared" si="91"/>
        <v>0</v>
      </c>
    </row>
    <row r="355" spans="1:11">
      <c r="A355" s="12" t="s">
        <v>1118</v>
      </c>
      <c r="B355" s="19" t="s">
        <v>176</v>
      </c>
      <c r="C355" s="294" t="s">
        <v>160</v>
      </c>
      <c r="D355" s="6">
        <f>SUM(D351:D354)</f>
        <v>50060654.308128655</v>
      </c>
      <c r="E355" s="6">
        <f>SUM(E351:E354)</f>
        <v>52164468.817184344</v>
      </c>
      <c r="F355" s="6">
        <f>SUM(F351:F354)</f>
        <v>50391049.034726813</v>
      </c>
      <c r="G355" s="6">
        <f t="shared" ref="G355:I355" si="92">SUM(G351:G354)</f>
        <v>0</v>
      </c>
      <c r="H355" s="6">
        <f t="shared" si="92"/>
        <v>0</v>
      </c>
      <c r="I355" s="6">
        <f t="shared" si="92"/>
        <v>0</v>
      </c>
      <c r="J355" s="6">
        <f t="shared" ref="J355:K355" si="93">SUM(J351:J354)</f>
        <v>0</v>
      </c>
      <c r="K355" s="6">
        <f t="shared" si="93"/>
        <v>0</v>
      </c>
    </row>
    <row r="356" spans="1:11">
      <c r="C356" s="297"/>
      <c r="D356" s="7"/>
      <c r="E356" s="7"/>
      <c r="F356" s="7"/>
      <c r="G356" s="417"/>
      <c r="H356" s="417"/>
      <c r="I356" s="417"/>
      <c r="J356" s="417"/>
      <c r="K356" s="417"/>
    </row>
    <row r="357" spans="1:11">
      <c r="A357" s="273"/>
      <c r="B357" s="284" t="s">
        <v>611</v>
      </c>
      <c r="C357" s="290"/>
      <c r="D357" s="8"/>
      <c r="E357" s="8"/>
      <c r="F357" s="8"/>
      <c r="G357" s="417"/>
      <c r="H357" s="417"/>
      <c r="I357" s="417"/>
      <c r="J357" s="417"/>
      <c r="K357" s="417"/>
    </row>
    <row r="358" spans="1:11">
      <c r="A358" s="12" t="s">
        <v>1119</v>
      </c>
      <c r="B358" s="285" t="s">
        <v>613</v>
      </c>
      <c r="C358" s="289" t="s">
        <v>210</v>
      </c>
      <c r="D358" s="11">
        <v>1418183.6059999955</v>
      </c>
      <c r="E358" s="11">
        <v>1784507.7345000047</v>
      </c>
      <c r="F358" s="11">
        <v>1726221.8398999886</v>
      </c>
      <c r="G358" s="11"/>
      <c r="H358" s="11"/>
      <c r="I358" s="11"/>
      <c r="J358" s="11"/>
      <c r="K358" s="11"/>
    </row>
    <row r="359" spans="1:11">
      <c r="A359" s="12" t="s">
        <v>1120</v>
      </c>
      <c r="B359" s="20" t="s">
        <v>616</v>
      </c>
      <c r="C359" s="294" t="s">
        <v>160</v>
      </c>
      <c r="D359" s="6"/>
      <c r="E359" s="35">
        <f>E358/E355</f>
        <v>3.4209257277285667E-2</v>
      </c>
      <c r="F359" s="35">
        <f>F358/F355</f>
        <v>3.4256517238019174E-2</v>
      </c>
      <c r="G359" s="35" t="e">
        <f t="shared" ref="G359:I359" si="94">G358/G355</f>
        <v>#DIV/0!</v>
      </c>
      <c r="H359" s="35" t="e">
        <f t="shared" si="94"/>
        <v>#DIV/0!</v>
      </c>
      <c r="I359" s="35" t="e">
        <f t="shared" si="94"/>
        <v>#DIV/0!</v>
      </c>
      <c r="J359" s="35" t="e">
        <f t="shared" ref="J359:K359" si="95">J358/J355</f>
        <v>#DIV/0!</v>
      </c>
      <c r="K359" s="35" t="e">
        <f t="shared" si="95"/>
        <v>#DIV/0!</v>
      </c>
    </row>
    <row r="360" spans="1:11">
      <c r="A360" s="12" t="s">
        <v>1121</v>
      </c>
      <c r="B360" s="20" t="s">
        <v>619</v>
      </c>
      <c r="C360" s="289" t="s">
        <v>210</v>
      </c>
      <c r="D360" s="11">
        <v>972599.56780000532</v>
      </c>
      <c r="E360" s="11">
        <f>845430.73</f>
        <v>845430.73</v>
      </c>
      <c r="F360" s="11">
        <v>1007696.1261999949</v>
      </c>
      <c r="G360" s="11"/>
      <c r="H360" s="11"/>
      <c r="I360" s="11"/>
      <c r="J360" s="11"/>
      <c r="K360" s="11"/>
    </row>
    <row r="361" spans="1:11">
      <c r="A361" s="12" t="s">
        <v>1122</v>
      </c>
      <c r="B361" s="20" t="s">
        <v>622</v>
      </c>
      <c r="C361" s="294" t="s">
        <v>160</v>
      </c>
      <c r="D361" s="6"/>
      <c r="E361" s="35">
        <f>E360/E355</f>
        <v>1.6207022695139434E-2</v>
      </c>
      <c r="F361" s="35">
        <f>F360/F355</f>
        <v>1.9997522288244977E-2</v>
      </c>
      <c r="G361" s="35" t="e">
        <f t="shared" ref="G361:I361" si="96">G360/G355</f>
        <v>#DIV/0!</v>
      </c>
      <c r="H361" s="35" t="e">
        <f t="shared" si="96"/>
        <v>#DIV/0!</v>
      </c>
      <c r="I361" s="35" t="e">
        <f t="shared" si="96"/>
        <v>#DIV/0!</v>
      </c>
      <c r="J361" s="35" t="e">
        <f t="shared" ref="J361:K361" si="97">J360/J355</f>
        <v>#DIV/0!</v>
      </c>
      <c r="K361" s="35" t="e">
        <f t="shared" si="97"/>
        <v>#DIV/0!</v>
      </c>
    </row>
    <row r="362" spans="1:11">
      <c r="A362" s="12" t="s">
        <v>1123</v>
      </c>
      <c r="B362" s="20" t="s">
        <v>332</v>
      </c>
      <c r="C362" s="289" t="s">
        <v>210</v>
      </c>
      <c r="D362" s="11">
        <v>45910.614300000001</v>
      </c>
      <c r="E362" s="11">
        <v>38425.034299999963</v>
      </c>
      <c r="F362" s="11">
        <v>54021.73410000006</v>
      </c>
      <c r="G362" s="11"/>
      <c r="H362" s="11"/>
      <c r="I362" s="11"/>
      <c r="J362" s="11"/>
      <c r="K362" s="11"/>
    </row>
    <row r="363" spans="1:11">
      <c r="A363" s="12" t="s">
        <v>1124</v>
      </c>
      <c r="B363" s="20" t="s">
        <v>335</v>
      </c>
      <c r="C363" s="304" t="s">
        <v>160</v>
      </c>
      <c r="D363" s="6">
        <v>1.9815712415110067E-2</v>
      </c>
      <c r="E363" s="6">
        <v>1.4404494523936266E-2</v>
      </c>
      <c r="F363" s="35">
        <f>F362/F355</f>
        <v>1.0720501980971099E-3</v>
      </c>
      <c r="G363" s="35" t="e">
        <f t="shared" ref="G363:I363" si="98">G362/G355</f>
        <v>#DIV/0!</v>
      </c>
      <c r="H363" s="35" t="e">
        <f t="shared" si="98"/>
        <v>#DIV/0!</v>
      </c>
      <c r="I363" s="35" t="e">
        <f t="shared" si="98"/>
        <v>#DIV/0!</v>
      </c>
      <c r="J363" s="35" t="e">
        <f t="shared" ref="J363:K363" si="99">J362/J355</f>
        <v>#DIV/0!</v>
      </c>
      <c r="K363" s="35" t="e">
        <f t="shared" si="99"/>
        <v>#DIV/0!</v>
      </c>
    </row>
    <row r="364" spans="1:11">
      <c r="C364" s="297"/>
      <c r="D364" s="7"/>
      <c r="E364" s="7"/>
      <c r="F364" s="7"/>
      <c r="G364" s="417"/>
      <c r="H364" s="417"/>
      <c r="I364" s="417"/>
      <c r="J364" s="417"/>
      <c r="K364" s="417"/>
    </row>
    <row r="365" spans="1:11" ht="18">
      <c r="B365" s="2" t="s">
        <v>626</v>
      </c>
      <c r="C365" s="291"/>
      <c r="D365" s="7"/>
      <c r="E365" s="7"/>
      <c r="F365" s="7"/>
      <c r="G365" s="417"/>
      <c r="H365" s="417"/>
      <c r="I365" s="417"/>
      <c r="J365" s="417"/>
      <c r="K365" s="417"/>
    </row>
    <row r="366" spans="1:11">
      <c r="A366" s="273"/>
      <c r="B366" s="284" t="s">
        <v>1125</v>
      </c>
      <c r="C366" s="26" t="s">
        <v>152</v>
      </c>
      <c r="D366" s="26" t="str">
        <f>+$D$10</f>
        <v>2018-19 RF</v>
      </c>
      <c r="E366" s="26" t="str">
        <f>+$E$10</f>
        <v>2019-20 monthly</v>
      </c>
      <c r="F366" s="26" t="str">
        <f>+$F$10</f>
        <v>2019-20 RF</v>
      </c>
      <c r="G366" s="26" t="s">
        <v>807</v>
      </c>
      <c r="H366" s="26" t="s">
        <v>18</v>
      </c>
      <c r="I366" s="26" t="s">
        <v>808</v>
      </c>
      <c r="J366" s="26" t="s">
        <v>20</v>
      </c>
      <c r="K366" s="26" t="s">
        <v>809</v>
      </c>
    </row>
    <row r="367" spans="1:11">
      <c r="A367" s="12" t="s">
        <v>1123</v>
      </c>
      <c r="B367" s="23" t="s">
        <v>1126</v>
      </c>
      <c r="C367" s="305" t="s">
        <v>210</v>
      </c>
      <c r="D367" s="11">
        <v>243627705.85013726</v>
      </c>
      <c r="E367" s="11">
        <v>435083521.99977493</v>
      </c>
      <c r="F367" s="11">
        <v>451339957.0125761</v>
      </c>
      <c r="G367" s="11"/>
      <c r="H367" s="11"/>
      <c r="I367" s="11"/>
      <c r="J367" s="11"/>
      <c r="K367" s="11"/>
    </row>
    <row r="368" spans="1:11">
      <c r="A368" s="12" t="s">
        <v>1124</v>
      </c>
      <c r="B368" s="19" t="s">
        <v>1746</v>
      </c>
      <c r="C368" s="305" t="s">
        <v>210</v>
      </c>
      <c r="D368" s="11">
        <v>256788923.1438368</v>
      </c>
      <c r="E368" s="11">
        <v>461666094.29592037</v>
      </c>
      <c r="F368" s="11">
        <v>483782888.46803969</v>
      </c>
      <c r="G368" s="11"/>
      <c r="H368" s="11"/>
      <c r="I368" s="11"/>
      <c r="J368" s="11"/>
      <c r="K368" s="11"/>
    </row>
    <row r="369" spans="1:11">
      <c r="A369" s="12" t="s">
        <v>1127</v>
      </c>
      <c r="B369" s="19" t="s">
        <v>1128</v>
      </c>
      <c r="C369" s="305" t="s">
        <v>210</v>
      </c>
      <c r="D369" s="11">
        <v>3416827819.2795057</v>
      </c>
      <c r="E369" s="11">
        <v>3331274418.0641818</v>
      </c>
      <c r="F369" s="11">
        <v>3307156073.0191021</v>
      </c>
      <c r="G369" s="11"/>
      <c r="H369" s="11"/>
      <c r="I369" s="11"/>
      <c r="J369" s="11"/>
      <c r="K369" s="11"/>
    </row>
    <row r="370" spans="1:11">
      <c r="A370" s="12" t="s">
        <v>1129</v>
      </c>
      <c r="B370" s="19" t="s">
        <v>1130</v>
      </c>
      <c r="C370" s="305" t="s">
        <v>210</v>
      </c>
      <c r="D370" s="11">
        <v>3795656731.2096481</v>
      </c>
      <c r="E370" s="11">
        <v>3706367385.2744775</v>
      </c>
      <c r="F370" s="11">
        <v>3683031571.5081744</v>
      </c>
      <c r="G370" s="11"/>
      <c r="H370" s="11"/>
      <c r="I370" s="11"/>
      <c r="J370" s="11"/>
      <c r="K370" s="11"/>
    </row>
    <row r="371" spans="1:11">
      <c r="A371" s="12" t="s">
        <v>1131</v>
      </c>
      <c r="B371" s="19" t="s">
        <v>1132</v>
      </c>
      <c r="C371" s="305" t="s">
        <v>210</v>
      </c>
      <c r="D371" s="11">
        <v>4714595830.3582096</v>
      </c>
      <c r="E371" s="11">
        <v>4535516084.2575684</v>
      </c>
      <c r="F371" s="11">
        <v>4501130550.8498917</v>
      </c>
      <c r="G371" s="11"/>
      <c r="H371" s="11"/>
      <c r="I371" s="11"/>
      <c r="J371" s="11"/>
      <c r="K371" s="11"/>
    </row>
    <row r="372" spans="1:11">
      <c r="A372" s="12" t="s">
        <v>1133</v>
      </c>
      <c r="B372" s="19" t="s">
        <v>1134</v>
      </c>
      <c r="C372" s="305" t="s">
        <v>210</v>
      </c>
      <c r="D372" s="11">
        <v>5259445304.9363527</v>
      </c>
      <c r="E372" s="11">
        <v>5061685223.4484529</v>
      </c>
      <c r="F372" s="11">
        <v>5032130253.5411663</v>
      </c>
      <c r="G372" s="11"/>
      <c r="H372" s="11"/>
      <c r="I372" s="11"/>
      <c r="J372" s="11"/>
      <c r="K372" s="11"/>
    </row>
    <row r="373" spans="1:11">
      <c r="A373" s="12" t="s">
        <v>1135</v>
      </c>
      <c r="B373" s="19" t="s">
        <v>635</v>
      </c>
      <c r="C373" s="305" t="s">
        <v>210</v>
      </c>
      <c r="D373" s="11">
        <v>11144</v>
      </c>
      <c r="E373" s="11">
        <v>11144</v>
      </c>
      <c r="F373" s="11">
        <v>8159</v>
      </c>
      <c r="G373" s="11"/>
      <c r="H373" s="11"/>
      <c r="I373" s="11"/>
      <c r="J373" s="11"/>
      <c r="K373" s="11"/>
    </row>
    <row r="374" spans="1:11">
      <c r="C374" s="297"/>
      <c r="D374" s="7"/>
      <c r="E374" s="7"/>
      <c r="F374" s="7"/>
      <c r="G374" s="417"/>
      <c r="H374" s="417"/>
      <c r="I374" s="417"/>
      <c r="J374" s="417"/>
      <c r="K374" s="417"/>
    </row>
    <row r="375" spans="1:11">
      <c r="A375" s="273"/>
      <c r="B375" s="284" t="s">
        <v>664</v>
      </c>
      <c r="C375" s="295"/>
      <c r="D375" s="7"/>
      <c r="E375" s="7"/>
      <c r="F375" s="7"/>
      <c r="G375" s="417"/>
      <c r="H375" s="417"/>
      <c r="I375" s="417"/>
      <c r="J375" s="417"/>
      <c r="K375" s="417"/>
    </row>
    <row r="376" spans="1:11">
      <c r="A376" s="12" t="s">
        <v>1136</v>
      </c>
      <c r="B376" s="23" t="s">
        <v>1737</v>
      </c>
      <c r="C376" s="300" t="s">
        <v>210</v>
      </c>
      <c r="D376" s="40">
        <v>1.7628999999999999E-2</v>
      </c>
      <c r="E376" s="40">
        <v>1.7982000000000001E-2</v>
      </c>
      <c r="F376" s="40">
        <v>1.7982000000000001E-2</v>
      </c>
      <c r="G376" s="40"/>
      <c r="H376" s="40"/>
      <c r="I376" s="40"/>
      <c r="J376" s="40"/>
      <c r="K376" s="40"/>
    </row>
    <row r="377" spans="1:11">
      <c r="A377" s="12" t="s">
        <v>1137</v>
      </c>
      <c r="B377" s="19" t="s">
        <v>1738</v>
      </c>
      <c r="C377" s="300" t="s">
        <v>210</v>
      </c>
      <c r="D377" s="40">
        <v>1.1258000000000001E-2</v>
      </c>
      <c r="E377" s="40">
        <v>1.1483E-2</v>
      </c>
      <c r="F377" s="40">
        <v>1.1483E-2</v>
      </c>
      <c r="G377" s="40"/>
      <c r="H377" s="40"/>
      <c r="I377" s="40"/>
      <c r="J377" s="40"/>
      <c r="K377" s="40"/>
    </row>
    <row r="378" spans="1:11">
      <c r="A378" s="12" t="s">
        <v>1138</v>
      </c>
      <c r="B378" s="19" t="s">
        <v>671</v>
      </c>
      <c r="C378" s="300" t="s">
        <v>210</v>
      </c>
      <c r="D378" s="40">
        <v>0.33085999999999999</v>
      </c>
      <c r="E378" s="40">
        <v>0.33748</v>
      </c>
      <c r="F378" s="40">
        <v>0.33748</v>
      </c>
      <c r="G378" s="40"/>
      <c r="H378" s="40"/>
      <c r="I378" s="40"/>
      <c r="J378" s="40"/>
      <c r="K378" s="40"/>
    </row>
    <row r="379" spans="1:11">
      <c r="A379" s="12" t="s">
        <v>1139</v>
      </c>
      <c r="B379" s="19" t="s">
        <v>1140</v>
      </c>
      <c r="C379" s="300" t="s">
        <v>210</v>
      </c>
      <c r="D379" s="40">
        <v>2.2336999999999999E-2</v>
      </c>
      <c r="E379" s="40">
        <v>2.2336999999999999E-2</v>
      </c>
      <c r="F379" s="40">
        <v>2.2336999999999999E-2</v>
      </c>
      <c r="G379" s="40"/>
      <c r="H379" s="40"/>
      <c r="I379" s="40"/>
      <c r="J379" s="40"/>
      <c r="K379" s="40"/>
    </row>
    <row r="380" spans="1:11">
      <c r="A380" s="12" t="s">
        <v>1141</v>
      </c>
      <c r="B380" s="19" t="s">
        <v>1142</v>
      </c>
      <c r="C380" s="300" t="s">
        <v>210</v>
      </c>
      <c r="D380" s="40">
        <v>1.4343E-2</v>
      </c>
      <c r="E380" s="40">
        <v>1.4343E-2</v>
      </c>
      <c r="F380" s="40">
        <v>1.4343E-2</v>
      </c>
      <c r="G380" s="40"/>
      <c r="H380" s="40"/>
      <c r="I380" s="40"/>
      <c r="J380" s="40"/>
      <c r="K380" s="40"/>
    </row>
    <row r="381" spans="1:11">
      <c r="A381" s="12" t="s">
        <v>1143</v>
      </c>
      <c r="B381" s="19" t="s">
        <v>1144</v>
      </c>
      <c r="C381" s="300" t="s">
        <v>210</v>
      </c>
      <c r="D381" s="40">
        <v>1.8342000000000001E-2</v>
      </c>
      <c r="E381" s="40">
        <v>1.8342000000000001E-2</v>
      </c>
      <c r="F381" s="40">
        <v>1.8342000000000001E-2</v>
      </c>
      <c r="G381" s="40"/>
      <c r="H381" s="40"/>
      <c r="I381" s="40"/>
      <c r="J381" s="40"/>
      <c r="K381" s="40"/>
    </row>
    <row r="382" spans="1:11">
      <c r="A382" s="12" t="s">
        <v>1145</v>
      </c>
      <c r="B382" s="19" t="s">
        <v>1747</v>
      </c>
      <c r="C382" s="300" t="s">
        <v>210</v>
      </c>
      <c r="D382" s="40">
        <v>1.1712999999999999E-2</v>
      </c>
      <c r="E382" s="40">
        <v>1.1712999999999999E-2</v>
      </c>
      <c r="F382" s="40">
        <v>1.1712999999999999E-2</v>
      </c>
      <c r="G382" s="40"/>
      <c r="H382" s="40"/>
      <c r="I382" s="40"/>
      <c r="J382" s="40"/>
      <c r="K382" s="40"/>
    </row>
    <row r="383" spans="1:11">
      <c r="C383" s="297"/>
      <c r="D383" s="7"/>
      <c r="E383" s="7"/>
      <c r="F383" s="7"/>
      <c r="G383" s="417"/>
      <c r="H383" s="417"/>
      <c r="I383" s="417"/>
      <c r="J383" s="417"/>
      <c r="K383" s="417"/>
    </row>
    <row r="384" spans="1:11">
      <c r="A384" s="273"/>
      <c r="B384" s="284" t="s">
        <v>303</v>
      </c>
      <c r="C384" s="295"/>
      <c r="D384" s="7"/>
      <c r="E384" s="7"/>
      <c r="F384" s="7"/>
      <c r="G384" s="417"/>
      <c r="H384" s="417"/>
      <c r="I384" s="417"/>
      <c r="J384" s="417"/>
      <c r="K384" s="417"/>
    </row>
    <row r="385" spans="1:11">
      <c r="A385" s="12" t="s">
        <v>1146</v>
      </c>
      <c r="B385" s="23" t="s">
        <v>1147</v>
      </c>
      <c r="C385" s="294" t="s">
        <v>160</v>
      </c>
      <c r="D385" s="6">
        <v>4294912.8264320698</v>
      </c>
      <c r="E385" s="6">
        <v>7823671.8925999533</v>
      </c>
      <c r="F385" s="6">
        <f>+F367*F376</f>
        <v>8115995.1070001442</v>
      </c>
      <c r="G385" s="6">
        <f t="shared" ref="G385:I385" si="100">+G367*G376</f>
        <v>0</v>
      </c>
      <c r="H385" s="6">
        <f t="shared" si="100"/>
        <v>0</v>
      </c>
      <c r="I385" s="6">
        <f t="shared" si="100"/>
        <v>0</v>
      </c>
      <c r="J385" s="6">
        <f t="shared" ref="J385:K385" si="101">+J367*J376</f>
        <v>0</v>
      </c>
      <c r="K385" s="6">
        <f t="shared" si="101"/>
        <v>0</v>
      </c>
    </row>
    <row r="386" spans="1:11">
      <c r="A386" s="12" t="s">
        <v>1148</v>
      </c>
      <c r="B386" s="19" t="s">
        <v>1149</v>
      </c>
      <c r="C386" s="294" t="s">
        <v>160</v>
      </c>
      <c r="D386" s="6">
        <v>2890929.6967533147</v>
      </c>
      <c r="E386" s="6">
        <v>5301311.7608000534</v>
      </c>
      <c r="F386" s="6">
        <f t="shared" ref="F386:I386" si="102">+F368*F377</f>
        <v>5555278.9082784997</v>
      </c>
      <c r="G386" s="6">
        <f t="shared" si="102"/>
        <v>0</v>
      </c>
      <c r="H386" s="6">
        <f t="shared" si="102"/>
        <v>0</v>
      </c>
      <c r="I386" s="6">
        <f t="shared" si="102"/>
        <v>0</v>
      </c>
      <c r="J386" s="6">
        <f t="shared" ref="J386:K386" si="103">+J368*J377</f>
        <v>0</v>
      </c>
      <c r="K386" s="6">
        <f t="shared" si="103"/>
        <v>0</v>
      </c>
    </row>
    <row r="387" spans="1:11">
      <c r="A387" s="12" t="s">
        <v>1150</v>
      </c>
      <c r="B387" s="19" t="s">
        <v>1151</v>
      </c>
      <c r="C387" s="294" t="s">
        <v>160</v>
      </c>
      <c r="D387" s="6">
        <v>50881121.99949754</v>
      </c>
      <c r="E387" s="6">
        <v>24803558.89209988</v>
      </c>
      <c r="F387" s="6">
        <f>+F369*F379/3</f>
        <v>24623981.73434256</v>
      </c>
      <c r="G387" s="6">
        <f t="shared" ref="G387:I387" si="104">+G369*G379/3</f>
        <v>0</v>
      </c>
      <c r="H387" s="6">
        <f t="shared" si="104"/>
        <v>0</v>
      </c>
      <c r="I387" s="6">
        <f t="shared" si="104"/>
        <v>0</v>
      </c>
      <c r="J387" s="6">
        <f t="shared" ref="J387:K387" si="105">+J369*J379/3</f>
        <v>0</v>
      </c>
      <c r="K387" s="6">
        <f t="shared" si="105"/>
        <v>0</v>
      </c>
    </row>
    <row r="388" spans="1:11">
      <c r="A388" s="12" t="s">
        <v>1152</v>
      </c>
      <c r="B388" s="19" t="s">
        <v>1153</v>
      </c>
      <c r="C388" s="294" t="s">
        <v>160</v>
      </c>
      <c r="D388" s="6">
        <v>36294069.663826652</v>
      </c>
      <c r="E388" s="6">
        <v>17720142.468997277</v>
      </c>
      <c r="F388" s="6">
        <f>+F370*F380/3</f>
        <v>17608573.943380583</v>
      </c>
      <c r="G388" s="6">
        <f t="shared" ref="G388:I388" si="106">+G370*G380/3</f>
        <v>0</v>
      </c>
      <c r="H388" s="6">
        <f t="shared" si="106"/>
        <v>0</v>
      </c>
      <c r="I388" s="6">
        <f t="shared" si="106"/>
        <v>0</v>
      </c>
      <c r="J388" s="6">
        <f t="shared" ref="J388:K388" si="107">+J370*J380/3</f>
        <v>0</v>
      </c>
      <c r="K388" s="6">
        <f t="shared" si="107"/>
        <v>0</v>
      </c>
    </row>
    <row r="389" spans="1:11">
      <c r="A389" s="12" t="s">
        <v>1154</v>
      </c>
      <c r="B389" s="19" t="s">
        <v>1155</v>
      </c>
      <c r="C389" s="294" t="s">
        <v>160</v>
      </c>
      <c r="D389" s="6">
        <v>28825038.906810094</v>
      </c>
      <c r="E389" s="6">
        <v>55460290.67830155</v>
      </c>
      <c r="F389" s="6">
        <f>+F371*F381/3*2</f>
        <v>55039824.375792474</v>
      </c>
      <c r="G389" s="6">
        <f t="shared" ref="G389:I389" si="108">+G371*G381/3*2</f>
        <v>0</v>
      </c>
      <c r="H389" s="6">
        <f t="shared" si="108"/>
        <v>0</v>
      </c>
      <c r="I389" s="6">
        <f t="shared" si="108"/>
        <v>0</v>
      </c>
      <c r="J389" s="6">
        <f t="shared" ref="J389:K389" si="109">+J371*J381/3*2</f>
        <v>0</v>
      </c>
      <c r="K389" s="6">
        <f t="shared" si="109"/>
        <v>0</v>
      </c>
    </row>
    <row r="390" spans="1:11">
      <c r="A390" s="12" t="s">
        <v>1156</v>
      </c>
      <c r="B390" s="19" t="s">
        <v>1157</v>
      </c>
      <c r="C390" s="294" t="s">
        <v>160</v>
      </c>
      <c r="D390" s="6">
        <v>20534627.618906498</v>
      </c>
      <c r="E390" s="6">
        <v>39525012.68150115</v>
      </c>
      <c r="F390" s="6">
        <f>+F372*F382/3*2</f>
        <v>39294227.773151785</v>
      </c>
      <c r="G390" s="6">
        <f t="shared" ref="G390:I390" si="110">+G372*G382/3*2</f>
        <v>0</v>
      </c>
      <c r="H390" s="6">
        <f t="shared" si="110"/>
        <v>0</v>
      </c>
      <c r="I390" s="6">
        <f t="shared" si="110"/>
        <v>0</v>
      </c>
      <c r="J390" s="6">
        <f t="shared" ref="J390:K390" si="111">+J372*J382/3*2</f>
        <v>0</v>
      </c>
      <c r="K390" s="6">
        <f t="shared" si="111"/>
        <v>0</v>
      </c>
    </row>
    <row r="391" spans="1:11">
      <c r="A391" s="12" t="s">
        <v>1158</v>
      </c>
      <c r="B391" s="19" t="s">
        <v>1159</v>
      </c>
      <c r="C391" s="294" t="s">
        <v>160</v>
      </c>
      <c r="D391" s="6">
        <v>3687.1038399999998</v>
      </c>
      <c r="E391" s="6">
        <v>3760.8771200000001</v>
      </c>
      <c r="F391" s="6">
        <f>+F373*F378</f>
        <v>2753.4993199999999</v>
      </c>
      <c r="G391" s="6">
        <f t="shared" ref="G391:I391" si="112">+G373*G378</f>
        <v>0</v>
      </c>
      <c r="H391" s="6">
        <f t="shared" si="112"/>
        <v>0</v>
      </c>
      <c r="I391" s="6">
        <f t="shared" si="112"/>
        <v>0</v>
      </c>
      <c r="J391" s="6">
        <f t="shared" ref="J391:K391" si="113">+J373*J378</f>
        <v>0</v>
      </c>
      <c r="K391" s="6">
        <f t="shared" si="113"/>
        <v>0</v>
      </c>
    </row>
    <row r="392" spans="1:11">
      <c r="A392" s="12" t="s">
        <v>1160</v>
      </c>
      <c r="B392" s="19" t="s">
        <v>176</v>
      </c>
      <c r="C392" s="294" t="s">
        <v>160</v>
      </c>
      <c r="D392" s="6">
        <f>SUM(D385:D391)</f>
        <v>143724387.81606615</v>
      </c>
      <c r="E392" s="6">
        <v>150637749.25141987</v>
      </c>
      <c r="F392" s="6">
        <f>SUM(F385:F391)</f>
        <v>150240635.34126607</v>
      </c>
      <c r="G392" s="6">
        <f t="shared" ref="G392:I392" si="114">SUM(G385:G391)</f>
        <v>0</v>
      </c>
      <c r="H392" s="6">
        <f t="shared" si="114"/>
        <v>0</v>
      </c>
      <c r="I392" s="6">
        <f t="shared" si="114"/>
        <v>0</v>
      </c>
      <c r="J392" s="6">
        <f t="shared" ref="J392:K392" si="115">SUM(J385:J391)</f>
        <v>0</v>
      </c>
      <c r="K392" s="6">
        <f t="shared" si="115"/>
        <v>0</v>
      </c>
    </row>
    <row r="393" spans="1:11">
      <c r="C393" s="297"/>
      <c r="D393" s="7"/>
      <c r="E393" s="7"/>
      <c r="F393" s="7"/>
      <c r="G393" s="417"/>
      <c r="H393" s="417"/>
      <c r="I393" s="417"/>
      <c r="J393" s="417"/>
      <c r="K393" s="417"/>
    </row>
    <row r="394" spans="1:11">
      <c r="A394" s="273"/>
      <c r="B394" s="284" t="s">
        <v>683</v>
      </c>
      <c r="C394" s="290"/>
      <c r="D394" s="8"/>
      <c r="E394" s="8"/>
      <c r="F394" s="8"/>
      <c r="G394" s="417"/>
      <c r="H394" s="417"/>
      <c r="I394" s="417"/>
      <c r="J394" s="417"/>
      <c r="K394" s="417"/>
    </row>
    <row r="395" spans="1:11">
      <c r="A395" s="12" t="s">
        <v>1161</v>
      </c>
      <c r="B395" s="285" t="s">
        <v>685</v>
      </c>
      <c r="C395" s="289" t="s">
        <v>210</v>
      </c>
      <c r="D395" s="47">
        <v>11380900.856099822</v>
      </c>
      <c r="E395" s="47">
        <v>10360410.861200139</v>
      </c>
      <c r="F395" s="47">
        <v>11435223.807399863</v>
      </c>
      <c r="G395" s="47"/>
      <c r="H395" s="47"/>
      <c r="I395" s="47"/>
      <c r="J395" s="47"/>
      <c r="K395" s="47"/>
    </row>
    <row r="396" spans="1:11">
      <c r="A396" s="12" t="s">
        <v>1162</v>
      </c>
      <c r="B396" s="20" t="s">
        <v>688</v>
      </c>
      <c r="C396" s="294" t="s">
        <v>160</v>
      </c>
      <c r="D396" s="35">
        <f t="shared" ref="D396:E396" si="116">D395/D392</f>
        <v>7.9185592849174161E-2</v>
      </c>
      <c r="E396" s="35">
        <f t="shared" si="116"/>
        <v>6.8776989251932041E-2</v>
      </c>
      <c r="F396" s="35">
        <f>F395/F392</f>
        <v>7.6112722642746905E-2</v>
      </c>
      <c r="G396" s="35" t="e">
        <f t="shared" ref="G396:I396" si="117">G395/G392</f>
        <v>#DIV/0!</v>
      </c>
      <c r="H396" s="35" t="e">
        <f t="shared" si="117"/>
        <v>#DIV/0!</v>
      </c>
      <c r="I396" s="35" t="e">
        <f t="shared" si="117"/>
        <v>#DIV/0!</v>
      </c>
      <c r="J396" s="35" t="e">
        <f t="shared" ref="J396:K396" si="118">J395/J392</f>
        <v>#DIV/0!</v>
      </c>
      <c r="K396" s="35" t="e">
        <f t="shared" si="118"/>
        <v>#DIV/0!</v>
      </c>
    </row>
    <row r="397" spans="1:11">
      <c r="A397" s="12" t="s">
        <v>1163</v>
      </c>
      <c r="B397" s="20" t="s">
        <v>691</v>
      </c>
      <c r="C397" s="289" t="s">
        <v>210</v>
      </c>
      <c r="D397" s="47">
        <v>9222526.1803993657</v>
      </c>
      <c r="E397" s="47">
        <f>9452089.45</f>
        <v>9452089.4499999993</v>
      </c>
      <c r="F397" s="47">
        <v>9144062.6661999915</v>
      </c>
      <c r="G397" s="47"/>
      <c r="H397" s="47"/>
      <c r="I397" s="47"/>
      <c r="J397" s="47"/>
      <c r="K397" s="47"/>
    </row>
    <row r="398" spans="1:11">
      <c r="A398" s="12" t="s">
        <v>1164</v>
      </c>
      <c r="B398" s="20" t="s">
        <v>694</v>
      </c>
      <c r="C398" s="294" t="s">
        <v>160</v>
      </c>
      <c r="D398" s="35">
        <f t="shared" ref="D398:E398" si="119">D397/D392</f>
        <v>6.4168136810588181E-2</v>
      </c>
      <c r="E398" s="35">
        <f t="shared" si="119"/>
        <v>6.2747150013667014E-2</v>
      </c>
      <c r="F398" s="35">
        <f>F397/F392</f>
        <v>6.0862779536505485E-2</v>
      </c>
      <c r="G398" s="35" t="e">
        <f t="shared" ref="G398:I398" si="120">G397/G392</f>
        <v>#DIV/0!</v>
      </c>
      <c r="H398" s="35" t="e">
        <f t="shared" si="120"/>
        <v>#DIV/0!</v>
      </c>
      <c r="I398" s="35" t="e">
        <f t="shared" si="120"/>
        <v>#DIV/0!</v>
      </c>
      <c r="J398" s="35" t="e">
        <f t="shared" ref="J398:K398" si="121">J397/J392</f>
        <v>#DIV/0!</v>
      </c>
      <c r="K398" s="35" t="e">
        <f t="shared" si="121"/>
        <v>#DIV/0!</v>
      </c>
    </row>
    <row r="399" spans="1:11">
      <c r="A399" s="12" t="s">
        <v>1165</v>
      </c>
      <c r="B399" s="20" t="s">
        <v>332</v>
      </c>
      <c r="C399" s="289" t="s">
        <v>210</v>
      </c>
      <c r="D399" s="47">
        <v>1374479.8991000149</v>
      </c>
      <c r="E399" s="47">
        <v>1195923.0461999984</v>
      </c>
      <c r="F399" s="47">
        <v>1115746.4663000018</v>
      </c>
      <c r="G399" s="47"/>
      <c r="H399" s="47"/>
      <c r="I399" s="47"/>
      <c r="J399" s="47"/>
      <c r="K399" s="47"/>
    </row>
    <row r="400" spans="1:11">
      <c r="A400" s="12" t="s">
        <v>1166</v>
      </c>
      <c r="B400" s="20" t="s">
        <v>335</v>
      </c>
      <c r="C400" s="304" t="s">
        <v>160</v>
      </c>
      <c r="D400" s="35">
        <v>6.5290483842304653E-2</v>
      </c>
      <c r="E400" s="35">
        <v>6.5290483842304653E-2</v>
      </c>
      <c r="F400" s="35">
        <v>6.5290483842304653E-2</v>
      </c>
      <c r="G400" s="35">
        <v>6.5290483842304653E-2</v>
      </c>
      <c r="H400" s="35">
        <v>6.5290483842304653E-2</v>
      </c>
      <c r="I400" s="35">
        <v>6.5290483842304653E-2</v>
      </c>
      <c r="J400" s="35">
        <v>6.5290483842304653E-2</v>
      </c>
      <c r="K400" s="35">
        <v>6.5290483842304653E-2</v>
      </c>
    </row>
    <row r="401" spans="1:11">
      <c r="C401" s="297"/>
      <c r="D401" s="7"/>
      <c r="E401" s="7"/>
      <c r="F401" s="7"/>
      <c r="G401" s="417"/>
      <c r="H401" s="417"/>
      <c r="I401" s="417"/>
      <c r="J401" s="417"/>
      <c r="K401" s="417"/>
    </row>
    <row r="402" spans="1:11" ht="18">
      <c r="B402" s="2" t="s">
        <v>698</v>
      </c>
      <c r="C402" s="291"/>
      <c r="D402" s="7"/>
      <c r="E402" s="7"/>
      <c r="F402" s="7"/>
      <c r="G402" s="417"/>
      <c r="H402" s="417"/>
      <c r="I402" s="417"/>
      <c r="J402" s="417"/>
      <c r="K402" s="417"/>
    </row>
    <row r="403" spans="1:11">
      <c r="A403" s="273"/>
      <c r="B403" s="284" t="s">
        <v>699</v>
      </c>
      <c r="C403" s="26" t="s">
        <v>152</v>
      </c>
      <c r="D403" s="26" t="str">
        <f>+$D$10</f>
        <v>2018-19 RF</v>
      </c>
      <c r="E403" s="26" t="str">
        <f>+$E$10</f>
        <v>2019-20 monthly</v>
      </c>
      <c r="F403" s="26" t="str">
        <f>+$F$10</f>
        <v>2019-20 RF</v>
      </c>
      <c r="G403" s="26" t="s">
        <v>807</v>
      </c>
      <c r="H403" s="26" t="s">
        <v>18</v>
      </c>
      <c r="I403" s="26" t="s">
        <v>808</v>
      </c>
      <c r="J403" s="26" t="s">
        <v>20</v>
      </c>
      <c r="K403" s="26" t="s">
        <v>809</v>
      </c>
    </row>
    <row r="404" spans="1:11">
      <c r="A404" s="12" t="s">
        <v>1167</v>
      </c>
      <c r="B404" s="23" t="s">
        <v>701</v>
      </c>
      <c r="C404" s="300" t="s">
        <v>210</v>
      </c>
      <c r="D404" s="11">
        <v>104988.76280000001</v>
      </c>
      <c r="E404" s="11">
        <v>119492.874264596</v>
      </c>
      <c r="F404" s="11">
        <v>119492.874264596</v>
      </c>
      <c r="G404" s="33"/>
      <c r="H404" s="33"/>
      <c r="I404" s="33"/>
      <c r="J404" s="33"/>
      <c r="K404" s="33"/>
    </row>
    <row r="405" spans="1:11">
      <c r="A405" s="12" t="s">
        <v>1168</v>
      </c>
      <c r="B405" s="19" t="s">
        <v>704</v>
      </c>
      <c r="C405" s="300" t="s">
        <v>210</v>
      </c>
      <c r="D405" s="11">
        <v>52038.506999999998</v>
      </c>
      <c r="E405" s="11">
        <v>57087.125339020437</v>
      </c>
      <c r="F405" s="11">
        <v>57087.125339020437</v>
      </c>
      <c r="G405" s="33"/>
      <c r="H405" s="33"/>
      <c r="I405" s="33"/>
      <c r="J405" s="33"/>
      <c r="K405" s="33"/>
    </row>
    <row r="406" spans="1:11">
      <c r="A406" s="12" t="s">
        <v>1169</v>
      </c>
      <c r="B406" s="19" t="s">
        <v>707</v>
      </c>
      <c r="C406" s="300" t="s">
        <v>210</v>
      </c>
      <c r="D406" s="11">
        <v>27326.447899999999</v>
      </c>
      <c r="E406" s="11">
        <v>29400.131694045165</v>
      </c>
      <c r="F406" s="11">
        <v>29400.131694045165</v>
      </c>
      <c r="G406" s="33"/>
      <c r="H406" s="33"/>
      <c r="I406" s="33"/>
      <c r="J406" s="33"/>
      <c r="K406" s="33"/>
    </row>
    <row r="407" spans="1:11">
      <c r="C407" s="297"/>
      <c r="D407" s="7"/>
      <c r="E407" s="7"/>
      <c r="F407" s="7"/>
      <c r="G407" s="417"/>
      <c r="H407" s="417"/>
      <c r="I407" s="417"/>
      <c r="J407" s="417"/>
      <c r="K407" s="417"/>
    </row>
    <row r="408" spans="1:11">
      <c r="A408" s="273"/>
      <c r="B408" s="284" t="s">
        <v>709</v>
      </c>
      <c r="C408" s="295"/>
      <c r="D408" s="7"/>
      <c r="E408" s="7"/>
      <c r="F408" s="7"/>
      <c r="G408" s="417"/>
      <c r="H408" s="417"/>
      <c r="I408" s="417"/>
      <c r="J408" s="417"/>
      <c r="K408" s="417"/>
    </row>
    <row r="409" spans="1:11">
      <c r="A409" s="12" t="s">
        <v>1170</v>
      </c>
      <c r="B409" s="23" t="s">
        <v>711</v>
      </c>
      <c r="C409" s="300" t="s">
        <v>210</v>
      </c>
      <c r="D409" s="11">
        <v>18924506.3774422</v>
      </c>
      <c r="E409" s="11">
        <v>21441234.489016701</v>
      </c>
      <c r="F409" s="11">
        <v>21441234.489016701</v>
      </c>
      <c r="G409" s="33"/>
      <c r="H409" s="33"/>
      <c r="I409" s="33"/>
      <c r="J409" s="33"/>
      <c r="K409" s="33"/>
    </row>
    <row r="410" spans="1:11">
      <c r="A410" s="12" t="s">
        <v>1171</v>
      </c>
      <c r="B410" s="19" t="s">
        <v>714</v>
      </c>
      <c r="C410" s="300" t="s">
        <v>210</v>
      </c>
      <c r="D410" s="11">
        <v>47693243.548422202</v>
      </c>
      <c r="E410" s="11">
        <v>51759075.3293586</v>
      </c>
      <c r="F410" s="11">
        <v>51759075.3293586</v>
      </c>
      <c r="G410" s="33"/>
      <c r="H410" s="33"/>
      <c r="I410" s="33"/>
      <c r="J410" s="33"/>
      <c r="K410" s="33"/>
    </row>
    <row r="411" spans="1:11">
      <c r="A411" s="12" t="s">
        <v>1172</v>
      </c>
      <c r="B411" s="19" t="s">
        <v>717</v>
      </c>
      <c r="C411" s="300" t="s">
        <v>210</v>
      </c>
      <c r="D411" s="11">
        <v>15295161.029406199</v>
      </c>
      <c r="E411" s="11">
        <v>16038579.950910799</v>
      </c>
      <c r="F411" s="11">
        <v>16038579.950910799</v>
      </c>
      <c r="G411" s="33"/>
      <c r="H411" s="33"/>
      <c r="I411" s="33"/>
      <c r="J411" s="33"/>
      <c r="K411" s="33"/>
    </row>
    <row r="412" spans="1:11">
      <c r="C412" s="297"/>
      <c r="D412" s="7"/>
      <c r="E412" s="7"/>
      <c r="F412" s="7"/>
      <c r="G412" s="417"/>
      <c r="H412" s="417"/>
      <c r="I412" s="417"/>
      <c r="J412" s="417"/>
      <c r="K412" s="417"/>
    </row>
    <row r="413" spans="1:11">
      <c r="A413" s="273"/>
      <c r="B413" s="284" t="s">
        <v>719</v>
      </c>
      <c r="C413" s="295"/>
      <c r="D413" s="7"/>
      <c r="E413" s="7"/>
      <c r="F413" s="7"/>
      <c r="G413" s="417"/>
      <c r="H413" s="417"/>
      <c r="I413" s="417"/>
      <c r="J413" s="417"/>
      <c r="K413" s="417"/>
    </row>
    <row r="414" spans="1:11">
      <c r="A414" s="12" t="s">
        <v>1173</v>
      </c>
      <c r="B414" s="23" t="s">
        <v>721</v>
      </c>
      <c r="C414" s="300" t="s">
        <v>210</v>
      </c>
      <c r="D414" s="30">
        <v>9.7312999999999997E-2</v>
      </c>
      <c r="E414" s="30">
        <v>9.9259E-2</v>
      </c>
      <c r="F414" s="30">
        <v>9.9259E-2</v>
      </c>
      <c r="G414" s="34"/>
      <c r="H414" s="34"/>
      <c r="I414" s="34"/>
      <c r="J414" s="34"/>
      <c r="K414" s="34"/>
    </row>
    <row r="415" spans="1:11">
      <c r="A415" s="12" t="s">
        <v>1174</v>
      </c>
      <c r="B415" s="19" t="s">
        <v>724</v>
      </c>
      <c r="C415" s="300" t="s">
        <v>210</v>
      </c>
      <c r="D415" s="30">
        <v>6.4785999999999996E-2</v>
      </c>
      <c r="E415" s="30">
        <v>6.6082000000000002E-2</v>
      </c>
      <c r="F415" s="30">
        <v>6.6082000000000002E-2</v>
      </c>
      <c r="G415" s="34"/>
      <c r="H415" s="34"/>
      <c r="I415" s="34"/>
      <c r="J415" s="34"/>
      <c r="K415" s="34"/>
    </row>
    <row r="416" spans="1:11">
      <c r="A416" s="12" t="s">
        <v>1175</v>
      </c>
      <c r="B416" s="19" t="s">
        <v>727</v>
      </c>
      <c r="C416" s="300" t="s">
        <v>210</v>
      </c>
      <c r="D416" s="30">
        <v>0.24724499999999999</v>
      </c>
      <c r="E416" s="30">
        <v>0.25219000000000003</v>
      </c>
      <c r="F416" s="30">
        <v>0.25219000000000003</v>
      </c>
      <c r="G416" s="34"/>
      <c r="H416" s="34"/>
      <c r="I416" s="34"/>
      <c r="J416" s="34"/>
      <c r="K416" s="34"/>
    </row>
    <row r="417" spans="1:11">
      <c r="A417" s="12" t="s">
        <v>1176</v>
      </c>
      <c r="B417" s="19" t="s">
        <v>730</v>
      </c>
      <c r="C417" s="300" t="s">
        <v>210</v>
      </c>
      <c r="D417" s="30">
        <v>0.211921</v>
      </c>
      <c r="E417" s="30">
        <v>0.21615899999999999</v>
      </c>
      <c r="F417" s="30">
        <v>0.21615899999999999</v>
      </c>
      <c r="G417" s="34"/>
      <c r="H417" s="34"/>
      <c r="I417" s="34"/>
      <c r="J417" s="34"/>
      <c r="K417" s="34"/>
    </row>
    <row r="418" spans="1:11">
      <c r="C418" s="297"/>
      <c r="D418" s="31"/>
      <c r="E418" s="31"/>
      <c r="F418" s="31"/>
      <c r="G418" s="417"/>
      <c r="H418" s="417"/>
      <c r="I418" s="417"/>
      <c r="J418" s="417"/>
      <c r="K418" s="417"/>
    </row>
    <row r="419" spans="1:11">
      <c r="A419" s="273"/>
      <c r="B419" s="284" t="s">
        <v>731</v>
      </c>
      <c r="C419" s="295"/>
      <c r="D419" s="31"/>
      <c r="E419" s="31"/>
      <c r="F419" s="31"/>
      <c r="G419" s="417"/>
      <c r="H419" s="417"/>
      <c r="I419" s="417"/>
      <c r="J419" s="417"/>
      <c r="K419" s="417"/>
    </row>
    <row r="420" spans="1:11">
      <c r="A420" s="12" t="s">
        <v>1177</v>
      </c>
      <c r="B420" s="23" t="s">
        <v>733</v>
      </c>
      <c r="C420" s="300" t="s">
        <v>210</v>
      </c>
      <c r="D420" s="30">
        <v>0.15686999999999998</v>
      </c>
      <c r="E420" s="30">
        <v>0.16000699999999998</v>
      </c>
      <c r="F420" s="30">
        <v>0.16000699999999998</v>
      </c>
      <c r="G420" s="34"/>
      <c r="H420" s="34"/>
      <c r="I420" s="34"/>
      <c r="J420" s="34"/>
      <c r="K420" s="34"/>
    </row>
    <row r="421" spans="1:11">
      <c r="A421" s="12" t="s">
        <v>1178</v>
      </c>
      <c r="B421" s="19" t="s">
        <v>736</v>
      </c>
      <c r="C421" s="300" t="s">
        <v>210</v>
      </c>
      <c r="D421" s="30">
        <v>0.10462199999999999</v>
      </c>
      <c r="E421" s="30">
        <v>0.106714</v>
      </c>
      <c r="F421" s="30">
        <v>0.106714</v>
      </c>
      <c r="G421" s="34"/>
      <c r="H421" s="34"/>
      <c r="I421" s="34"/>
      <c r="J421" s="34"/>
      <c r="K421" s="34"/>
    </row>
    <row r="422" spans="1:11">
      <c r="A422" s="12" t="s">
        <v>1179</v>
      </c>
      <c r="B422" s="19" t="s">
        <v>739</v>
      </c>
      <c r="C422" s="300" t="s">
        <v>210</v>
      </c>
      <c r="D422" s="30">
        <v>0.139823</v>
      </c>
      <c r="E422" s="30">
        <v>0.142619</v>
      </c>
      <c r="F422" s="30">
        <v>0.142619</v>
      </c>
      <c r="G422" s="34"/>
      <c r="H422" s="34"/>
      <c r="I422" s="34"/>
      <c r="J422" s="34"/>
      <c r="K422" s="34"/>
    </row>
    <row r="423" spans="1:11">
      <c r="A423" s="12" t="s">
        <v>1180</v>
      </c>
      <c r="B423" s="19" t="s">
        <v>742</v>
      </c>
      <c r="C423" s="300" t="s">
        <v>210</v>
      </c>
      <c r="D423" s="30">
        <v>8.5500000000000007E-2</v>
      </c>
      <c r="E423" s="30">
        <v>8.7209999999999996E-2</v>
      </c>
      <c r="F423" s="30">
        <v>8.7209999999999996E-2</v>
      </c>
      <c r="G423" s="34"/>
      <c r="H423" s="34"/>
      <c r="I423" s="34"/>
      <c r="J423" s="34"/>
      <c r="K423" s="34"/>
    </row>
    <row r="424" spans="1:11">
      <c r="C424" s="297"/>
      <c r="D424" s="7"/>
      <c r="E424" s="7"/>
      <c r="F424" s="7"/>
      <c r="G424" s="417"/>
      <c r="H424" s="417"/>
      <c r="I424" s="417"/>
      <c r="J424" s="417"/>
      <c r="K424" s="417"/>
    </row>
    <row r="425" spans="1:11">
      <c r="A425" s="273"/>
      <c r="B425" s="284" t="s">
        <v>461</v>
      </c>
      <c r="C425" s="297"/>
      <c r="D425" s="7"/>
      <c r="E425" s="7"/>
      <c r="F425" s="7"/>
      <c r="G425" s="417"/>
      <c r="H425" s="417"/>
      <c r="I425" s="417"/>
      <c r="J425" s="417"/>
      <c r="K425" s="417"/>
    </row>
    <row r="426" spans="1:11">
      <c r="A426" s="12" t="s">
        <v>1181</v>
      </c>
      <c r="B426" s="286" t="s">
        <v>745</v>
      </c>
      <c r="C426" s="300" t="s">
        <v>210</v>
      </c>
      <c r="D426" s="11">
        <v>5062249.5273000002</v>
      </c>
      <c r="E426" s="11">
        <v>0</v>
      </c>
      <c r="F426" s="11">
        <v>0</v>
      </c>
      <c r="G426" s="33"/>
      <c r="H426" s="33"/>
      <c r="I426" s="33"/>
      <c r="J426" s="33"/>
      <c r="K426" s="33"/>
    </row>
    <row r="427" spans="1:11">
      <c r="C427" s="297"/>
      <c r="D427" s="7"/>
      <c r="E427" s="7"/>
      <c r="F427" s="7"/>
      <c r="G427" s="417"/>
      <c r="H427" s="417"/>
      <c r="I427" s="417"/>
      <c r="J427" s="417"/>
      <c r="K427" s="417"/>
    </row>
    <row r="428" spans="1:11">
      <c r="A428" s="273"/>
      <c r="B428" s="284" t="s">
        <v>303</v>
      </c>
      <c r="C428" s="295"/>
      <c r="D428" s="7"/>
      <c r="E428" s="7"/>
      <c r="F428" s="7"/>
      <c r="G428" s="417"/>
      <c r="H428" s="417"/>
      <c r="I428" s="417"/>
      <c r="J428" s="417"/>
      <c r="K428" s="417"/>
    </row>
    <row r="429" spans="1:11">
      <c r="A429" s="12" t="s">
        <v>1182</v>
      </c>
      <c r="B429" s="287" t="s">
        <v>748</v>
      </c>
      <c r="C429" s="294" t="s">
        <v>160</v>
      </c>
      <c r="D429" s="6">
        <f>(D404*(D414+D415)+(D405*D416)+(D406*D417))*365</f>
        <v>13021697.035758056</v>
      </c>
      <c r="E429" s="6">
        <f>(E404*(E414+E415)+(E405*E416)+(E406*E417))*366</f>
        <v>14826285.409937266</v>
      </c>
      <c r="F429" s="6">
        <f>(F404*(F414+F415)+(F405*F416)+(F406*F417))*366</f>
        <v>14826285.409937266</v>
      </c>
      <c r="G429" s="32">
        <f t="shared" ref="G429:I429" si="122">(G404*(G414+G415)+(G405*G416)+(G406*G417))*366</f>
        <v>0</v>
      </c>
      <c r="H429" s="32">
        <f t="shared" si="122"/>
        <v>0</v>
      </c>
      <c r="I429" s="32">
        <f t="shared" si="122"/>
        <v>0</v>
      </c>
      <c r="J429" s="32">
        <f t="shared" ref="J429:K429" si="123">(J404*(J414+J415)+(J405*J416)+(J406*J417))*366</f>
        <v>0</v>
      </c>
      <c r="K429" s="32">
        <f t="shared" si="123"/>
        <v>0</v>
      </c>
    </row>
    <row r="430" spans="1:11">
      <c r="A430" s="12" t="s">
        <v>1183</v>
      </c>
      <c r="B430" s="48" t="s">
        <v>751</v>
      </c>
      <c r="C430" s="294" t="s">
        <v>160</v>
      </c>
      <c r="D430" s="6">
        <f>(D409*(D420+D421)+(D410*D422)+(D411*D423))</f>
        <v>12924955.682335382</v>
      </c>
      <c r="E430" s="6">
        <f>(E409*(E420+E421)+(E410*E422)+(E411*E423))</f>
        <v>14499379.626061749</v>
      </c>
      <c r="F430" s="6">
        <f>(F409*(F420+F421)+(F410*F422)+(F411*F423))</f>
        <v>14499379.626061749</v>
      </c>
      <c r="G430" s="32">
        <f t="shared" ref="G430:I430" si="124">(G409*(G420+G421)+(G410*G422)+(G411*G423))</f>
        <v>0</v>
      </c>
      <c r="H430" s="32">
        <f t="shared" si="124"/>
        <v>0</v>
      </c>
      <c r="I430" s="32">
        <f t="shared" si="124"/>
        <v>0</v>
      </c>
      <c r="J430" s="32">
        <f t="shared" ref="J430:K430" si="125">(J409*(J420+J421)+(J410*J422)+(J411*J423))</f>
        <v>0</v>
      </c>
      <c r="K430" s="32">
        <f t="shared" si="125"/>
        <v>0</v>
      </c>
    </row>
    <row r="431" spans="1:11">
      <c r="A431" s="12" t="s">
        <v>1184</v>
      </c>
      <c r="B431" s="19" t="s">
        <v>475</v>
      </c>
      <c r="C431" s="294" t="s">
        <v>160</v>
      </c>
      <c r="D431" s="6">
        <f>D426</f>
        <v>5062249.5273000002</v>
      </c>
      <c r="E431" s="6">
        <f>E426</f>
        <v>0</v>
      </c>
      <c r="F431" s="6">
        <f>F426</f>
        <v>0</v>
      </c>
      <c r="G431" s="32">
        <f t="shared" ref="G431:I431" si="126">G426</f>
        <v>0</v>
      </c>
      <c r="H431" s="32">
        <f t="shared" si="126"/>
        <v>0</v>
      </c>
      <c r="I431" s="32">
        <f t="shared" si="126"/>
        <v>0</v>
      </c>
      <c r="J431" s="32">
        <f t="shared" ref="J431:K431" si="127">J426</f>
        <v>0</v>
      </c>
      <c r="K431" s="32">
        <f t="shared" si="127"/>
        <v>0</v>
      </c>
    </row>
    <row r="432" spans="1:11">
      <c r="A432" s="12" t="s">
        <v>1185</v>
      </c>
      <c r="B432" s="19" t="s">
        <v>176</v>
      </c>
      <c r="C432" s="294" t="s">
        <v>160</v>
      </c>
      <c r="D432" s="6">
        <f>SUM(D429:D431)</f>
        <v>31008902.24539344</v>
      </c>
      <c r="E432" s="6">
        <f>SUM(E429:E431)</f>
        <v>29325665.035999015</v>
      </c>
      <c r="F432" s="6">
        <f>SUM(F429:F431)</f>
        <v>29325665.035999015</v>
      </c>
      <c r="G432" s="32">
        <f t="shared" ref="G432:I432" si="128">SUM(G429:G431)</f>
        <v>0</v>
      </c>
      <c r="H432" s="32">
        <f t="shared" si="128"/>
        <v>0</v>
      </c>
      <c r="I432" s="32">
        <f t="shared" si="128"/>
        <v>0</v>
      </c>
      <c r="J432" s="32">
        <f t="shared" ref="J432:K432" si="129">SUM(J429:J431)</f>
        <v>0</v>
      </c>
      <c r="K432" s="32">
        <f t="shared" si="129"/>
        <v>0</v>
      </c>
    </row>
    <row r="433" spans="1:11">
      <c r="C433" s="297"/>
      <c r="D433" s="7"/>
      <c r="E433" s="7"/>
      <c r="F433" s="7"/>
      <c r="G433" s="417"/>
      <c r="H433" s="417"/>
      <c r="I433" s="417"/>
      <c r="J433" s="417"/>
      <c r="K433" s="417"/>
    </row>
    <row r="434" spans="1:11">
      <c r="A434" s="273"/>
      <c r="B434" s="284" t="s">
        <v>755</v>
      </c>
      <c r="C434" s="290"/>
      <c r="D434" s="8"/>
      <c r="E434" s="8"/>
      <c r="F434" s="8"/>
      <c r="G434" s="417"/>
      <c r="H434" s="417"/>
      <c r="I434" s="417"/>
      <c r="J434" s="417"/>
      <c r="K434" s="417"/>
    </row>
    <row r="435" spans="1:11">
      <c r="A435" s="12" t="s">
        <v>1186</v>
      </c>
      <c r="B435" s="285" t="s">
        <v>757</v>
      </c>
      <c r="C435" s="289" t="s">
        <v>210</v>
      </c>
      <c r="D435" s="11"/>
      <c r="E435" s="11"/>
      <c r="F435" s="11"/>
      <c r="G435" s="33"/>
      <c r="H435" s="33"/>
      <c r="I435" s="33"/>
      <c r="J435" s="33"/>
      <c r="K435" s="33"/>
    </row>
    <row r="436" spans="1:11">
      <c r="A436" s="12" t="s">
        <v>1187</v>
      </c>
      <c r="B436" s="20" t="s">
        <v>760</v>
      </c>
      <c r="C436" s="294" t="s">
        <v>160</v>
      </c>
      <c r="D436" s="6">
        <v>0</v>
      </c>
      <c r="E436" s="6">
        <v>0</v>
      </c>
      <c r="F436" s="6">
        <v>0</v>
      </c>
      <c r="G436" s="32">
        <v>0</v>
      </c>
      <c r="H436" s="32">
        <v>0</v>
      </c>
      <c r="I436" s="32">
        <v>0</v>
      </c>
      <c r="J436" s="32">
        <v>0</v>
      </c>
      <c r="K436" s="32">
        <v>0</v>
      </c>
    </row>
    <row r="437" spans="1:11">
      <c r="A437" s="12" t="s">
        <v>1188</v>
      </c>
      <c r="B437" s="20" t="s">
        <v>763</v>
      </c>
      <c r="C437" s="289" t="s">
        <v>210</v>
      </c>
      <c r="D437" s="11"/>
      <c r="E437" s="11"/>
      <c r="F437" s="11"/>
      <c r="G437" s="33"/>
      <c r="H437" s="33"/>
      <c r="I437" s="33"/>
      <c r="J437" s="33"/>
      <c r="K437" s="33"/>
    </row>
    <row r="438" spans="1:11">
      <c r="A438" s="12" t="s">
        <v>1189</v>
      </c>
      <c r="B438" s="20" t="s">
        <v>766</v>
      </c>
      <c r="C438" s="294" t="s">
        <v>160</v>
      </c>
      <c r="D438" s="6">
        <v>0</v>
      </c>
      <c r="E438" s="6">
        <v>0</v>
      </c>
      <c r="F438" s="6">
        <v>0</v>
      </c>
      <c r="G438" s="32">
        <v>0</v>
      </c>
      <c r="H438" s="32">
        <v>0</v>
      </c>
      <c r="I438" s="32">
        <v>0</v>
      </c>
      <c r="J438" s="32">
        <v>0</v>
      </c>
      <c r="K438" s="32">
        <v>0</v>
      </c>
    </row>
    <row r="439" spans="1:11">
      <c r="C439" s="297"/>
      <c r="D439" s="7"/>
      <c r="E439" s="7"/>
      <c r="F439" s="7"/>
      <c r="G439" s="417"/>
      <c r="H439" s="417"/>
      <c r="I439" s="417"/>
      <c r="J439" s="417"/>
      <c r="K439" s="417"/>
    </row>
    <row r="440" spans="1:11" ht="18">
      <c r="B440" s="2" t="s">
        <v>770</v>
      </c>
      <c r="C440" s="291"/>
      <c r="D440" s="7"/>
      <c r="E440" s="7"/>
      <c r="F440" s="7"/>
      <c r="G440" s="417"/>
      <c r="H440" s="417"/>
      <c r="I440" s="417"/>
      <c r="J440" s="417"/>
      <c r="K440" s="417"/>
    </row>
    <row r="441" spans="1:11">
      <c r="A441" s="273"/>
      <c r="B441" s="163" t="s">
        <v>627</v>
      </c>
      <c r="C441" s="26" t="s">
        <v>152</v>
      </c>
      <c r="D441" s="26" t="str">
        <f>+$D$10</f>
        <v>2018-19 RF</v>
      </c>
      <c r="E441" s="26" t="str">
        <f>+$E$10</f>
        <v>2019-20 monthly</v>
      </c>
      <c r="F441" s="26" t="str">
        <f>+$F$10</f>
        <v>2019-20 RF</v>
      </c>
      <c r="G441" s="26" t="s">
        <v>807</v>
      </c>
      <c r="H441" s="26" t="s">
        <v>18</v>
      </c>
      <c r="I441" s="26" t="s">
        <v>808</v>
      </c>
      <c r="J441" s="26" t="s">
        <v>20</v>
      </c>
      <c r="K441" s="26" t="s">
        <v>809</v>
      </c>
    </row>
    <row r="442" spans="1:11">
      <c r="A442" s="12" t="s">
        <v>1190</v>
      </c>
      <c r="B442" s="23" t="s">
        <v>772</v>
      </c>
      <c r="C442" s="300" t="s">
        <v>210</v>
      </c>
      <c r="D442" s="11">
        <v>9553.339726027396</v>
      </c>
      <c r="E442" s="11">
        <v>9485.2568306010926</v>
      </c>
      <c r="F442" s="11">
        <v>9479.3278688524606</v>
      </c>
      <c r="G442" s="11"/>
      <c r="H442" s="11"/>
      <c r="I442" s="11"/>
      <c r="J442" s="11"/>
      <c r="K442" s="11"/>
    </row>
    <row r="443" spans="1:11">
      <c r="A443" s="12" t="s">
        <v>1191</v>
      </c>
      <c r="B443" s="19" t="s">
        <v>775</v>
      </c>
      <c r="C443" s="300" t="s">
        <v>210</v>
      </c>
      <c r="D443" s="11">
        <v>1212.3616438356164</v>
      </c>
      <c r="E443" s="11">
        <v>1204.8032786885246</v>
      </c>
      <c r="F443" s="11">
        <v>1206.9726775956283</v>
      </c>
      <c r="G443" s="11"/>
      <c r="H443" s="11"/>
      <c r="I443" s="11"/>
      <c r="J443" s="11"/>
      <c r="K443" s="11"/>
    </row>
    <row r="444" spans="1:11">
      <c r="A444" s="12"/>
      <c r="C444" s="297"/>
      <c r="D444" s="7"/>
      <c r="E444" s="7"/>
      <c r="F444" s="7"/>
      <c r="G444" s="417"/>
      <c r="H444" s="417"/>
      <c r="I444" s="417"/>
      <c r="J444" s="417"/>
      <c r="K444" s="417"/>
    </row>
    <row r="445" spans="1:11">
      <c r="A445" s="273"/>
      <c r="B445" s="284" t="s">
        <v>664</v>
      </c>
      <c r="C445" s="295"/>
      <c r="D445" s="7"/>
      <c r="E445" s="7"/>
      <c r="F445" s="7"/>
      <c r="G445" s="417"/>
      <c r="H445" s="417"/>
      <c r="I445" s="417"/>
      <c r="J445" s="417"/>
      <c r="K445" s="417"/>
    </row>
    <row r="446" spans="1:11">
      <c r="A446" s="12" t="s">
        <v>1192</v>
      </c>
      <c r="B446" s="23" t="s">
        <v>778</v>
      </c>
      <c r="C446" s="300" t="s">
        <v>210</v>
      </c>
      <c r="D446" s="11">
        <v>123.92</v>
      </c>
      <c r="E446" s="11">
        <v>126.4</v>
      </c>
      <c r="F446" s="11">
        <v>126.4</v>
      </c>
      <c r="G446" s="11"/>
      <c r="H446" s="11"/>
      <c r="I446" s="11"/>
      <c r="J446" s="11"/>
      <c r="K446" s="11"/>
    </row>
    <row r="447" spans="1:11">
      <c r="A447" s="12" t="s">
        <v>1193</v>
      </c>
      <c r="B447" s="19" t="s">
        <v>781</v>
      </c>
      <c r="C447" s="300" t="s">
        <v>210</v>
      </c>
      <c r="D447" s="11">
        <v>80.75</v>
      </c>
      <c r="E447" s="11">
        <v>82.37</v>
      </c>
      <c r="F447" s="11">
        <v>82.37</v>
      </c>
      <c r="G447" s="11"/>
      <c r="H447" s="11"/>
      <c r="I447" s="11"/>
      <c r="J447" s="11"/>
      <c r="K447" s="11"/>
    </row>
    <row r="448" spans="1:11">
      <c r="C448" s="297"/>
      <c r="D448" s="7"/>
      <c r="E448" s="7"/>
      <c r="F448" s="7"/>
      <c r="G448" s="417"/>
      <c r="H448" s="417"/>
      <c r="I448" s="417"/>
      <c r="J448" s="417"/>
      <c r="K448" s="417"/>
    </row>
    <row r="449" spans="1:11">
      <c r="A449" s="273"/>
      <c r="B449" s="284" t="s">
        <v>303</v>
      </c>
      <c r="C449" s="295"/>
      <c r="D449" s="7"/>
      <c r="E449" s="7"/>
      <c r="F449" s="7"/>
      <c r="G449" s="417"/>
      <c r="H449" s="417"/>
      <c r="I449" s="417"/>
      <c r="J449" s="417"/>
      <c r="K449" s="417"/>
    </row>
    <row r="450" spans="1:11">
      <c r="A450" s="12" t="s">
        <v>1194</v>
      </c>
      <c r="B450" s="23" t="s">
        <v>784</v>
      </c>
      <c r="C450" s="294" t="s">
        <v>160</v>
      </c>
      <c r="D450" s="6">
        <v>1183849.858849315</v>
      </c>
      <c r="E450" s="42">
        <f>+E442*E446</f>
        <v>1198936.4633879783</v>
      </c>
      <c r="F450" s="42">
        <f>+F442*F446</f>
        <v>1198187.0426229511</v>
      </c>
      <c r="G450" s="42">
        <f t="shared" ref="G450:I450" si="130">+G442*G446</f>
        <v>0</v>
      </c>
      <c r="H450" s="42">
        <f t="shared" si="130"/>
        <v>0</v>
      </c>
      <c r="I450" s="42">
        <f t="shared" si="130"/>
        <v>0</v>
      </c>
      <c r="J450" s="42">
        <f t="shared" ref="J450:K450" si="131">+J442*J446</f>
        <v>0</v>
      </c>
      <c r="K450" s="42">
        <f t="shared" si="131"/>
        <v>0</v>
      </c>
    </row>
    <row r="451" spans="1:11">
      <c r="A451" s="12" t="s">
        <v>1195</v>
      </c>
      <c r="B451" s="19" t="s">
        <v>787</v>
      </c>
      <c r="C451" s="294" t="s">
        <v>160</v>
      </c>
      <c r="D451" s="6">
        <v>97898.202739726024</v>
      </c>
      <c r="E451" s="42">
        <f>+E443*E447</f>
        <v>99239.646065573776</v>
      </c>
      <c r="F451" s="42">
        <f>+F443*F447</f>
        <v>99418.339453551904</v>
      </c>
      <c r="G451" s="42">
        <f t="shared" ref="G451:I451" si="132">+G443*G447</f>
        <v>0</v>
      </c>
      <c r="H451" s="42">
        <f t="shared" si="132"/>
        <v>0</v>
      </c>
      <c r="I451" s="42">
        <f t="shared" si="132"/>
        <v>0</v>
      </c>
      <c r="J451" s="42">
        <f t="shared" ref="J451:K451" si="133">+J443*J447</f>
        <v>0</v>
      </c>
      <c r="K451" s="42">
        <f t="shared" si="133"/>
        <v>0</v>
      </c>
    </row>
    <row r="452" spans="1:11">
      <c r="A452" s="12" t="s">
        <v>1196</v>
      </c>
      <c r="B452" s="19" t="s">
        <v>176</v>
      </c>
      <c r="C452" s="294" t="s">
        <v>160</v>
      </c>
      <c r="D452" s="6">
        <v>1281748.061589041</v>
      </c>
      <c r="E452" s="6">
        <f>SUM(E450:E451)</f>
        <v>1298176.1094535519</v>
      </c>
      <c r="F452" s="6">
        <f>SUM(F450:F451)</f>
        <v>1297605.382076503</v>
      </c>
      <c r="G452" s="6">
        <f t="shared" ref="G452:I452" si="134">SUM(G450:G451)</f>
        <v>0</v>
      </c>
      <c r="H452" s="6">
        <f t="shared" si="134"/>
        <v>0</v>
      </c>
      <c r="I452" s="6">
        <f t="shared" si="134"/>
        <v>0</v>
      </c>
      <c r="J452" s="6">
        <f t="shared" ref="J452:K452" si="135">SUM(J450:J451)</f>
        <v>0</v>
      </c>
      <c r="K452" s="6">
        <f t="shared" si="135"/>
        <v>0</v>
      </c>
    </row>
    <row r="453" spans="1:11">
      <c r="C453" s="297"/>
      <c r="D453" s="7"/>
      <c r="E453" s="7"/>
      <c r="F453" s="7"/>
      <c r="G453" s="417"/>
      <c r="H453" s="417"/>
      <c r="I453" s="417"/>
      <c r="J453" s="417"/>
      <c r="K453" s="417"/>
    </row>
    <row r="454" spans="1:11">
      <c r="A454" s="273"/>
      <c r="B454" s="284" t="s">
        <v>790</v>
      </c>
      <c r="C454" s="290"/>
      <c r="D454" s="8"/>
      <c r="E454" s="8"/>
      <c r="F454" s="8"/>
      <c r="G454" s="417"/>
      <c r="H454" s="417"/>
      <c r="I454" s="417"/>
      <c r="J454" s="417"/>
      <c r="K454" s="417"/>
    </row>
    <row r="455" spans="1:11">
      <c r="A455" s="12" t="s">
        <v>1197</v>
      </c>
      <c r="B455" s="285" t="s">
        <v>792</v>
      </c>
      <c r="C455" s="289" t="s">
        <v>210</v>
      </c>
      <c r="D455" s="11">
        <v>985.19620000000009</v>
      </c>
      <c r="E455" s="11">
        <v>937.12450000000013</v>
      </c>
      <c r="F455" s="11">
        <v>1233.0936000000002</v>
      </c>
      <c r="G455" s="11"/>
      <c r="H455" s="11"/>
      <c r="I455" s="11"/>
      <c r="J455" s="11"/>
      <c r="K455" s="11"/>
    </row>
    <row r="456" spans="1:11">
      <c r="A456" s="12" t="s">
        <v>1198</v>
      </c>
      <c r="B456" s="20" t="s">
        <v>795</v>
      </c>
      <c r="C456" s="294" t="s">
        <v>160</v>
      </c>
      <c r="D456" s="35">
        <f t="shared" ref="D456:E456" si="136">D455/D452</f>
        <v>7.6863482732995739E-4</v>
      </c>
      <c r="E456" s="35">
        <f t="shared" si="136"/>
        <v>7.2187778928890388E-4</v>
      </c>
      <c r="F456" s="35">
        <f>F455/F452</f>
        <v>9.502839746446894E-4</v>
      </c>
      <c r="G456" s="35" t="e">
        <f t="shared" ref="G456:I456" si="137">G455/G452</f>
        <v>#DIV/0!</v>
      </c>
      <c r="H456" s="35" t="e">
        <f t="shared" si="137"/>
        <v>#DIV/0!</v>
      </c>
      <c r="I456" s="35" t="e">
        <f t="shared" si="137"/>
        <v>#DIV/0!</v>
      </c>
      <c r="J456" s="35" t="e">
        <f t="shared" ref="J456:K456" si="138">J455/J452</f>
        <v>#DIV/0!</v>
      </c>
      <c r="K456" s="35" t="e">
        <f t="shared" si="138"/>
        <v>#DIV/0!</v>
      </c>
    </row>
    <row r="457" spans="1:11">
      <c r="A457" s="12" t="s">
        <v>1199</v>
      </c>
      <c r="B457" s="20" t="s">
        <v>798</v>
      </c>
      <c r="C457" s="289" t="s">
        <v>210</v>
      </c>
      <c r="D457" s="11">
        <v>37465.53619999993</v>
      </c>
      <c r="E457" s="11">
        <v>36246.013400000054</v>
      </c>
      <c r="F457" s="11">
        <v>35550.169400000043</v>
      </c>
      <c r="G457" s="11"/>
      <c r="H457" s="11"/>
      <c r="I457" s="11"/>
      <c r="J457" s="11"/>
      <c r="K457" s="11"/>
    </row>
    <row r="458" spans="1:11">
      <c r="A458" s="12" t="s">
        <v>1200</v>
      </c>
      <c r="B458" s="20" t="s">
        <v>801</v>
      </c>
      <c r="C458" s="294" t="s">
        <v>160</v>
      </c>
      <c r="D458" s="35">
        <f t="shared" ref="D458:E458" si="139">D457/D452</f>
        <v>2.9230031488054066E-2</v>
      </c>
      <c r="E458" s="35">
        <f t="shared" si="139"/>
        <v>2.7920721338229895E-2</v>
      </c>
      <c r="F458" s="35">
        <f>F457/F452</f>
        <v>2.7396749343864935E-2</v>
      </c>
      <c r="G458" s="35" t="e">
        <f t="shared" ref="G458:I458" si="140">G457/G452</f>
        <v>#DIV/0!</v>
      </c>
      <c r="H458" s="35" t="e">
        <f t="shared" si="140"/>
        <v>#DIV/0!</v>
      </c>
      <c r="I458" s="35" t="e">
        <f t="shared" si="140"/>
        <v>#DIV/0!</v>
      </c>
      <c r="J458" s="35" t="e">
        <f t="shared" ref="J458:K458" si="141">J457/J452</f>
        <v>#DIV/0!</v>
      </c>
      <c r="K458" s="35" t="e">
        <f t="shared" si="141"/>
        <v>#DIV/0!</v>
      </c>
    </row>
    <row r="459" spans="1:11">
      <c r="A459" s="12" t="s">
        <v>1201</v>
      </c>
      <c r="B459" s="20" t="s">
        <v>332</v>
      </c>
      <c r="C459" s="289" t="s">
        <v>210</v>
      </c>
      <c r="D459" s="11">
        <v>247.84</v>
      </c>
      <c r="E459" s="11">
        <v>295.27850000000001</v>
      </c>
      <c r="F459" s="11">
        <v>252.8</v>
      </c>
      <c r="G459" s="11"/>
      <c r="H459" s="11"/>
      <c r="I459" s="11"/>
      <c r="J459" s="11"/>
      <c r="K459" s="11"/>
    </row>
    <row r="460" spans="1:11">
      <c r="A460" s="12" t="s">
        <v>1202</v>
      </c>
      <c r="B460" s="20" t="s">
        <v>335</v>
      </c>
      <c r="C460" s="294" t="s">
        <v>160</v>
      </c>
      <c r="D460" s="35">
        <f t="shared" ref="D460:E460" si="142">D459/D452</f>
        <v>1.9336093217316166E-4</v>
      </c>
      <c r="E460" s="35">
        <f t="shared" si="142"/>
        <v>2.2745642740590346E-4</v>
      </c>
      <c r="F460" s="35">
        <f>F459/F452</f>
        <v>1.9482040032498544E-4</v>
      </c>
      <c r="G460" s="35" t="e">
        <f t="shared" ref="G460:I460" si="143">G459/G452</f>
        <v>#DIV/0!</v>
      </c>
      <c r="H460" s="35" t="e">
        <f t="shared" si="143"/>
        <v>#DIV/0!</v>
      </c>
      <c r="I460" s="35" t="e">
        <f t="shared" si="143"/>
        <v>#DIV/0!</v>
      </c>
      <c r="J460" s="35" t="e">
        <f t="shared" ref="J460:K460" si="144">J459/J452</f>
        <v>#DIV/0!</v>
      </c>
      <c r="K460" s="35" t="e">
        <f t="shared" si="144"/>
        <v>#DIV/0!</v>
      </c>
    </row>
    <row r="461" spans="1:11">
      <c r="D461" s="7"/>
      <c r="E461" s="7"/>
      <c r="F461" s="7"/>
      <c r="G461" s="417"/>
      <c r="H461" s="417"/>
      <c r="I461" s="417"/>
      <c r="J461" s="417"/>
      <c r="K461" s="417"/>
    </row>
    <row r="462" spans="1:11" ht="14.5">
      <c r="B462" s="459"/>
      <c r="C462" s="460"/>
      <c r="D462" s="460"/>
      <c r="E462" s="461"/>
      <c r="F462" s="462"/>
      <c r="H462" s="417"/>
      <c r="I462" s="417"/>
      <c r="J462" s="417"/>
      <c r="K462" s="417"/>
    </row>
    <row r="463" spans="1:11" ht="14.5">
      <c r="B463" s="463" t="s">
        <v>142</v>
      </c>
      <c r="C463" s="464"/>
      <c r="D463" s="464"/>
      <c r="E463" s="465"/>
      <c r="F463" s="466"/>
      <c r="H463" s="417"/>
      <c r="I463" s="417"/>
      <c r="J463" s="417"/>
      <c r="K463" s="417"/>
    </row>
    <row r="464" spans="1:11" ht="14.5">
      <c r="B464" s="474"/>
      <c r="C464" s="464"/>
      <c r="D464" s="464"/>
      <c r="E464" s="467"/>
      <c r="F464" s="466"/>
      <c r="H464" s="417"/>
      <c r="I464" s="417"/>
      <c r="J464" s="417"/>
      <c r="K464" s="417"/>
    </row>
    <row r="465" spans="1:11" ht="14.5">
      <c r="B465" s="463" t="s">
        <v>143</v>
      </c>
      <c r="C465" s="464"/>
      <c r="D465" s="464"/>
      <c r="E465" s="465"/>
      <c r="F465" s="466"/>
      <c r="H465" s="417"/>
      <c r="I465" s="417"/>
      <c r="J465" s="417"/>
      <c r="K465" s="417"/>
    </row>
    <row r="466" spans="1:11" s="7" customFormat="1">
      <c r="A466"/>
      <c r="B466" s="468"/>
      <c r="C466" s="464"/>
      <c r="D466" s="464"/>
      <c r="E466" s="467"/>
      <c r="F466" s="466"/>
      <c r="H466" s="417"/>
      <c r="J466" s="417"/>
    </row>
    <row r="467" spans="1:11" s="7" customFormat="1">
      <c r="A467"/>
      <c r="B467" s="463" t="s">
        <v>144</v>
      </c>
      <c r="C467" s="464"/>
      <c r="D467" s="464"/>
      <c r="E467" s="465" t="s">
        <v>145</v>
      </c>
      <c r="F467" s="469"/>
      <c r="H467" s="417"/>
      <c r="J467" s="417"/>
    </row>
    <row r="468" spans="1:11" s="7" customFormat="1">
      <c r="A468"/>
      <c r="B468" s="470"/>
      <c r="C468" s="471"/>
      <c r="D468" s="471"/>
      <c r="E468" s="472"/>
      <c r="F468" s="473"/>
      <c r="H468" s="417"/>
      <c r="J468" s="417"/>
    </row>
    <row r="469" spans="1:11" s="7" customFormat="1">
      <c r="A469"/>
      <c r="D469" s="46"/>
      <c r="E469" s="46"/>
      <c r="F469" s="46"/>
      <c r="G469" s="417"/>
      <c r="H469" s="417"/>
      <c r="J469" s="417"/>
    </row>
    <row r="470" spans="1:11" s="7" customFormat="1">
      <c r="A470"/>
      <c r="B470"/>
      <c r="G470" s="417"/>
      <c r="H470" s="417"/>
      <c r="J470" s="417"/>
    </row>
    <row r="471" spans="1:11" s="7" customFormat="1">
      <c r="A471"/>
      <c r="D471" s="46"/>
      <c r="E471" s="46"/>
      <c r="F471" s="46"/>
      <c r="G471" s="417"/>
      <c r="H471" s="417"/>
      <c r="J471" s="417"/>
    </row>
    <row r="472" spans="1:11" s="7" customFormat="1">
      <c r="A472"/>
      <c r="G472" s="417"/>
      <c r="H472" s="417"/>
      <c r="J472" s="417"/>
    </row>
    <row r="473" spans="1:11" s="7" customFormat="1">
      <c r="A473"/>
      <c r="B473"/>
      <c r="G473" s="417"/>
      <c r="H473" s="417"/>
      <c r="J473" s="417"/>
    </row>
    <row r="474" spans="1:11" s="7" customFormat="1">
      <c r="A474"/>
      <c r="G474" s="417"/>
      <c r="H474" s="417"/>
      <c r="J474" s="417"/>
    </row>
    <row r="475" spans="1:11" s="7" customFormat="1">
      <c r="A475"/>
      <c r="G475" s="417"/>
      <c r="H475" s="417"/>
      <c r="J475" s="417"/>
    </row>
    <row r="476" spans="1:11" s="7" customFormat="1">
      <c r="A476"/>
      <c r="G476" s="417"/>
      <c r="H476" s="417"/>
      <c r="J476" s="417"/>
    </row>
    <row r="477" spans="1:11" s="7" customFormat="1">
      <c r="A477"/>
      <c r="G477" s="417"/>
      <c r="H477" s="417"/>
      <c r="J477" s="417"/>
    </row>
    <row r="478" spans="1:11" s="7" customFormat="1">
      <c r="A478"/>
      <c r="G478" s="417"/>
      <c r="H478" s="417"/>
      <c r="J478" s="417"/>
    </row>
    <row r="479" spans="1:11" s="7" customFormat="1">
      <c r="A479"/>
      <c r="G479" s="417"/>
      <c r="H479" s="417"/>
      <c r="J479" s="417"/>
    </row>
    <row r="480" spans="1:11" s="7" customFormat="1">
      <c r="A480"/>
      <c r="G480" s="417"/>
      <c r="H480" s="417"/>
      <c r="J480" s="417"/>
    </row>
    <row r="481" spans="1:10" s="7" customFormat="1">
      <c r="A481"/>
      <c r="G481" s="417"/>
      <c r="H481" s="417"/>
      <c r="J481" s="417"/>
    </row>
    <row r="482" spans="1:10" s="7" customFormat="1">
      <c r="A482"/>
      <c r="G482" s="417"/>
      <c r="H482" s="417"/>
      <c r="J482" s="417"/>
    </row>
    <row r="483" spans="1:10" s="7" customFormat="1">
      <c r="A483"/>
      <c r="G483" s="417"/>
      <c r="H483" s="417"/>
      <c r="J483" s="417"/>
    </row>
    <row r="484" spans="1:10" s="7" customFormat="1">
      <c r="A484"/>
      <c r="G484" s="417"/>
      <c r="H484" s="417"/>
      <c r="J484" s="417"/>
    </row>
    <row r="485" spans="1:10" s="7" customFormat="1">
      <c r="A485"/>
      <c r="G485" s="417"/>
      <c r="H485" s="417"/>
      <c r="J485" s="417"/>
    </row>
    <row r="486" spans="1:10" s="7" customFormat="1">
      <c r="A486"/>
      <c r="G486" s="417"/>
      <c r="H486" s="417"/>
      <c r="J486" s="417"/>
    </row>
    <row r="487" spans="1:10" s="7" customFormat="1">
      <c r="A487"/>
      <c r="G487" s="417"/>
      <c r="H487" s="417"/>
      <c r="J487" s="417"/>
    </row>
    <row r="488" spans="1:10" s="7" customFormat="1">
      <c r="A488"/>
      <c r="G488" s="417"/>
      <c r="H488" s="417"/>
      <c r="J488" s="417"/>
    </row>
    <row r="489" spans="1:10" s="7" customFormat="1">
      <c r="A489"/>
      <c r="G489" s="417"/>
      <c r="H489" s="417"/>
      <c r="J489" s="417"/>
    </row>
    <row r="490" spans="1:10" s="7" customFormat="1">
      <c r="A490"/>
      <c r="G490" s="417"/>
      <c r="H490" s="417"/>
      <c r="J490" s="417"/>
    </row>
    <row r="491" spans="1:10" s="7" customFormat="1">
      <c r="A491"/>
      <c r="G491" s="417"/>
      <c r="H491" s="417"/>
      <c r="J491" s="417"/>
    </row>
    <row r="492" spans="1:10" s="7" customFormat="1">
      <c r="A492"/>
      <c r="G492" s="417"/>
      <c r="H492" s="417"/>
      <c r="J492" s="417"/>
    </row>
    <row r="493" spans="1:10" s="7" customFormat="1">
      <c r="A493"/>
      <c r="G493" s="417"/>
      <c r="H493" s="417"/>
      <c r="J493" s="417"/>
    </row>
    <row r="494" spans="1:10" s="7" customFormat="1">
      <c r="A494"/>
      <c r="G494" s="417"/>
      <c r="H494" s="417"/>
      <c r="J494" s="417"/>
    </row>
    <row r="495" spans="1:10" s="7" customFormat="1">
      <c r="A495"/>
      <c r="G495" s="417"/>
      <c r="H495" s="417"/>
      <c r="J495" s="417"/>
    </row>
    <row r="496" spans="1:10" s="7" customFormat="1">
      <c r="A496"/>
      <c r="G496" s="417"/>
      <c r="H496" s="417"/>
      <c r="J496" s="417"/>
    </row>
    <row r="497" spans="1:10" s="7" customFormat="1">
      <c r="A497"/>
      <c r="G497" s="417"/>
      <c r="H497" s="417"/>
      <c r="J497" s="417"/>
    </row>
    <row r="498" spans="1:10" s="7" customFormat="1">
      <c r="A498"/>
      <c r="G498" s="417"/>
      <c r="H498" s="417"/>
      <c r="J498" s="417"/>
    </row>
    <row r="499" spans="1:10" s="7" customFormat="1">
      <c r="A499"/>
      <c r="G499" s="417"/>
      <c r="H499" s="417"/>
      <c r="J499" s="417"/>
    </row>
    <row r="500" spans="1:10" s="7" customFormat="1">
      <c r="A500"/>
      <c r="G500" s="417"/>
      <c r="H500" s="417"/>
      <c r="J500" s="417"/>
    </row>
    <row r="501" spans="1:10" s="7" customFormat="1">
      <c r="A501"/>
      <c r="G501" s="417"/>
      <c r="H501" s="417"/>
      <c r="J501" s="417"/>
    </row>
    <row r="502" spans="1:10" s="7" customFormat="1">
      <c r="A502"/>
      <c r="G502" s="417"/>
      <c r="H502" s="417"/>
      <c r="J502" s="417"/>
    </row>
    <row r="503" spans="1:10" s="7" customFormat="1">
      <c r="A503"/>
      <c r="G503" s="417"/>
      <c r="H503" s="417"/>
      <c r="J503" s="417"/>
    </row>
    <row r="504" spans="1:10" s="7" customFormat="1">
      <c r="A504"/>
      <c r="G504" s="417"/>
      <c r="H504" s="417"/>
      <c r="J504" s="417"/>
    </row>
    <row r="505" spans="1:10" s="7" customFormat="1">
      <c r="A505"/>
      <c r="G505" s="417"/>
      <c r="H505" s="417"/>
      <c r="J505" s="417"/>
    </row>
    <row r="506" spans="1:10" s="7" customFormat="1">
      <c r="A506"/>
      <c r="G506" s="417"/>
      <c r="H506" s="417"/>
      <c r="J506" s="417"/>
    </row>
    <row r="507" spans="1:10" s="7" customFormat="1">
      <c r="A507"/>
      <c r="G507" s="417"/>
      <c r="H507" s="417"/>
      <c r="J507" s="417"/>
    </row>
    <row r="508" spans="1:10" s="7" customFormat="1">
      <c r="A508"/>
      <c r="G508" s="417"/>
      <c r="H508" s="417"/>
      <c r="J508" s="417"/>
    </row>
    <row r="509" spans="1:10" s="7" customFormat="1">
      <c r="A509"/>
      <c r="G509" s="417"/>
      <c r="H509" s="417"/>
      <c r="J509" s="417"/>
    </row>
    <row r="510" spans="1:10" s="7" customFormat="1">
      <c r="A510"/>
      <c r="G510" s="417"/>
      <c r="H510" s="417"/>
      <c r="J510" s="417"/>
    </row>
    <row r="511" spans="1:10" s="7" customFormat="1">
      <c r="A511"/>
      <c r="G511" s="417"/>
      <c r="H511" s="417"/>
      <c r="J511" s="417"/>
    </row>
    <row r="512" spans="1:10" s="7" customFormat="1">
      <c r="A512"/>
      <c r="G512" s="417"/>
      <c r="H512" s="417"/>
      <c r="J512" s="417"/>
    </row>
    <row r="513" spans="1:10" s="7" customFormat="1">
      <c r="A513"/>
      <c r="G513" s="417"/>
      <c r="H513" s="417"/>
      <c r="J513" s="417"/>
    </row>
    <row r="514" spans="1:10" s="7" customFormat="1">
      <c r="A514"/>
      <c r="G514" s="417"/>
      <c r="H514" s="417"/>
      <c r="J514" s="417"/>
    </row>
    <row r="515" spans="1:10" s="7" customFormat="1">
      <c r="A515"/>
      <c r="G515" s="417"/>
      <c r="H515" s="417"/>
      <c r="J515" s="417"/>
    </row>
    <row r="516" spans="1:10" s="7" customFormat="1">
      <c r="A516"/>
      <c r="G516" s="417"/>
      <c r="H516" s="417"/>
      <c r="J516" s="417"/>
    </row>
    <row r="517" spans="1:10" s="7" customFormat="1">
      <c r="A517"/>
      <c r="G517" s="417"/>
      <c r="H517" s="417"/>
      <c r="J517" s="417"/>
    </row>
    <row r="518" spans="1:10" s="7" customFormat="1">
      <c r="A518"/>
      <c r="G518" s="417"/>
      <c r="H518" s="417"/>
      <c r="J518" s="417"/>
    </row>
    <row r="519" spans="1:10" s="7" customFormat="1">
      <c r="A519"/>
      <c r="G519" s="417"/>
      <c r="H519" s="417"/>
      <c r="J519" s="417"/>
    </row>
    <row r="520" spans="1:10" s="7" customFormat="1">
      <c r="A520"/>
      <c r="G520" s="417"/>
      <c r="H520" s="417"/>
      <c r="J520" s="417"/>
    </row>
    <row r="521" spans="1:10" s="7" customFormat="1">
      <c r="A521"/>
      <c r="G521" s="417"/>
      <c r="H521" s="417"/>
      <c r="J521" s="417"/>
    </row>
    <row r="522" spans="1:10" s="7" customFormat="1">
      <c r="A522"/>
      <c r="G522" s="417"/>
      <c r="H522" s="417"/>
      <c r="J522" s="417"/>
    </row>
    <row r="523" spans="1:10" s="7" customFormat="1">
      <c r="A523"/>
      <c r="G523" s="417"/>
      <c r="H523" s="417"/>
      <c r="J523" s="417"/>
    </row>
    <row r="524" spans="1:10" s="7" customFormat="1">
      <c r="A524"/>
      <c r="G524" s="417"/>
      <c r="H524" s="417"/>
      <c r="J524" s="417"/>
    </row>
    <row r="525" spans="1:10" s="7" customFormat="1">
      <c r="A525"/>
      <c r="G525" s="417"/>
      <c r="H525" s="417"/>
      <c r="J525" s="417"/>
    </row>
    <row r="526" spans="1:10" s="7" customFormat="1">
      <c r="A526"/>
      <c r="G526" s="417"/>
      <c r="H526" s="417"/>
      <c r="J526" s="417"/>
    </row>
    <row r="527" spans="1:10" s="7" customFormat="1">
      <c r="A527"/>
      <c r="G527" s="417"/>
      <c r="H527" s="417"/>
      <c r="J527" s="417"/>
    </row>
    <row r="528" spans="1:10" s="7" customFormat="1">
      <c r="A528"/>
      <c r="G528" s="417"/>
      <c r="H528" s="417"/>
      <c r="J528" s="417"/>
    </row>
    <row r="529" spans="1:10" s="7" customFormat="1">
      <c r="A529"/>
      <c r="G529" s="417"/>
      <c r="H529" s="417"/>
      <c r="J529" s="417"/>
    </row>
    <row r="530" spans="1:10" s="7" customFormat="1">
      <c r="A530"/>
      <c r="G530" s="417"/>
      <c r="H530" s="417"/>
      <c r="J530" s="417"/>
    </row>
    <row r="531" spans="1:10" s="7" customFormat="1">
      <c r="A531"/>
      <c r="G531" s="417"/>
      <c r="H531" s="417"/>
      <c r="J531" s="417"/>
    </row>
    <row r="532" spans="1:10" s="7" customFormat="1">
      <c r="A532"/>
      <c r="G532" s="417"/>
      <c r="H532" s="417"/>
      <c r="J532" s="417"/>
    </row>
    <row r="533" spans="1:10" s="7" customFormat="1">
      <c r="A533"/>
      <c r="G533" s="417"/>
      <c r="H533" s="417"/>
      <c r="J533" s="417"/>
    </row>
    <row r="534" spans="1:10" s="7" customFormat="1">
      <c r="A534"/>
      <c r="G534" s="417"/>
      <c r="H534" s="417"/>
      <c r="J534" s="417"/>
    </row>
    <row r="535" spans="1:10" s="7" customFormat="1">
      <c r="A535"/>
      <c r="G535" s="417"/>
      <c r="H535" s="417"/>
      <c r="J535" s="417"/>
    </row>
    <row r="536" spans="1:10" s="7" customFormat="1">
      <c r="A536"/>
      <c r="G536" s="417"/>
      <c r="H536" s="417"/>
      <c r="J536" s="417"/>
    </row>
    <row r="537" spans="1:10" s="7" customFormat="1">
      <c r="A537"/>
      <c r="G537" s="417"/>
      <c r="H537" s="417"/>
      <c r="J537" s="417"/>
    </row>
    <row r="538" spans="1:10" s="7" customFormat="1">
      <c r="A538"/>
      <c r="G538" s="417"/>
      <c r="H538" s="417"/>
      <c r="J538" s="417"/>
    </row>
    <row r="539" spans="1:10" s="7" customFormat="1">
      <c r="A539"/>
      <c r="G539" s="417"/>
      <c r="H539" s="417"/>
      <c r="J539" s="417"/>
    </row>
    <row r="540" spans="1:10" s="7" customFormat="1">
      <c r="A540"/>
      <c r="G540" s="417"/>
      <c r="H540" s="417"/>
      <c r="J540" s="417"/>
    </row>
    <row r="541" spans="1:10" s="7" customFormat="1">
      <c r="A541"/>
      <c r="D541" s="400"/>
      <c r="E541" s="400"/>
      <c r="F541" s="400"/>
      <c r="G541" s="399"/>
      <c r="H541" s="399"/>
      <c r="I541" s="400"/>
      <c r="J541"/>
    </row>
    <row r="542" spans="1:10" s="7" customFormat="1">
      <c r="A542"/>
      <c r="D542" s="400"/>
      <c r="E542" s="400"/>
      <c r="F542" s="400"/>
      <c r="G542" s="399"/>
      <c r="H542" s="399"/>
      <c r="I542" s="400"/>
      <c r="J542"/>
    </row>
    <row r="543" spans="1:10" s="7" customFormat="1">
      <c r="A543"/>
      <c r="D543" s="400"/>
      <c r="E543" s="400"/>
      <c r="F543" s="400"/>
      <c r="G543" s="399"/>
      <c r="H543" s="399"/>
      <c r="I543" s="400"/>
      <c r="J543"/>
    </row>
    <row r="544" spans="1:10" s="7" customFormat="1">
      <c r="A544"/>
      <c r="D544" s="400"/>
      <c r="E544" s="400"/>
      <c r="F544" s="400"/>
      <c r="G544" s="399"/>
      <c r="H544" s="399"/>
      <c r="I544" s="400"/>
      <c r="J544"/>
    </row>
    <row r="545" spans="1:10" s="7" customFormat="1">
      <c r="A545"/>
      <c r="D545" s="400"/>
      <c r="E545" s="400"/>
      <c r="F545" s="400"/>
      <c r="G545" s="399"/>
      <c r="H545" s="399"/>
      <c r="I545" s="400"/>
      <c r="J545"/>
    </row>
    <row r="546" spans="1:10" s="7" customFormat="1">
      <c r="A546"/>
      <c r="D546" s="400"/>
      <c r="E546" s="400"/>
      <c r="F546" s="400"/>
      <c r="G546" s="399"/>
      <c r="H546" s="399"/>
      <c r="I546" s="400"/>
      <c r="J546"/>
    </row>
    <row r="547" spans="1:10" s="7" customFormat="1">
      <c r="A547"/>
      <c r="D547" s="400"/>
      <c r="E547" s="400"/>
      <c r="F547" s="400"/>
      <c r="G547" s="399"/>
      <c r="H547" s="399"/>
      <c r="I547" s="400"/>
      <c r="J547"/>
    </row>
    <row r="548" spans="1:10" s="7" customFormat="1">
      <c r="A548"/>
      <c r="D548" s="400"/>
      <c r="E548" s="400"/>
      <c r="F548" s="400"/>
      <c r="G548" s="399"/>
      <c r="H548" s="399"/>
      <c r="I548" s="400"/>
      <c r="J548"/>
    </row>
    <row r="549" spans="1:10" s="7" customFormat="1">
      <c r="A549"/>
      <c r="D549" s="400"/>
      <c r="E549" s="400"/>
      <c r="F549" s="400"/>
      <c r="G549" s="399"/>
      <c r="H549" s="399"/>
      <c r="I549" s="400"/>
      <c r="J549"/>
    </row>
    <row r="550" spans="1:10" s="7" customFormat="1">
      <c r="A550"/>
      <c r="D550" s="400"/>
      <c r="E550" s="400"/>
      <c r="F550" s="400"/>
      <c r="G550" s="399"/>
      <c r="H550" s="399"/>
      <c r="I550" s="400"/>
      <c r="J550"/>
    </row>
    <row r="551" spans="1:10" s="7" customFormat="1">
      <c r="A551"/>
      <c r="D551" s="400"/>
      <c r="E551" s="400"/>
      <c r="F551" s="400"/>
      <c r="G551" s="399"/>
      <c r="H551" s="399"/>
      <c r="I551" s="400"/>
      <c r="J551"/>
    </row>
    <row r="552" spans="1:10" s="7" customFormat="1">
      <c r="A552"/>
      <c r="D552" s="400"/>
      <c r="E552" s="400"/>
      <c r="F552" s="400"/>
      <c r="G552" s="399"/>
      <c r="H552" s="399"/>
      <c r="I552" s="400"/>
      <c r="J552"/>
    </row>
    <row r="553" spans="1:10" s="7" customFormat="1">
      <c r="A553"/>
      <c r="D553" s="400"/>
      <c r="E553" s="400"/>
      <c r="F553" s="400"/>
      <c r="G553" s="399"/>
      <c r="H553" s="399"/>
      <c r="I553" s="400"/>
      <c r="J553"/>
    </row>
    <row r="554" spans="1:10" s="7" customFormat="1">
      <c r="A554"/>
      <c r="D554" s="400"/>
      <c r="E554" s="400"/>
      <c r="F554" s="400"/>
      <c r="G554" s="399"/>
      <c r="H554" s="399"/>
      <c r="I554" s="400"/>
      <c r="J554"/>
    </row>
    <row r="555" spans="1:10" s="7" customFormat="1">
      <c r="A555"/>
      <c r="D555" s="400"/>
      <c r="E555" s="400"/>
      <c r="F555" s="400"/>
      <c r="G555" s="399"/>
      <c r="H555" s="399"/>
      <c r="I555" s="400"/>
      <c r="J555"/>
    </row>
    <row r="556" spans="1:10" s="7" customFormat="1">
      <c r="A556"/>
      <c r="D556" s="400"/>
      <c r="E556" s="400"/>
      <c r="F556" s="400"/>
      <c r="G556" s="399"/>
      <c r="H556" s="399"/>
      <c r="I556" s="400"/>
      <c r="J556"/>
    </row>
    <row r="557" spans="1:10" s="7" customFormat="1">
      <c r="A557"/>
      <c r="D557" s="400"/>
      <c r="E557" s="400"/>
      <c r="F557" s="400"/>
      <c r="G557" s="399"/>
      <c r="H557" s="399"/>
      <c r="I557" s="400"/>
      <c r="J557"/>
    </row>
    <row r="558" spans="1:10" s="7" customFormat="1">
      <c r="A558"/>
      <c r="D558" s="400"/>
      <c r="E558" s="400"/>
      <c r="F558" s="400"/>
      <c r="G558" s="399"/>
      <c r="H558" s="399"/>
      <c r="I558" s="400"/>
      <c r="J558"/>
    </row>
    <row r="559" spans="1:10" s="7" customFormat="1">
      <c r="A559"/>
      <c r="D559" s="400"/>
      <c r="E559" s="400"/>
      <c r="F559" s="400"/>
      <c r="G559" s="399"/>
      <c r="H559" s="399"/>
      <c r="I559" s="400"/>
      <c r="J559"/>
    </row>
    <row r="560" spans="1:10" s="7" customFormat="1">
      <c r="A560"/>
      <c r="D560" s="400"/>
      <c r="E560" s="400"/>
      <c r="F560" s="400"/>
      <c r="G560" s="399"/>
      <c r="H560" s="399"/>
      <c r="I560" s="400"/>
      <c r="J560"/>
    </row>
    <row r="561" spans="1:10" s="7" customFormat="1">
      <c r="A561"/>
      <c r="D561" s="400"/>
      <c r="E561" s="400"/>
      <c r="F561" s="400"/>
      <c r="G561" s="399"/>
      <c r="H561" s="399"/>
      <c r="I561" s="400"/>
      <c r="J561"/>
    </row>
    <row r="562" spans="1:10" s="7" customFormat="1">
      <c r="A562"/>
      <c r="D562" s="400"/>
      <c r="E562" s="400"/>
      <c r="F562" s="400"/>
      <c r="G562" s="399"/>
      <c r="H562" s="399"/>
      <c r="I562" s="400"/>
      <c r="J562"/>
    </row>
    <row r="563" spans="1:10" s="7" customFormat="1">
      <c r="A563"/>
      <c r="D563" s="400"/>
      <c r="E563" s="400"/>
      <c r="F563" s="400"/>
      <c r="G563" s="399"/>
      <c r="H563" s="399"/>
      <c r="I563" s="400"/>
      <c r="J563"/>
    </row>
    <row r="564" spans="1:10" s="7" customFormat="1">
      <c r="A564"/>
      <c r="D564" s="400"/>
      <c r="E564" s="400"/>
      <c r="F564" s="400"/>
      <c r="G564" s="399"/>
      <c r="H564" s="399"/>
      <c r="I564" s="400"/>
      <c r="J564"/>
    </row>
    <row r="565" spans="1:10" s="7" customFormat="1">
      <c r="A565"/>
      <c r="D565" s="400"/>
      <c r="E565" s="400"/>
      <c r="F565" s="400"/>
      <c r="G565" s="399"/>
      <c r="H565" s="399"/>
      <c r="I565" s="400"/>
      <c r="J565"/>
    </row>
    <row r="566" spans="1:10" s="7" customFormat="1">
      <c r="A566"/>
      <c r="D566" s="400"/>
      <c r="E566" s="400"/>
      <c r="F566" s="400"/>
      <c r="G566" s="399"/>
      <c r="H566" s="399"/>
      <c r="I566" s="400"/>
      <c r="J566"/>
    </row>
    <row r="567" spans="1:10" s="7" customFormat="1">
      <c r="A567"/>
      <c r="D567" s="400"/>
      <c r="E567" s="400"/>
      <c r="F567" s="400"/>
      <c r="G567" s="399"/>
      <c r="H567" s="399"/>
      <c r="I567" s="400"/>
      <c r="J567"/>
    </row>
  </sheetData>
  <phoneticPr fontId="136" type="noConversion"/>
  <pageMargins left="0.25" right="0.25" top="0.75" bottom="0.75" header="0.3" footer="0.3"/>
  <pageSetup paperSize="8" scale="60" fitToHeight="0" orientation="landscape" r:id="rId1"/>
  <headerFooter>
    <oddFooter>&amp;L&amp;1#&amp;"Arial"&amp;11&amp;K000000SW Internal Commercial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D8EA3-0B2B-43BC-A385-3D3E598AEFC8}">
  <dimension ref="A1:BA133"/>
  <sheetViews>
    <sheetView zoomScaleNormal="100" workbookViewId="0">
      <selection sqref="A1:XFD1048576"/>
    </sheetView>
  </sheetViews>
  <sheetFormatPr defaultColWidth="8.7265625" defaultRowHeight="14"/>
  <cols>
    <col min="1" max="1" width="10.54296875" style="25" customWidth="1"/>
    <col min="2" max="2" width="18.81640625" style="25" customWidth="1"/>
    <col min="3" max="3" width="75" style="25" customWidth="1"/>
    <col min="4" max="4" width="8.7265625" style="265"/>
    <col min="5" max="5" width="11.81640625" style="265" bestFit="1" customWidth="1"/>
    <col min="6" max="6" width="8.7265625" style="25"/>
    <col min="7" max="7" width="13.1796875" style="25" bestFit="1" customWidth="1"/>
    <col min="8" max="14" width="14.26953125" style="25" bestFit="1" customWidth="1"/>
    <col min="15" max="15" width="12.81640625" style="25" bestFit="1" customWidth="1"/>
    <col min="16" max="16" width="15.54296875" style="25" bestFit="1" customWidth="1"/>
    <col min="17" max="17" width="9.453125" style="25" bestFit="1" customWidth="1"/>
    <col min="18" max="18" width="2.54296875" style="25" customWidth="1"/>
    <col min="19" max="19" width="12.1796875" style="25" bestFit="1" customWidth="1"/>
    <col min="20" max="23" width="11" style="25" bestFit="1" customWidth="1"/>
    <col min="24" max="25" width="10.81640625" style="25" bestFit="1" customWidth="1"/>
    <col min="26" max="26" width="11.26953125" style="25" bestFit="1" customWidth="1"/>
    <col min="27" max="27" width="11" style="25" bestFit="1" customWidth="1"/>
    <col min="28" max="28" width="9" style="25" bestFit="1" customWidth="1"/>
    <col min="29" max="29" width="8.7265625" style="25" customWidth="1"/>
    <col min="30" max="30" width="13.1796875" style="25" bestFit="1" customWidth="1"/>
    <col min="31" max="37" width="14.26953125" style="25" bestFit="1" customWidth="1"/>
    <col min="38" max="38" width="12.81640625" style="25" bestFit="1" customWidth="1"/>
    <col min="39" max="39" width="15.54296875" style="25" bestFit="1" customWidth="1"/>
    <col min="40" max="40" width="9.453125" style="25" bestFit="1" customWidth="1"/>
    <col min="41" max="41" width="2.54296875" style="25" customWidth="1"/>
    <col min="42" max="42" width="12.1796875" style="25" bestFit="1" customWidth="1"/>
    <col min="43" max="46" width="11" style="25" bestFit="1" customWidth="1"/>
    <col min="47" max="48" width="10.81640625" style="25" bestFit="1" customWidth="1"/>
    <col min="49" max="49" width="11.26953125" style="25" bestFit="1" customWidth="1"/>
    <col min="50" max="50" width="11" style="25" bestFit="1" customWidth="1"/>
    <col min="51" max="51" width="9" style="25" bestFit="1" customWidth="1"/>
    <col min="52" max="52" width="10.81640625" style="25" bestFit="1" customWidth="1"/>
    <col min="53" max="53" width="22.453125" style="25" customWidth="1"/>
    <col min="54" max="16384" width="8.7265625" style="25"/>
  </cols>
  <sheetData>
    <row r="1" spans="1:53" s="50" customFormat="1" ht="20">
      <c r="A1" s="56" t="s">
        <v>0</v>
      </c>
      <c r="B1" s="56"/>
      <c r="C1" s="56"/>
      <c r="D1" s="226"/>
      <c r="E1" s="65"/>
      <c r="F1" s="57"/>
      <c r="G1" s="25"/>
      <c r="H1" s="25"/>
      <c r="I1" s="25"/>
      <c r="J1" s="25"/>
      <c r="K1" s="25"/>
      <c r="L1" s="25"/>
      <c r="M1" s="25"/>
      <c r="N1" s="25"/>
      <c r="Y1" s="51"/>
      <c r="AD1" s="25"/>
      <c r="AE1" s="25"/>
      <c r="AF1" s="25"/>
      <c r="AG1" s="25"/>
      <c r="AH1" s="25"/>
      <c r="AI1" s="25"/>
      <c r="AJ1" s="25"/>
      <c r="AK1" s="25"/>
      <c r="AV1" s="51"/>
    </row>
    <row r="2" spans="1:53" s="50" customFormat="1" ht="20">
      <c r="A2" s="57"/>
      <c r="B2" s="57"/>
      <c r="C2" s="57"/>
      <c r="D2" s="65"/>
      <c r="E2" s="65"/>
      <c r="F2" s="57"/>
      <c r="G2" s="25"/>
      <c r="H2" s="25"/>
      <c r="I2" s="25"/>
      <c r="J2" s="25"/>
      <c r="K2" s="25"/>
      <c r="L2" s="25"/>
      <c r="M2" s="25"/>
      <c r="N2" s="25"/>
      <c r="Y2" s="51"/>
      <c r="AD2" s="25"/>
      <c r="AE2" s="25"/>
      <c r="AF2" s="25"/>
      <c r="AG2" s="25"/>
      <c r="AH2" s="25"/>
      <c r="AI2" s="25"/>
      <c r="AJ2" s="25"/>
      <c r="AK2" s="25"/>
      <c r="AV2" s="51"/>
    </row>
    <row r="3" spans="1:53" s="50" customFormat="1" ht="20">
      <c r="A3" s="58" t="s">
        <v>1</v>
      </c>
      <c r="B3" s="58"/>
      <c r="C3" s="58"/>
      <c r="D3" s="227"/>
      <c r="E3" s="66"/>
      <c r="F3" s="306"/>
      <c r="G3" s="307"/>
      <c r="H3" s="307"/>
      <c r="I3" s="307"/>
      <c r="J3" s="307"/>
      <c r="K3" s="307"/>
      <c r="L3" s="307"/>
      <c r="M3" s="307"/>
      <c r="N3" s="307"/>
      <c r="O3" s="308"/>
      <c r="P3" s="308"/>
      <c r="Q3" s="308"/>
      <c r="R3" s="308"/>
      <c r="S3" s="308"/>
      <c r="T3" s="308"/>
      <c r="U3" s="308"/>
      <c r="V3" s="308"/>
      <c r="W3" s="308"/>
      <c r="X3" s="308"/>
      <c r="Y3" s="309"/>
      <c r="Z3" s="308"/>
      <c r="AA3" s="308"/>
      <c r="AB3" s="308"/>
      <c r="AC3" s="308"/>
      <c r="AD3" s="307"/>
      <c r="AE3" s="307"/>
      <c r="AF3" s="307"/>
      <c r="AG3" s="307"/>
      <c r="AH3" s="307"/>
      <c r="AI3" s="307"/>
      <c r="AJ3" s="307"/>
      <c r="AK3" s="307"/>
      <c r="AL3" s="308"/>
      <c r="AM3" s="308"/>
      <c r="AN3" s="308"/>
      <c r="AO3" s="308"/>
      <c r="AP3" s="308"/>
      <c r="AQ3" s="308"/>
      <c r="AR3" s="308"/>
      <c r="AS3" s="308"/>
      <c r="AT3" s="308"/>
      <c r="AU3" s="308"/>
      <c r="AV3" s="309"/>
      <c r="AW3" s="308"/>
      <c r="AX3" s="308"/>
      <c r="AY3" s="308"/>
    </row>
    <row r="4" spans="1:53" s="50" customFormat="1" ht="15.65" customHeight="1">
      <c r="A4" s="56"/>
      <c r="B4" s="56"/>
      <c r="C4" s="56"/>
      <c r="D4" s="226"/>
      <c r="E4" s="65"/>
      <c r="F4" s="57"/>
      <c r="G4" s="25"/>
      <c r="H4" s="25"/>
      <c r="I4" s="25"/>
      <c r="J4" s="25"/>
      <c r="K4" s="25"/>
      <c r="L4" s="25"/>
      <c r="M4" s="25"/>
      <c r="N4" s="25"/>
      <c r="Y4" s="52"/>
      <c r="AD4" s="25"/>
      <c r="AE4" s="25"/>
      <c r="AF4" s="25"/>
      <c r="AG4" s="25"/>
      <c r="AH4" s="25"/>
      <c r="AI4" s="25"/>
      <c r="AJ4" s="25"/>
      <c r="AK4" s="25"/>
      <c r="AV4" s="52"/>
    </row>
    <row r="5" spans="1:53" s="50" customFormat="1" ht="15.65" customHeight="1" thickBot="1">
      <c r="A5" s="56"/>
      <c r="B5" s="56"/>
      <c r="C5" s="56"/>
      <c r="D5" s="226"/>
      <c r="E5" s="65"/>
      <c r="F5" s="57"/>
      <c r="G5" s="25"/>
      <c r="H5" s="25"/>
      <c r="I5" s="25"/>
      <c r="J5" s="25"/>
      <c r="K5" s="25"/>
      <c r="L5" s="25"/>
      <c r="M5" s="25"/>
      <c r="N5" s="25"/>
      <c r="AC5" s="52"/>
      <c r="AD5" s="52"/>
      <c r="AE5" s="52"/>
      <c r="AF5" s="52"/>
      <c r="AG5" s="25"/>
      <c r="AH5" s="25"/>
      <c r="AI5" s="25"/>
      <c r="AJ5" s="25"/>
      <c r="AK5" s="25"/>
    </row>
    <row r="6" spans="1:53" s="50" customFormat="1" ht="20">
      <c r="A6" s="59" t="s">
        <v>2</v>
      </c>
      <c r="B6" s="60"/>
      <c r="C6" s="228"/>
      <c r="D6" s="229"/>
      <c r="E6" s="230"/>
      <c r="F6" s="57"/>
      <c r="G6" s="171"/>
      <c r="H6" s="25"/>
      <c r="I6" s="25"/>
      <c r="J6" s="25"/>
      <c r="K6" s="25"/>
      <c r="L6" s="25"/>
      <c r="M6" s="25"/>
      <c r="N6" s="25"/>
      <c r="AC6" s="52"/>
      <c r="AD6" s="52"/>
      <c r="AE6" s="52"/>
      <c r="AF6" s="52"/>
      <c r="AG6" s="25"/>
      <c r="AH6" s="25"/>
      <c r="AI6" s="25"/>
      <c r="AJ6" s="25"/>
      <c r="AK6" s="25"/>
    </row>
    <row r="7" spans="1:53" s="50" customFormat="1" ht="20.5" thickBot="1">
      <c r="A7" s="61" t="s">
        <v>1203</v>
      </c>
      <c r="B7" s="62"/>
      <c r="C7" s="231"/>
      <c r="D7" s="232"/>
      <c r="E7" s="233"/>
      <c r="F7" s="57"/>
      <c r="G7" s="25"/>
      <c r="H7" s="25"/>
      <c r="I7" s="25"/>
      <c r="J7" s="25"/>
      <c r="K7" s="25"/>
      <c r="L7" s="25"/>
      <c r="M7" s="25"/>
      <c r="N7" s="25"/>
      <c r="AC7" s="52"/>
      <c r="AD7" s="25"/>
      <c r="AE7" s="25"/>
      <c r="AF7" s="25"/>
      <c r="AG7" s="25"/>
      <c r="AH7" s="25"/>
      <c r="AI7" s="25"/>
      <c r="AJ7" s="25"/>
      <c r="AK7" s="25"/>
    </row>
    <row r="8" spans="1:53" s="50" customFormat="1" ht="16" thickBot="1">
      <c r="A8" s="52"/>
      <c r="B8" s="52"/>
      <c r="D8" s="53"/>
      <c r="E8" s="53"/>
      <c r="G8" s="25"/>
      <c r="H8" s="25"/>
      <c r="I8" s="25"/>
      <c r="J8" s="25"/>
      <c r="K8" s="25"/>
      <c r="L8" s="25"/>
      <c r="M8" s="25"/>
      <c r="N8" s="25"/>
      <c r="O8" s="54"/>
      <c r="P8" s="54"/>
      <c r="Q8" s="54"/>
      <c r="R8" s="54"/>
      <c r="S8" s="54"/>
      <c r="T8" s="54"/>
      <c r="U8" s="54"/>
      <c r="V8" s="54"/>
      <c r="W8" s="54"/>
      <c r="X8" s="54"/>
      <c r="Y8" s="54"/>
      <c r="Z8" s="54"/>
      <c r="AC8" s="52"/>
      <c r="AD8" s="25"/>
      <c r="AE8" s="25"/>
      <c r="AF8" s="25"/>
      <c r="AG8" s="25"/>
      <c r="AH8" s="25"/>
      <c r="AI8" s="25"/>
      <c r="AJ8" s="25"/>
      <c r="AK8" s="25"/>
      <c r="AL8" s="54"/>
      <c r="AM8" s="54"/>
      <c r="AN8" s="54"/>
      <c r="AO8" s="54"/>
      <c r="AP8" s="54"/>
      <c r="AQ8" s="54"/>
      <c r="AR8" s="54"/>
      <c r="AS8" s="54"/>
      <c r="AT8" s="54"/>
      <c r="AU8" s="54"/>
      <c r="AV8" s="54"/>
      <c r="AW8" s="54"/>
    </row>
    <row r="9" spans="1:53" s="50" customFormat="1" ht="16" thickBot="1">
      <c r="A9" s="500" t="s">
        <v>4</v>
      </c>
      <c r="B9" s="497" t="s">
        <v>1204</v>
      </c>
      <c r="C9" s="506" t="s">
        <v>1205</v>
      </c>
      <c r="D9" s="497" t="s">
        <v>1206</v>
      </c>
      <c r="E9" s="503" t="s">
        <v>152</v>
      </c>
      <c r="F9" s="234"/>
      <c r="G9" s="494" t="s">
        <v>1207</v>
      </c>
      <c r="H9" s="495"/>
      <c r="I9" s="495"/>
      <c r="J9" s="495"/>
      <c r="K9" s="495"/>
      <c r="L9" s="495"/>
      <c r="M9" s="495"/>
      <c r="N9" s="495"/>
      <c r="O9" s="495"/>
      <c r="P9" s="495"/>
      <c r="Q9" s="495"/>
      <c r="R9" s="495"/>
      <c r="S9" s="495"/>
      <c r="T9" s="495"/>
      <c r="U9" s="495"/>
      <c r="V9" s="495"/>
      <c r="W9" s="495"/>
      <c r="X9" s="495"/>
      <c r="Y9" s="495"/>
      <c r="Z9" s="495"/>
      <c r="AA9" s="495"/>
      <c r="AB9" s="496"/>
      <c r="AD9" s="494" t="s">
        <v>1208</v>
      </c>
      <c r="AE9" s="495"/>
      <c r="AF9" s="495"/>
      <c r="AG9" s="495"/>
      <c r="AH9" s="495"/>
      <c r="AI9" s="495"/>
      <c r="AJ9" s="495"/>
      <c r="AK9" s="495"/>
      <c r="AL9" s="495"/>
      <c r="AM9" s="495"/>
      <c r="AN9" s="495"/>
      <c r="AO9" s="495"/>
      <c r="AP9" s="495"/>
      <c r="AQ9" s="495"/>
      <c r="AR9" s="495"/>
      <c r="AS9" s="495"/>
      <c r="AT9" s="495"/>
      <c r="AU9" s="495"/>
      <c r="AV9" s="495"/>
      <c r="AW9" s="495"/>
      <c r="AX9" s="495"/>
      <c r="AY9" s="496"/>
      <c r="AZ9" s="171"/>
      <c r="BA9" s="314" t="s">
        <v>157</v>
      </c>
    </row>
    <row r="10" spans="1:53" s="50" customFormat="1" ht="16" thickBot="1">
      <c r="A10" s="501"/>
      <c r="B10" s="498"/>
      <c r="C10" s="507"/>
      <c r="D10" s="498"/>
      <c r="E10" s="504"/>
      <c r="F10" s="234"/>
      <c r="G10" s="494" t="s">
        <v>1209</v>
      </c>
      <c r="H10" s="495"/>
      <c r="I10" s="495"/>
      <c r="J10" s="495"/>
      <c r="K10" s="495"/>
      <c r="L10" s="495"/>
      <c r="M10" s="495"/>
      <c r="N10" s="495"/>
      <c r="O10" s="495"/>
      <c r="P10" s="495"/>
      <c r="Q10" s="496"/>
      <c r="S10" s="491" t="s">
        <v>1210</v>
      </c>
      <c r="T10" s="492"/>
      <c r="U10" s="492"/>
      <c r="V10" s="492"/>
      <c r="W10" s="492"/>
      <c r="X10" s="492"/>
      <c r="Y10" s="492"/>
      <c r="Z10" s="492"/>
      <c r="AA10" s="492"/>
      <c r="AB10" s="493"/>
      <c r="AD10" s="494" t="s">
        <v>1209</v>
      </c>
      <c r="AE10" s="495"/>
      <c r="AF10" s="495"/>
      <c r="AG10" s="495"/>
      <c r="AH10" s="495"/>
      <c r="AI10" s="495"/>
      <c r="AJ10" s="495"/>
      <c r="AK10" s="495"/>
      <c r="AL10" s="495"/>
      <c r="AM10" s="495"/>
      <c r="AN10" s="496"/>
      <c r="AP10" s="491" t="s">
        <v>1210</v>
      </c>
      <c r="AQ10" s="492"/>
      <c r="AR10" s="492"/>
      <c r="AS10" s="492"/>
      <c r="AT10" s="492"/>
      <c r="AU10" s="492"/>
      <c r="AV10" s="492"/>
      <c r="AW10" s="492"/>
      <c r="AX10" s="492"/>
      <c r="AY10" s="493"/>
      <c r="AZ10" s="171"/>
    </row>
    <row r="11" spans="1:53" s="52" customFormat="1" ht="16" thickBot="1">
      <c r="A11" s="502"/>
      <c r="B11" s="499"/>
      <c r="C11" s="508"/>
      <c r="D11" s="499"/>
      <c r="E11" s="505"/>
      <c r="F11" s="235"/>
      <c r="G11" s="236" t="s">
        <v>1211</v>
      </c>
      <c r="H11" s="237" t="s">
        <v>1212</v>
      </c>
      <c r="I11" s="237" t="s">
        <v>1213</v>
      </c>
      <c r="J11" s="237" t="s">
        <v>1214</v>
      </c>
      <c r="K11" s="237" t="s">
        <v>1215</v>
      </c>
      <c r="L11" s="237" t="s">
        <v>1216</v>
      </c>
      <c r="M11" s="237" t="s">
        <v>1217</v>
      </c>
      <c r="N11" s="237" t="s">
        <v>1218</v>
      </c>
      <c r="O11" s="63" t="s">
        <v>1219</v>
      </c>
      <c r="P11" s="63" t="s">
        <v>1220</v>
      </c>
      <c r="Q11" s="64" t="s">
        <v>1221</v>
      </c>
      <c r="S11" s="236" t="s">
        <v>1211</v>
      </c>
      <c r="T11" s="237" t="s">
        <v>1212</v>
      </c>
      <c r="U11" s="237" t="s">
        <v>1213</v>
      </c>
      <c r="V11" s="237" t="s">
        <v>1214</v>
      </c>
      <c r="W11" s="237" t="s">
        <v>1215</v>
      </c>
      <c r="X11" s="237" t="s">
        <v>1216</v>
      </c>
      <c r="Y11" s="237" t="s">
        <v>1217</v>
      </c>
      <c r="Z11" s="237" t="s">
        <v>1218</v>
      </c>
      <c r="AA11" s="63" t="s">
        <v>1219</v>
      </c>
      <c r="AB11" s="64" t="s">
        <v>1220</v>
      </c>
      <c r="AD11" s="236" t="s">
        <v>1211</v>
      </c>
      <c r="AE11" s="237" t="s">
        <v>1212</v>
      </c>
      <c r="AF11" s="237" t="s">
        <v>1213</v>
      </c>
      <c r="AG11" s="237" t="s">
        <v>1214</v>
      </c>
      <c r="AH11" s="237" t="s">
        <v>1215</v>
      </c>
      <c r="AI11" s="237" t="s">
        <v>1216</v>
      </c>
      <c r="AJ11" s="237" t="s">
        <v>1217</v>
      </c>
      <c r="AK11" s="237" t="s">
        <v>1218</v>
      </c>
      <c r="AL11" s="63" t="s">
        <v>1219</v>
      </c>
      <c r="AM11" s="63" t="s">
        <v>1220</v>
      </c>
      <c r="AN11" s="64" t="s">
        <v>1221</v>
      </c>
      <c r="AP11" s="236" t="s">
        <v>1211</v>
      </c>
      <c r="AQ11" s="237" t="s">
        <v>1212</v>
      </c>
      <c r="AR11" s="237" t="s">
        <v>1213</v>
      </c>
      <c r="AS11" s="237" t="s">
        <v>1214</v>
      </c>
      <c r="AT11" s="237" t="s">
        <v>1215</v>
      </c>
      <c r="AU11" s="237" t="s">
        <v>1216</v>
      </c>
      <c r="AV11" s="237" t="s">
        <v>1217</v>
      </c>
      <c r="AW11" s="237" t="s">
        <v>1218</v>
      </c>
      <c r="AX11" s="63" t="s">
        <v>1219</v>
      </c>
      <c r="AY11" s="64" t="s">
        <v>1220</v>
      </c>
      <c r="AZ11" s="171"/>
    </row>
    <row r="12" spans="1:53" s="171" customFormat="1" ht="16" thickBot="1">
      <c r="D12" s="238"/>
      <c r="E12" s="238"/>
      <c r="G12" s="239">
        <v>1</v>
      </c>
      <c r="H12" s="239">
        <v>2</v>
      </c>
      <c r="I12" s="239">
        <v>3</v>
      </c>
      <c r="J12" s="239">
        <v>4</v>
      </c>
      <c r="K12" s="239">
        <v>5</v>
      </c>
      <c r="L12" s="239">
        <v>6</v>
      </c>
      <c r="M12" s="239">
        <v>7</v>
      </c>
      <c r="N12" s="239">
        <v>8</v>
      </c>
      <c r="O12" s="239">
        <v>9</v>
      </c>
      <c r="P12" s="239">
        <v>10</v>
      </c>
      <c r="Q12" s="239">
        <v>11</v>
      </c>
      <c r="S12" s="239">
        <v>12</v>
      </c>
      <c r="T12" s="239">
        <v>13</v>
      </c>
      <c r="U12" s="239">
        <v>14</v>
      </c>
      <c r="V12" s="239">
        <v>15</v>
      </c>
      <c r="W12" s="239">
        <v>16</v>
      </c>
      <c r="X12" s="239">
        <v>17</v>
      </c>
      <c r="Y12" s="239">
        <v>18</v>
      </c>
      <c r="Z12" s="239">
        <v>19</v>
      </c>
      <c r="AA12" s="239">
        <v>20</v>
      </c>
      <c r="AB12" s="239">
        <v>21</v>
      </c>
      <c r="AD12" s="239">
        <v>22</v>
      </c>
      <c r="AE12" s="239">
        <v>23</v>
      </c>
      <c r="AF12" s="239">
        <v>24</v>
      </c>
      <c r="AG12" s="239">
        <v>25</v>
      </c>
      <c r="AH12" s="239">
        <v>26</v>
      </c>
      <c r="AI12" s="239">
        <v>27</v>
      </c>
      <c r="AJ12" s="239">
        <v>28</v>
      </c>
      <c r="AK12" s="239">
        <v>29</v>
      </c>
      <c r="AL12" s="239">
        <v>30</v>
      </c>
      <c r="AM12" s="239">
        <v>31</v>
      </c>
      <c r="AN12" s="239">
        <v>32</v>
      </c>
      <c r="AP12" s="239">
        <v>33</v>
      </c>
      <c r="AQ12" s="239">
        <v>34</v>
      </c>
      <c r="AR12" s="239">
        <v>35</v>
      </c>
      <c r="AS12" s="239">
        <v>36</v>
      </c>
      <c r="AT12" s="239">
        <v>37</v>
      </c>
      <c r="AU12" s="239">
        <v>38</v>
      </c>
      <c r="AV12" s="239">
        <v>39</v>
      </c>
      <c r="AW12" s="239">
        <v>40</v>
      </c>
      <c r="AX12" s="239">
        <v>41</v>
      </c>
      <c r="AY12" s="239">
        <v>42</v>
      </c>
    </row>
    <row r="13" spans="1:53" s="171" customFormat="1" ht="16" thickBot="1">
      <c r="A13" s="240"/>
      <c r="B13" s="241"/>
      <c r="C13" s="241" t="s">
        <v>1222</v>
      </c>
      <c r="D13" s="242"/>
      <c r="E13" s="243"/>
    </row>
    <row r="14" spans="1:53" s="171" customFormat="1" ht="15.5">
      <c r="A14" s="175" t="s">
        <v>1223</v>
      </c>
      <c r="B14" s="179" t="s">
        <v>1224</v>
      </c>
      <c r="C14" s="179" t="s">
        <v>1225</v>
      </c>
      <c r="D14" s="239" t="s">
        <v>1226</v>
      </c>
      <c r="E14" s="244" t="s">
        <v>1227</v>
      </c>
      <c r="G14" s="426">
        <v>256.15789473684208</v>
      </c>
      <c r="H14" s="426">
        <v>104568.02398448225</v>
      </c>
      <c r="I14" s="426">
        <v>210587.09465115727</v>
      </c>
      <c r="J14" s="426">
        <v>186835.19782722153</v>
      </c>
      <c r="K14" s="426">
        <v>198278.90796044431</v>
      </c>
      <c r="L14" s="426">
        <v>232785.23812266346</v>
      </c>
      <c r="M14" s="426">
        <v>155858.8662697807</v>
      </c>
      <c r="N14" s="426">
        <v>103862.78575768572</v>
      </c>
      <c r="O14" s="427">
        <v>10288.717495155543</v>
      </c>
      <c r="P14" s="247">
        <f>SUM(G14:O14)</f>
        <v>1203320.9899633278</v>
      </c>
      <c r="Q14" s="248">
        <f>IFERROR(P14/$P$30, "")</f>
        <v>0.4581667822743713</v>
      </c>
      <c r="S14" s="245" t="s">
        <v>1228</v>
      </c>
      <c r="T14" s="245" t="s">
        <v>1228</v>
      </c>
      <c r="U14" s="245" t="s">
        <v>1228</v>
      </c>
      <c r="V14" s="245" t="s">
        <v>1228</v>
      </c>
      <c r="W14" s="245" t="s">
        <v>1228</v>
      </c>
      <c r="X14" s="245" t="s">
        <v>1228</v>
      </c>
      <c r="Y14" s="245" t="s">
        <v>1228</v>
      </c>
      <c r="Z14" s="245" t="s">
        <v>1228</v>
      </c>
      <c r="AA14" s="245" t="s">
        <v>1228</v>
      </c>
      <c r="AB14" s="245" t="s">
        <v>1228</v>
      </c>
      <c r="AD14" s="245">
        <v>258.46331578947365</v>
      </c>
      <c r="AE14" s="245">
        <v>105509.13620034257</v>
      </c>
      <c r="AF14" s="245">
        <v>212482.37850301765</v>
      </c>
      <c r="AG14" s="245">
        <v>188516.71460766651</v>
      </c>
      <c r="AH14" s="245">
        <v>200063.41813208829</v>
      </c>
      <c r="AI14" s="245">
        <v>234880.30526576741</v>
      </c>
      <c r="AJ14" s="245">
        <v>157261.5960662087</v>
      </c>
      <c r="AK14" s="245">
        <v>104797.55082950488</v>
      </c>
      <c r="AL14" s="245">
        <v>10381.315952611942</v>
      </c>
      <c r="AM14" s="247">
        <f>SUM(AD14:AL14)</f>
        <v>1214150.8788729974</v>
      </c>
      <c r="AN14" s="248">
        <f t="shared" ref="AN14:AN20" si="0">IFERROR(AM14/$AM$30, "")</f>
        <v>0.45816678227437113</v>
      </c>
      <c r="AP14" s="458" t="s">
        <v>1229</v>
      </c>
      <c r="AQ14" s="458" t="s">
        <v>1229</v>
      </c>
      <c r="AR14" s="458" t="s">
        <v>1229</v>
      </c>
      <c r="AS14" s="458" t="s">
        <v>1229</v>
      </c>
      <c r="AT14" s="458" t="s">
        <v>1229</v>
      </c>
      <c r="AU14" s="458" t="s">
        <v>1229</v>
      </c>
      <c r="AV14" s="458" t="s">
        <v>1229</v>
      </c>
      <c r="AW14" s="458" t="s">
        <v>1229</v>
      </c>
      <c r="AX14" s="458" t="s">
        <v>1229</v>
      </c>
      <c r="AY14" s="458" t="s">
        <v>1229</v>
      </c>
      <c r="AZ14" s="407"/>
      <c r="BA14" s="171" t="s">
        <v>1230</v>
      </c>
    </row>
    <row r="15" spans="1:53" s="171" customFormat="1" ht="15.5">
      <c r="A15" s="175" t="s">
        <v>1231</v>
      </c>
      <c r="B15" s="179" t="s">
        <v>1224</v>
      </c>
      <c r="C15" s="179" t="s">
        <v>1232</v>
      </c>
      <c r="D15" s="239"/>
      <c r="E15" s="244"/>
      <c r="G15" s="426">
        <v>0</v>
      </c>
      <c r="H15" s="426">
        <v>2614.1873884622255</v>
      </c>
      <c r="I15" s="426">
        <v>3076.580437057637</v>
      </c>
      <c r="J15" s="426">
        <v>3436.7577487522949</v>
      </c>
      <c r="K15" s="426">
        <v>3276.4047288028505</v>
      </c>
      <c r="L15" s="426">
        <v>3484.3066405133504</v>
      </c>
      <c r="M15" s="426">
        <v>1953.932928405977</v>
      </c>
      <c r="N15" s="426">
        <v>1355.5237299048852</v>
      </c>
      <c r="O15" s="427">
        <v>291.85702354135077</v>
      </c>
      <c r="P15" s="247">
        <f t="shared" ref="P15:P16" si="1">SUM(G15:O15)</f>
        <v>19489.55062544057</v>
      </c>
      <c r="Q15" s="248">
        <f t="shared" ref="Q15:Q16" si="2">IFERROR(P15/$P$30, "")</f>
        <v>7.4206839010625908E-3</v>
      </c>
      <c r="S15" s="245" t="s">
        <v>1228</v>
      </c>
      <c r="T15" s="245" t="s">
        <v>1228</v>
      </c>
      <c r="U15" s="245" t="s">
        <v>1228</v>
      </c>
      <c r="V15" s="245" t="s">
        <v>1228</v>
      </c>
      <c r="W15" s="245" t="s">
        <v>1228</v>
      </c>
      <c r="X15" s="245" t="s">
        <v>1228</v>
      </c>
      <c r="Y15" s="245" t="s">
        <v>1228</v>
      </c>
      <c r="Z15" s="245" t="s">
        <v>1228</v>
      </c>
      <c r="AA15" s="245" t="s">
        <v>1228</v>
      </c>
      <c r="AB15" s="245" t="s">
        <v>1228</v>
      </c>
      <c r="AD15" s="245">
        <v>0</v>
      </c>
      <c r="AE15" s="245">
        <v>2637.7150749583852</v>
      </c>
      <c r="AF15" s="245">
        <v>3104.2696609911554</v>
      </c>
      <c r="AG15" s="245">
        <v>3467.6885684910653</v>
      </c>
      <c r="AH15" s="245">
        <v>3305.8923713620757</v>
      </c>
      <c r="AI15" s="245">
        <v>3515.6654002779701</v>
      </c>
      <c r="AJ15" s="245">
        <v>1971.5183247616305</v>
      </c>
      <c r="AK15" s="245">
        <v>1367.723443474029</v>
      </c>
      <c r="AL15" s="245">
        <v>294.4837367532229</v>
      </c>
      <c r="AM15" s="247">
        <f t="shared" ref="AM15:AM16" si="3">SUM(AD15:AL15)</f>
        <v>19664.956581069535</v>
      </c>
      <c r="AN15" s="248">
        <f t="shared" si="0"/>
        <v>7.4206839010625908E-3</v>
      </c>
      <c r="AP15" s="458" t="s">
        <v>1229</v>
      </c>
      <c r="AQ15" s="458" t="s">
        <v>1229</v>
      </c>
      <c r="AR15" s="458" t="s">
        <v>1229</v>
      </c>
      <c r="AS15" s="458" t="s">
        <v>1229</v>
      </c>
      <c r="AT15" s="458" t="s">
        <v>1229</v>
      </c>
      <c r="AU15" s="458" t="s">
        <v>1229</v>
      </c>
      <c r="AV15" s="458" t="s">
        <v>1229</v>
      </c>
      <c r="AW15" s="458" t="s">
        <v>1229</v>
      </c>
      <c r="AX15" s="458" t="s">
        <v>1229</v>
      </c>
      <c r="AY15" s="458" t="s">
        <v>1229</v>
      </c>
      <c r="BA15" s="171" t="s">
        <v>1233</v>
      </c>
    </row>
    <row r="16" spans="1:53" s="171" customFormat="1" ht="15.5">
      <c r="A16" s="175" t="s">
        <v>1234</v>
      </c>
      <c r="B16" s="179" t="s">
        <v>1224</v>
      </c>
      <c r="C16" s="179" t="s">
        <v>1235</v>
      </c>
      <c r="D16" s="239"/>
      <c r="E16" s="244"/>
      <c r="G16" s="426">
        <v>0.84210526315789469</v>
      </c>
      <c r="H16" s="426">
        <v>9130.192763359657</v>
      </c>
      <c r="I16" s="426">
        <v>8212.8784686588151</v>
      </c>
      <c r="J16" s="426">
        <v>5627.5290055239475</v>
      </c>
      <c r="K16" s="426">
        <v>4283.163164519221</v>
      </c>
      <c r="L16" s="426">
        <v>3396.5786936133154</v>
      </c>
      <c r="M16" s="426">
        <v>1590.0306660666654</v>
      </c>
      <c r="N16" s="426">
        <v>947.69051240937586</v>
      </c>
      <c r="O16" s="427">
        <v>208.42548130310655</v>
      </c>
      <c r="P16" s="247">
        <f t="shared" si="1"/>
        <v>33397.330860717258</v>
      </c>
      <c r="Q16" s="248">
        <f t="shared" si="2"/>
        <v>1.2716097986019269E-2</v>
      </c>
      <c r="S16" s="245" t="s">
        <v>1228</v>
      </c>
      <c r="T16" s="245" t="s">
        <v>1228</v>
      </c>
      <c r="U16" s="245" t="s">
        <v>1228</v>
      </c>
      <c r="V16" s="245" t="s">
        <v>1228</v>
      </c>
      <c r="W16" s="245" t="s">
        <v>1228</v>
      </c>
      <c r="X16" s="245" t="s">
        <v>1228</v>
      </c>
      <c r="Y16" s="245" t="s">
        <v>1228</v>
      </c>
      <c r="Z16" s="245" t="s">
        <v>1228</v>
      </c>
      <c r="AA16" s="245" t="s">
        <v>1228</v>
      </c>
      <c r="AB16" s="245" t="s">
        <v>1228</v>
      </c>
      <c r="AD16" s="245">
        <v>0.84968421052631571</v>
      </c>
      <c r="AE16" s="245">
        <v>9212.3644982298938</v>
      </c>
      <c r="AF16" s="245">
        <v>8286.7943748767429</v>
      </c>
      <c r="AG16" s="245">
        <v>5678.1767665736625</v>
      </c>
      <c r="AH16" s="245">
        <v>4321.7116329998935</v>
      </c>
      <c r="AI16" s="245">
        <v>3427.1479018558348</v>
      </c>
      <c r="AJ16" s="245">
        <v>1604.3409420612652</v>
      </c>
      <c r="AK16" s="245">
        <v>956.21972702106018</v>
      </c>
      <c r="AL16" s="245">
        <v>210.30131063483449</v>
      </c>
      <c r="AM16" s="247">
        <f t="shared" si="3"/>
        <v>33697.906838463721</v>
      </c>
      <c r="AN16" s="248">
        <f t="shared" si="0"/>
        <v>1.2716097986019271E-2</v>
      </c>
      <c r="AP16" s="458" t="s">
        <v>1229</v>
      </c>
      <c r="AQ16" s="458" t="s">
        <v>1229</v>
      </c>
      <c r="AR16" s="458" t="s">
        <v>1229</v>
      </c>
      <c r="AS16" s="458" t="s">
        <v>1229</v>
      </c>
      <c r="AT16" s="458" t="s">
        <v>1229</v>
      </c>
      <c r="AU16" s="458" t="s">
        <v>1229</v>
      </c>
      <c r="AV16" s="458" t="s">
        <v>1229</v>
      </c>
      <c r="AW16" s="458" t="s">
        <v>1229</v>
      </c>
      <c r="AX16" s="458" t="s">
        <v>1229</v>
      </c>
      <c r="AY16" s="458" t="s">
        <v>1229</v>
      </c>
      <c r="BA16" s="171" t="s">
        <v>1236</v>
      </c>
    </row>
    <row r="17" spans="1:53" s="171" customFormat="1" ht="15.5">
      <c r="A17" s="175" t="s">
        <v>1237</v>
      </c>
      <c r="B17" s="179" t="s">
        <v>1224</v>
      </c>
      <c r="C17" s="175" t="s">
        <v>1238</v>
      </c>
      <c r="D17" s="239" t="s">
        <v>1226</v>
      </c>
      <c r="E17" s="250" t="s">
        <v>1227</v>
      </c>
      <c r="G17" s="426">
        <v>42.607843137254903</v>
      </c>
      <c r="H17" s="426">
        <v>32564.413976168376</v>
      </c>
      <c r="I17" s="426">
        <v>28987.029843306649</v>
      </c>
      <c r="J17" s="426">
        <v>15292.029027269493</v>
      </c>
      <c r="K17" s="426">
        <v>8072.1407157865142</v>
      </c>
      <c r="L17" s="426">
        <v>5669.2525328760548</v>
      </c>
      <c r="M17" s="426">
        <v>2158.4804695522666</v>
      </c>
      <c r="N17" s="426">
        <v>823.8804741401317</v>
      </c>
      <c r="O17" s="427">
        <v>33.5</v>
      </c>
      <c r="P17" s="247">
        <f t="shared" ref="P17:P19" si="4">SUM(G17:O17)</f>
        <v>93643.334882236741</v>
      </c>
      <c r="Q17" s="248">
        <f>IFERROR(P17/$P$30, "")</f>
        <v>3.5654879938347407E-2</v>
      </c>
      <c r="S17" s="245" t="s">
        <v>1229</v>
      </c>
      <c r="T17" s="245" t="s">
        <v>1229</v>
      </c>
      <c r="U17" s="245" t="s">
        <v>1229</v>
      </c>
      <c r="V17" s="245" t="s">
        <v>1229</v>
      </c>
      <c r="W17" s="245" t="s">
        <v>1229</v>
      </c>
      <c r="X17" s="245" t="s">
        <v>1229</v>
      </c>
      <c r="Y17" s="245" t="s">
        <v>1229</v>
      </c>
      <c r="Z17" s="245" t="s">
        <v>1229</v>
      </c>
      <c r="AA17" s="245" t="s">
        <v>1229</v>
      </c>
      <c r="AB17" s="245" t="s">
        <v>1229</v>
      </c>
      <c r="AD17" s="245">
        <v>42.991313725490194</v>
      </c>
      <c r="AE17" s="245">
        <v>32857.493701953892</v>
      </c>
      <c r="AF17" s="245">
        <v>29247.913111896407</v>
      </c>
      <c r="AG17" s="245">
        <v>15429.657288514916</v>
      </c>
      <c r="AH17" s="245">
        <v>8144.7899822285917</v>
      </c>
      <c r="AI17" s="245">
        <v>5720.2758056719385</v>
      </c>
      <c r="AJ17" s="245">
        <v>2177.906793778237</v>
      </c>
      <c r="AK17" s="245">
        <v>831.29539840739278</v>
      </c>
      <c r="AL17" s="245">
        <v>33.801499999999997</v>
      </c>
      <c r="AM17" s="247">
        <f t="shared" ref="AM17:AM19" si="5">SUM(AD17:AL17)</f>
        <v>94486.124896176872</v>
      </c>
      <c r="AN17" s="248">
        <f t="shared" si="0"/>
        <v>3.5654879938347407E-2</v>
      </c>
      <c r="AP17" s="458" t="s">
        <v>1229</v>
      </c>
      <c r="AQ17" s="458" t="s">
        <v>1229</v>
      </c>
      <c r="AR17" s="458" t="s">
        <v>1229</v>
      </c>
      <c r="AS17" s="458" t="s">
        <v>1229</v>
      </c>
      <c r="AT17" s="458" t="s">
        <v>1229</v>
      </c>
      <c r="AU17" s="458" t="s">
        <v>1229</v>
      </c>
      <c r="AV17" s="458" t="s">
        <v>1229</v>
      </c>
      <c r="AW17" s="458" t="s">
        <v>1229</v>
      </c>
      <c r="AX17" s="458" t="s">
        <v>1229</v>
      </c>
      <c r="AY17" s="458" t="s">
        <v>1229</v>
      </c>
      <c r="BA17" s="171" t="s">
        <v>1239</v>
      </c>
    </row>
    <row r="18" spans="1:53" s="171" customFormat="1" ht="15.5">
      <c r="A18" s="175" t="s">
        <v>1240</v>
      </c>
      <c r="B18" s="179" t="s">
        <v>1224</v>
      </c>
      <c r="C18" s="175" t="s">
        <v>1241</v>
      </c>
      <c r="D18" s="239" t="s">
        <v>1226</v>
      </c>
      <c r="E18" s="250" t="s">
        <v>1227</v>
      </c>
      <c r="G18" s="426">
        <v>85.804455729455725</v>
      </c>
      <c r="H18" s="426">
        <v>44236.832349777214</v>
      </c>
      <c r="I18" s="426">
        <v>37540.399641329706</v>
      </c>
      <c r="J18" s="426">
        <v>20005.393042196712</v>
      </c>
      <c r="K18" s="426">
        <v>9158.3300431410298</v>
      </c>
      <c r="L18" s="426">
        <v>4030.7854041178371</v>
      </c>
      <c r="M18" s="426">
        <v>1294.3571631983045</v>
      </c>
      <c r="N18" s="426">
        <v>480.07869991254768</v>
      </c>
      <c r="O18" s="427">
        <v>29.888888888888889</v>
      </c>
      <c r="P18" s="247">
        <f t="shared" si="4"/>
        <v>116861.86968829168</v>
      </c>
      <c r="Q18" s="248">
        <f>IFERROR(P18/$P$30, "")</f>
        <v>4.449538174122869E-2</v>
      </c>
      <c r="S18" s="245" t="s">
        <v>1229</v>
      </c>
      <c r="T18" s="245" t="s">
        <v>1229</v>
      </c>
      <c r="U18" s="245" t="s">
        <v>1229</v>
      </c>
      <c r="V18" s="245" t="s">
        <v>1229</v>
      </c>
      <c r="W18" s="245" t="s">
        <v>1229</v>
      </c>
      <c r="X18" s="245" t="s">
        <v>1229</v>
      </c>
      <c r="Y18" s="245" t="s">
        <v>1229</v>
      </c>
      <c r="Z18" s="245" t="s">
        <v>1229</v>
      </c>
      <c r="AA18" s="245" t="s">
        <v>1229</v>
      </c>
      <c r="AB18" s="245" t="s">
        <v>1229</v>
      </c>
      <c r="AD18" s="245">
        <v>86.576695831020814</v>
      </c>
      <c r="AE18" s="245">
        <v>44634.963840925207</v>
      </c>
      <c r="AF18" s="245">
        <v>37878.263238101667</v>
      </c>
      <c r="AG18" s="245">
        <v>20185.44157957648</v>
      </c>
      <c r="AH18" s="245">
        <v>9240.7550135292986</v>
      </c>
      <c r="AI18" s="245">
        <v>4067.062472754897</v>
      </c>
      <c r="AJ18" s="245">
        <v>1306.0063776670891</v>
      </c>
      <c r="AK18" s="245">
        <v>484.39940821176054</v>
      </c>
      <c r="AL18" s="245">
        <v>30.157888888888888</v>
      </c>
      <c r="AM18" s="247">
        <f t="shared" si="5"/>
        <v>117913.62651548631</v>
      </c>
      <c r="AN18" s="248">
        <f t="shared" si="0"/>
        <v>4.4495381741228683E-2</v>
      </c>
      <c r="AP18" s="458" t="s">
        <v>1229</v>
      </c>
      <c r="AQ18" s="458" t="s">
        <v>1229</v>
      </c>
      <c r="AR18" s="458" t="s">
        <v>1229</v>
      </c>
      <c r="AS18" s="458" t="s">
        <v>1229</v>
      </c>
      <c r="AT18" s="458" t="s">
        <v>1229</v>
      </c>
      <c r="AU18" s="458" t="s">
        <v>1229</v>
      </c>
      <c r="AV18" s="458" t="s">
        <v>1229</v>
      </c>
      <c r="AW18" s="458" t="s">
        <v>1229</v>
      </c>
      <c r="AX18" s="458" t="s">
        <v>1229</v>
      </c>
      <c r="AY18" s="458" t="s">
        <v>1229</v>
      </c>
      <c r="BA18" s="171" t="s">
        <v>1242</v>
      </c>
    </row>
    <row r="19" spans="1:53" s="171" customFormat="1" ht="15.5">
      <c r="A19" s="175" t="s">
        <v>1243</v>
      </c>
      <c r="B19" s="175" t="s">
        <v>1244</v>
      </c>
      <c r="C19" s="175" t="s">
        <v>1245</v>
      </c>
      <c r="D19" s="239" t="s">
        <v>1226</v>
      </c>
      <c r="E19" s="250" t="s">
        <v>1227</v>
      </c>
      <c r="G19" s="426">
        <v>134</v>
      </c>
      <c r="H19" s="426">
        <v>148387</v>
      </c>
      <c r="I19" s="426">
        <v>177489</v>
      </c>
      <c r="J19" s="426">
        <v>125627</v>
      </c>
      <c r="K19" s="426">
        <v>100821</v>
      </c>
      <c r="L19" s="426">
        <v>80937</v>
      </c>
      <c r="M19" s="426">
        <v>37000</v>
      </c>
      <c r="N19" s="426">
        <v>19453</v>
      </c>
      <c r="O19" s="427">
        <v>1433</v>
      </c>
      <c r="P19" s="247">
        <f t="shared" si="4"/>
        <v>691281</v>
      </c>
      <c r="Q19" s="248">
        <f>IFERROR(P19/$P$30, "")</f>
        <v>0.26320657086440585</v>
      </c>
      <c r="S19" s="245" t="s">
        <v>1228</v>
      </c>
      <c r="T19" s="245" t="s">
        <v>1228</v>
      </c>
      <c r="U19" s="245" t="s">
        <v>1228</v>
      </c>
      <c r="V19" s="245" t="s">
        <v>1228</v>
      </c>
      <c r="W19" s="245" t="s">
        <v>1228</v>
      </c>
      <c r="X19" s="245" t="s">
        <v>1228</v>
      </c>
      <c r="Y19" s="245" t="s">
        <v>1228</v>
      </c>
      <c r="Z19" s="245" t="s">
        <v>1228</v>
      </c>
      <c r="AA19" s="245" t="s">
        <v>1228</v>
      </c>
      <c r="AB19" s="245" t="s">
        <v>1228</v>
      </c>
      <c r="AD19" s="245">
        <v>135.20599999999999</v>
      </c>
      <c r="AE19" s="245">
        <v>149722.48299999998</v>
      </c>
      <c r="AF19" s="245">
        <v>179086.40099999998</v>
      </c>
      <c r="AG19" s="245">
        <v>126757.64299999998</v>
      </c>
      <c r="AH19" s="245">
        <v>101728.389</v>
      </c>
      <c r="AI19" s="245">
        <v>81665.43299999999</v>
      </c>
      <c r="AJ19" s="245">
        <v>37332.999999999993</v>
      </c>
      <c r="AK19" s="245">
        <v>19628.076999999997</v>
      </c>
      <c r="AL19" s="245">
        <v>1445.8969999999999</v>
      </c>
      <c r="AM19" s="247">
        <f t="shared" si="5"/>
        <v>697502.52899999998</v>
      </c>
      <c r="AN19" s="248">
        <f t="shared" si="0"/>
        <v>0.26320657086440585</v>
      </c>
      <c r="AP19" s="458" t="s">
        <v>1229</v>
      </c>
      <c r="AQ19" s="458" t="s">
        <v>1229</v>
      </c>
      <c r="AR19" s="458" t="s">
        <v>1229</v>
      </c>
      <c r="AS19" s="458" t="s">
        <v>1229</v>
      </c>
      <c r="AT19" s="458" t="s">
        <v>1229</v>
      </c>
      <c r="AU19" s="458" t="s">
        <v>1229</v>
      </c>
      <c r="AV19" s="458" t="s">
        <v>1229</v>
      </c>
      <c r="AW19" s="458" t="s">
        <v>1229</v>
      </c>
      <c r="AX19" s="458" t="s">
        <v>1229</v>
      </c>
      <c r="AY19" s="458" t="s">
        <v>1229</v>
      </c>
      <c r="BA19" s="171" t="s">
        <v>1246</v>
      </c>
    </row>
    <row r="20" spans="1:53" s="171" customFormat="1" ht="15.5">
      <c r="A20" s="175" t="s">
        <v>1247</v>
      </c>
      <c r="B20" s="175" t="s">
        <v>1244</v>
      </c>
      <c r="C20" s="175" t="s">
        <v>1248</v>
      </c>
      <c r="D20" s="239" t="s">
        <v>1226</v>
      </c>
      <c r="E20" s="250"/>
      <c r="G20" s="426">
        <v>18.392156862745097</v>
      </c>
      <c r="H20" s="426">
        <v>25819.332323502629</v>
      </c>
      <c r="I20" s="426">
        <v>20459.335344312418</v>
      </c>
      <c r="J20" s="426">
        <v>10423.699397624168</v>
      </c>
      <c r="K20" s="426">
        <v>4768.4515654795159</v>
      </c>
      <c r="L20" s="426">
        <v>3102.5703103000506</v>
      </c>
      <c r="M20" s="426">
        <v>956.1881487575281</v>
      </c>
      <c r="N20" s="426">
        <v>238.96878511912735</v>
      </c>
      <c r="O20" s="426">
        <v>6.5</v>
      </c>
      <c r="P20" s="247">
        <f>SUM(G20:O20)</f>
        <v>65793.438031958183</v>
      </c>
      <c r="Q20" s="248">
        <f>IFERROR(P20/$P$30, "")</f>
        <v>2.5050978125786036E-2</v>
      </c>
      <c r="S20" s="245" t="s">
        <v>1229</v>
      </c>
      <c r="T20" s="245" t="s">
        <v>1229</v>
      </c>
      <c r="U20" s="245" t="s">
        <v>1229</v>
      </c>
      <c r="V20" s="245" t="s">
        <v>1229</v>
      </c>
      <c r="W20" s="245" t="s">
        <v>1229</v>
      </c>
      <c r="X20" s="245" t="s">
        <v>1229</v>
      </c>
      <c r="Y20" s="245" t="s">
        <v>1229</v>
      </c>
      <c r="Z20" s="245" t="s">
        <v>1229</v>
      </c>
      <c r="AA20" s="245" t="s">
        <v>1229</v>
      </c>
      <c r="AB20" s="245" t="s">
        <v>1229</v>
      </c>
      <c r="AD20" s="245">
        <v>18.557686274509802</v>
      </c>
      <c r="AE20" s="245">
        <v>26051.70631441415</v>
      </c>
      <c r="AF20" s="245">
        <v>20643.469362411226</v>
      </c>
      <c r="AG20" s="245">
        <v>10517.512692202785</v>
      </c>
      <c r="AH20" s="245">
        <v>4811.367629568831</v>
      </c>
      <c r="AI20" s="245">
        <v>3130.4934430927506</v>
      </c>
      <c r="AJ20" s="245">
        <v>964.79384209634577</v>
      </c>
      <c r="AK20" s="245">
        <v>241.11950418519947</v>
      </c>
      <c r="AL20" s="245">
        <v>6.5584999999999996</v>
      </c>
      <c r="AM20" s="247">
        <f>SUM(AD20:AL20)</f>
        <v>66385.578974245815</v>
      </c>
      <c r="AN20" s="248">
        <f t="shared" si="0"/>
        <v>2.5050978125786039E-2</v>
      </c>
      <c r="AP20" s="458" t="s">
        <v>1229</v>
      </c>
      <c r="AQ20" s="458" t="s">
        <v>1229</v>
      </c>
      <c r="AR20" s="458" t="s">
        <v>1229</v>
      </c>
      <c r="AS20" s="458" t="s">
        <v>1229</v>
      </c>
      <c r="AT20" s="458" t="s">
        <v>1229</v>
      </c>
      <c r="AU20" s="458" t="s">
        <v>1229</v>
      </c>
      <c r="AV20" s="458" t="s">
        <v>1229</v>
      </c>
      <c r="AW20" s="458" t="s">
        <v>1229</v>
      </c>
      <c r="AX20" s="458" t="s">
        <v>1229</v>
      </c>
      <c r="AY20" s="458" t="s">
        <v>1229</v>
      </c>
      <c r="BA20" s="171" t="s">
        <v>1249</v>
      </c>
    </row>
    <row r="21" spans="1:53" s="171" customFormat="1" ht="15.5">
      <c r="A21" s="175" t="s">
        <v>1250</v>
      </c>
      <c r="B21" s="175" t="s">
        <v>1251</v>
      </c>
      <c r="C21" s="175" t="s">
        <v>1252</v>
      </c>
      <c r="D21" s="249" t="s">
        <v>1253</v>
      </c>
      <c r="E21" s="250"/>
      <c r="G21" s="428">
        <v>0.49912984154447654</v>
      </c>
      <c r="H21" s="428">
        <v>0.41480884535700213</v>
      </c>
      <c r="I21" s="428">
        <v>0.39973643110880219</v>
      </c>
      <c r="J21" s="428">
        <v>0.39147953315010597</v>
      </c>
      <c r="K21" s="428">
        <v>0.40453676639113401</v>
      </c>
      <c r="L21" s="428">
        <v>0.32064411072877264</v>
      </c>
      <c r="M21" s="428">
        <v>0.34451964246664812</v>
      </c>
      <c r="N21" s="428">
        <v>0.35244402088465715</v>
      </c>
      <c r="O21" s="428">
        <v>0.24883821902096326</v>
      </c>
      <c r="P21" s="247"/>
      <c r="Q21" s="248"/>
      <c r="S21" s="245" t="s">
        <v>1229</v>
      </c>
      <c r="T21" s="245" t="s">
        <v>1229</v>
      </c>
      <c r="U21" s="245" t="s">
        <v>1229</v>
      </c>
      <c r="V21" s="245" t="s">
        <v>1229</v>
      </c>
      <c r="W21" s="245" t="s">
        <v>1229</v>
      </c>
      <c r="X21" s="245" t="s">
        <v>1229</v>
      </c>
      <c r="Y21" s="245" t="s">
        <v>1229</v>
      </c>
      <c r="Z21" s="245" t="s">
        <v>1229</v>
      </c>
      <c r="AA21" s="245" t="s">
        <v>1229</v>
      </c>
      <c r="AB21" s="245" t="s">
        <v>1229</v>
      </c>
      <c r="AD21" s="255">
        <v>0.49912984154447654</v>
      </c>
      <c r="AE21" s="255">
        <v>0.41480884535700213</v>
      </c>
      <c r="AF21" s="255">
        <v>0.39973643110880219</v>
      </c>
      <c r="AG21" s="255">
        <v>0.39147953315010597</v>
      </c>
      <c r="AH21" s="255">
        <v>0.40453676639113401</v>
      </c>
      <c r="AI21" s="255">
        <v>0.32064411072877264</v>
      </c>
      <c r="AJ21" s="255">
        <v>0.34451964246664812</v>
      </c>
      <c r="AK21" s="255">
        <v>0.35244402088465715</v>
      </c>
      <c r="AL21" s="255">
        <v>0.24883821902096326</v>
      </c>
      <c r="AM21" s="247"/>
      <c r="AN21" s="248"/>
      <c r="AP21" s="458" t="s">
        <v>1229</v>
      </c>
      <c r="AQ21" s="458" t="s">
        <v>1229</v>
      </c>
      <c r="AR21" s="458" t="s">
        <v>1229</v>
      </c>
      <c r="AS21" s="458" t="s">
        <v>1229</v>
      </c>
      <c r="AT21" s="458" t="s">
        <v>1229</v>
      </c>
      <c r="AU21" s="458" t="s">
        <v>1229</v>
      </c>
      <c r="AV21" s="458" t="s">
        <v>1229</v>
      </c>
      <c r="AW21" s="458" t="s">
        <v>1229</v>
      </c>
      <c r="AX21" s="458" t="s">
        <v>1229</v>
      </c>
      <c r="AY21" s="458" t="s">
        <v>1229</v>
      </c>
      <c r="BA21" s="171" t="s">
        <v>1254</v>
      </c>
    </row>
    <row r="22" spans="1:53" s="171" customFormat="1" ht="15.5">
      <c r="A22" s="175" t="s">
        <v>1255</v>
      </c>
      <c r="B22" s="175" t="s">
        <v>1244</v>
      </c>
      <c r="C22" s="175" t="s">
        <v>1256</v>
      </c>
      <c r="D22" s="239" t="s">
        <v>1226</v>
      </c>
      <c r="E22" s="250" t="s">
        <v>1227</v>
      </c>
      <c r="G22" s="247">
        <f>G20*G21</f>
        <v>9.1800743405631167</v>
      </c>
      <c r="H22" s="247">
        <f>H20*H21</f>
        <v>10710.087429000849</v>
      </c>
      <c r="I22" s="247">
        <f t="shared" ref="I22:O22" si="6">I20*I21</f>
        <v>8178.3416933936223</v>
      </c>
      <c r="J22" s="247">
        <f t="shared" si="6"/>
        <v>4080.6649738789501</v>
      </c>
      <c r="K22" s="247">
        <f t="shared" si="6"/>
        <v>1929.0139769918242</v>
      </c>
      <c r="L22" s="247">
        <f t="shared" si="6"/>
        <v>994.82089811965193</v>
      </c>
      <c r="M22" s="247">
        <f t="shared" si="6"/>
        <v>329.42559914078976</v>
      </c>
      <c r="N22" s="247">
        <f t="shared" si="6"/>
        <v>84.223119493306868</v>
      </c>
      <c r="O22" s="247">
        <f t="shared" si="6"/>
        <v>1.6174484236362612</v>
      </c>
      <c r="P22" s="247">
        <f>SUM(G22:O22)</f>
        <v>26317.375212783194</v>
      </c>
      <c r="Q22" s="248">
        <f>IFERROR(P22/$P$30, "")</f>
        <v>1.0020391250314384E-2</v>
      </c>
      <c r="S22" s="245" t="s">
        <v>1229</v>
      </c>
      <c r="T22" s="245" t="s">
        <v>1229</v>
      </c>
      <c r="U22" s="245" t="s">
        <v>1229</v>
      </c>
      <c r="V22" s="245" t="s">
        <v>1229</v>
      </c>
      <c r="W22" s="245" t="s">
        <v>1229</v>
      </c>
      <c r="X22" s="245" t="s">
        <v>1229</v>
      </c>
      <c r="Y22" s="245" t="s">
        <v>1229</v>
      </c>
      <c r="Z22" s="245" t="s">
        <v>1229</v>
      </c>
      <c r="AA22" s="245" t="s">
        <v>1229</v>
      </c>
      <c r="AB22" s="245" t="s">
        <v>1229</v>
      </c>
      <c r="AD22" s="247">
        <f>AD20*AD21</f>
        <v>9.2626950096281853</v>
      </c>
      <c r="AE22" s="247">
        <f>AE20*AE21</f>
        <v>10806.478215861855</v>
      </c>
      <c r="AF22" s="247">
        <f t="shared" ref="AF22" si="7">AF20*AF21</f>
        <v>8251.9467686341632</v>
      </c>
      <c r="AG22" s="247">
        <f t="shared" ref="AG22" si="8">AG20*AG21</f>
        <v>4117.3909586438604</v>
      </c>
      <c r="AH22" s="247">
        <f t="shared" ref="AH22" si="9">AH20*AH21</f>
        <v>1946.3751027847504</v>
      </c>
      <c r="AI22" s="247">
        <f t="shared" ref="AI22" si="10">AI20*AI21</f>
        <v>1003.7742862027286</v>
      </c>
      <c r="AJ22" s="247">
        <f t="shared" ref="AJ22" si="11">AJ20*AJ21</f>
        <v>332.39042953305682</v>
      </c>
      <c r="AK22" s="247">
        <f t="shared" ref="AK22" si="12">AK20*AK21</f>
        <v>84.981127568746615</v>
      </c>
      <c r="AL22" s="247">
        <f t="shared" ref="AL22" si="13">AL20*AL21</f>
        <v>1.6320054594489874</v>
      </c>
      <c r="AM22" s="247">
        <f>SUM(AD22:AL22)</f>
        <v>26554.23158969824</v>
      </c>
      <c r="AN22" s="248">
        <f t="shared" ref="AN22:AN30" si="14">IFERROR(AM22/$AM$30, "")</f>
        <v>1.0020391250314384E-2</v>
      </c>
      <c r="AP22" s="458" t="s">
        <v>1229</v>
      </c>
      <c r="AQ22" s="458" t="s">
        <v>1229</v>
      </c>
      <c r="AR22" s="458" t="s">
        <v>1229</v>
      </c>
      <c r="AS22" s="458" t="s">
        <v>1229</v>
      </c>
      <c r="AT22" s="458" t="s">
        <v>1229</v>
      </c>
      <c r="AU22" s="458" t="s">
        <v>1229</v>
      </c>
      <c r="AV22" s="458" t="s">
        <v>1229</v>
      </c>
      <c r="AW22" s="458" t="s">
        <v>1229</v>
      </c>
      <c r="AX22" s="458" t="s">
        <v>1229</v>
      </c>
      <c r="AY22" s="458" t="s">
        <v>1229</v>
      </c>
      <c r="BA22" s="171" t="s">
        <v>1257</v>
      </c>
    </row>
    <row r="23" spans="1:53" s="171" customFormat="1" ht="15.5">
      <c r="A23" s="175" t="s">
        <v>1258</v>
      </c>
      <c r="B23" s="175" t="s">
        <v>1244</v>
      </c>
      <c r="C23" s="175" t="s">
        <v>1259</v>
      </c>
      <c r="D23" s="239" t="s">
        <v>1226</v>
      </c>
      <c r="E23" s="250" t="s">
        <v>1227</v>
      </c>
      <c r="G23" s="247">
        <f>G20-G22</f>
        <v>9.21208252218198</v>
      </c>
      <c r="H23" s="247">
        <f>H20-H22</f>
        <v>15109.24489450178</v>
      </c>
      <c r="I23" s="247">
        <f t="shared" ref="I23:O23" si="15">I20-I22</f>
        <v>12280.993650918796</v>
      </c>
      <c r="J23" s="247">
        <f t="shared" si="15"/>
        <v>6343.0344237452182</v>
      </c>
      <c r="K23" s="247">
        <f t="shared" si="15"/>
        <v>2839.4375884876918</v>
      </c>
      <c r="L23" s="247">
        <f t="shared" si="15"/>
        <v>2107.7494121803984</v>
      </c>
      <c r="M23" s="247">
        <f t="shared" si="15"/>
        <v>626.7625496167384</v>
      </c>
      <c r="N23" s="247">
        <f t="shared" si="15"/>
        <v>154.74566562582049</v>
      </c>
      <c r="O23" s="247">
        <f t="shared" si="15"/>
        <v>4.8825515763637384</v>
      </c>
      <c r="P23" s="247">
        <f t="shared" ref="P23:P29" si="16">SUM(G23:O23)</f>
        <v>39476.062819174986</v>
      </c>
      <c r="Q23" s="248">
        <f t="shared" ref="Q23:Q29" si="17">IFERROR(P23/$P$30, "")</f>
        <v>1.503058687547165E-2</v>
      </c>
      <c r="S23" s="245" t="s">
        <v>1229</v>
      </c>
      <c r="T23" s="245" t="s">
        <v>1229</v>
      </c>
      <c r="U23" s="245" t="s">
        <v>1229</v>
      </c>
      <c r="V23" s="245" t="s">
        <v>1229</v>
      </c>
      <c r="W23" s="245" t="s">
        <v>1229</v>
      </c>
      <c r="X23" s="245" t="s">
        <v>1229</v>
      </c>
      <c r="Y23" s="245" t="s">
        <v>1229</v>
      </c>
      <c r="Z23" s="245" t="s">
        <v>1229</v>
      </c>
      <c r="AA23" s="245" t="s">
        <v>1229</v>
      </c>
      <c r="AB23" s="245" t="s">
        <v>1229</v>
      </c>
      <c r="AD23" s="247">
        <f>AD20-AD22</f>
        <v>9.2949912648816166</v>
      </c>
      <c r="AE23" s="247">
        <f>AE20-AE22</f>
        <v>15245.228098552296</v>
      </c>
      <c r="AF23" s="247">
        <f t="shared" ref="AF23" si="18">AF20-AF22</f>
        <v>12391.522593777063</v>
      </c>
      <c r="AG23" s="247">
        <f t="shared" ref="AG23" si="19">AG20-AG22</f>
        <v>6400.1217335589245</v>
      </c>
      <c r="AH23" s="247">
        <f t="shared" ref="AH23" si="20">AH20-AH22</f>
        <v>2864.9925267840808</v>
      </c>
      <c r="AI23" s="247">
        <f t="shared" ref="AI23" si="21">AI20-AI22</f>
        <v>2126.7191568900221</v>
      </c>
      <c r="AJ23" s="247">
        <f t="shared" ref="AJ23" si="22">AJ20-AJ22</f>
        <v>632.40341256328895</v>
      </c>
      <c r="AK23" s="247">
        <f t="shared" ref="AK23" si="23">AK20-AK22</f>
        <v>156.13837661645286</v>
      </c>
      <c r="AL23" s="247">
        <f t="shared" ref="AL23" si="24">AL20-AL22</f>
        <v>4.9264945405510119</v>
      </c>
      <c r="AM23" s="247">
        <f t="shared" ref="AM23" si="25">SUM(AD23:AL23)</f>
        <v>39831.34738454756</v>
      </c>
      <c r="AN23" s="248">
        <f t="shared" si="14"/>
        <v>1.503058687547165E-2</v>
      </c>
      <c r="AP23" s="458" t="s">
        <v>1229</v>
      </c>
      <c r="AQ23" s="458" t="s">
        <v>1229</v>
      </c>
      <c r="AR23" s="458" t="s">
        <v>1229</v>
      </c>
      <c r="AS23" s="458" t="s">
        <v>1229</v>
      </c>
      <c r="AT23" s="458" t="s">
        <v>1229</v>
      </c>
      <c r="AU23" s="458" t="s">
        <v>1229</v>
      </c>
      <c r="AV23" s="458" t="s">
        <v>1229</v>
      </c>
      <c r="AW23" s="458" t="s">
        <v>1229</v>
      </c>
      <c r="AX23" s="458" t="s">
        <v>1229</v>
      </c>
      <c r="AY23" s="458" t="s">
        <v>1229</v>
      </c>
      <c r="BA23" s="171" t="s">
        <v>1260</v>
      </c>
    </row>
    <row r="24" spans="1:53" s="171" customFormat="1" ht="15.5">
      <c r="A24" s="175" t="s">
        <v>1261</v>
      </c>
      <c r="B24" s="175" t="s">
        <v>1244</v>
      </c>
      <c r="C24" s="175" t="s">
        <v>1262</v>
      </c>
      <c r="D24" s="239" t="s">
        <v>1226</v>
      </c>
      <c r="E24" s="250" t="s">
        <v>1227</v>
      </c>
      <c r="G24" s="426">
        <v>156.19554427054425</v>
      </c>
      <c r="H24" s="426">
        <v>118077.01721424764</v>
      </c>
      <c r="I24" s="426">
        <v>76827.681614177505</v>
      </c>
      <c r="J24" s="426">
        <v>34111.393951411825</v>
      </c>
      <c r="K24" s="426">
        <v>12242.601821826564</v>
      </c>
      <c r="L24" s="426">
        <v>4620.2682959159347</v>
      </c>
      <c r="M24" s="426">
        <v>1128.1443542385073</v>
      </c>
      <c r="N24" s="426">
        <v>340.07204082819305</v>
      </c>
      <c r="O24" s="427">
        <v>14.111111111111111</v>
      </c>
      <c r="P24" s="247">
        <f t="shared" si="16"/>
        <v>247517.48594802787</v>
      </c>
      <c r="Q24" s="248">
        <f t="shared" si="17"/>
        <v>9.4242759030494366E-2</v>
      </c>
      <c r="S24" s="245" t="s">
        <v>1228</v>
      </c>
      <c r="T24" s="245" t="s">
        <v>1228</v>
      </c>
      <c r="U24" s="245" t="s">
        <v>1228</v>
      </c>
      <c r="V24" s="245" t="s">
        <v>1228</v>
      </c>
      <c r="W24" s="245" t="s">
        <v>1228</v>
      </c>
      <c r="X24" s="245" t="s">
        <v>1228</v>
      </c>
      <c r="Y24" s="245" t="s">
        <v>1228</v>
      </c>
      <c r="Z24" s="245" t="s">
        <v>1228</v>
      </c>
      <c r="AA24" s="245" t="s">
        <v>1228</v>
      </c>
      <c r="AB24" s="245" t="s">
        <v>1228</v>
      </c>
      <c r="AD24" s="245">
        <v>157.60130416897914</v>
      </c>
      <c r="AE24" s="245">
        <v>119139.71036917585</v>
      </c>
      <c r="AF24" s="245">
        <v>77519.130748705094</v>
      </c>
      <c r="AG24" s="245">
        <v>34418.396496974528</v>
      </c>
      <c r="AH24" s="245">
        <v>12352.785238223001</v>
      </c>
      <c r="AI24" s="245">
        <v>4661.8507105791778</v>
      </c>
      <c r="AJ24" s="245">
        <v>1138.2976534266538</v>
      </c>
      <c r="AK24" s="245">
        <v>343.13268919564678</v>
      </c>
      <c r="AL24" s="245">
        <v>14.23811111111111</v>
      </c>
      <c r="AM24" s="247">
        <f t="shared" ref="AM24:AM27" si="26">SUM(AD24:AL24)</f>
        <v>249745.14332156003</v>
      </c>
      <c r="AN24" s="248">
        <f t="shared" si="14"/>
        <v>9.4242759030494339E-2</v>
      </c>
      <c r="AP24" s="458" t="s">
        <v>1229</v>
      </c>
      <c r="AQ24" s="458" t="s">
        <v>1229</v>
      </c>
      <c r="AR24" s="458" t="s">
        <v>1229</v>
      </c>
      <c r="AS24" s="458" t="s">
        <v>1229</v>
      </c>
      <c r="AT24" s="458" t="s">
        <v>1229</v>
      </c>
      <c r="AU24" s="458" t="s">
        <v>1229</v>
      </c>
      <c r="AV24" s="458" t="s">
        <v>1229</v>
      </c>
      <c r="AW24" s="458" t="s">
        <v>1229</v>
      </c>
      <c r="AX24" s="458" t="s">
        <v>1229</v>
      </c>
      <c r="AY24" s="458" t="s">
        <v>1229</v>
      </c>
      <c r="BA24" s="171" t="s">
        <v>1263</v>
      </c>
    </row>
    <row r="25" spans="1:53" s="171" customFormat="1" ht="15.5">
      <c r="A25" s="175" t="s">
        <v>1264</v>
      </c>
      <c r="B25" s="175" t="s">
        <v>1265</v>
      </c>
      <c r="C25" s="175" t="s">
        <v>1266</v>
      </c>
      <c r="D25" s="239" t="s">
        <v>1226</v>
      </c>
      <c r="E25" s="250" t="s">
        <v>1227</v>
      </c>
      <c r="G25" s="426">
        <v>1</v>
      </c>
      <c r="H25" s="426">
        <v>989</v>
      </c>
      <c r="I25" s="426">
        <v>596</v>
      </c>
      <c r="J25" s="426">
        <v>438</v>
      </c>
      <c r="K25" s="426">
        <v>324</v>
      </c>
      <c r="L25" s="426">
        <v>267</v>
      </c>
      <c r="M25" s="426">
        <v>133</v>
      </c>
      <c r="N25" s="426">
        <v>58</v>
      </c>
      <c r="O25" s="427">
        <v>12</v>
      </c>
      <c r="P25" s="247">
        <f t="shared" si="16"/>
        <v>2818</v>
      </c>
      <c r="Q25" s="248">
        <f t="shared" si="17"/>
        <v>1.0729589221979132E-3</v>
      </c>
      <c r="S25" s="245" t="s">
        <v>1228</v>
      </c>
      <c r="T25" s="245" t="s">
        <v>1228</v>
      </c>
      <c r="U25" s="245" t="s">
        <v>1228</v>
      </c>
      <c r="V25" s="245" t="s">
        <v>1228</v>
      </c>
      <c r="W25" s="245" t="s">
        <v>1228</v>
      </c>
      <c r="X25" s="245" t="s">
        <v>1228</v>
      </c>
      <c r="Y25" s="245" t="s">
        <v>1228</v>
      </c>
      <c r="Z25" s="245" t="s">
        <v>1228</v>
      </c>
      <c r="AA25" s="245" t="s">
        <v>1228</v>
      </c>
      <c r="AB25" s="245" t="s">
        <v>1228</v>
      </c>
      <c r="AD25" s="245">
        <v>1.0089999999999999</v>
      </c>
      <c r="AE25" s="245">
        <v>997.90099999999995</v>
      </c>
      <c r="AF25" s="245">
        <v>601.36399999999992</v>
      </c>
      <c r="AG25" s="245">
        <v>441.94199999999995</v>
      </c>
      <c r="AH25" s="245">
        <v>326.91599999999994</v>
      </c>
      <c r="AI25" s="245">
        <v>269.40299999999996</v>
      </c>
      <c r="AJ25" s="245">
        <v>134.19699999999997</v>
      </c>
      <c r="AK25" s="245">
        <v>58.521999999999991</v>
      </c>
      <c r="AL25" s="245">
        <v>12.107999999999999</v>
      </c>
      <c r="AM25" s="247">
        <f t="shared" si="26"/>
        <v>2843.3619999999996</v>
      </c>
      <c r="AN25" s="248">
        <f t="shared" si="14"/>
        <v>1.0729589221979132E-3</v>
      </c>
      <c r="AP25" s="458" t="s">
        <v>1229</v>
      </c>
      <c r="AQ25" s="458" t="s">
        <v>1229</v>
      </c>
      <c r="AR25" s="458" t="s">
        <v>1229</v>
      </c>
      <c r="AS25" s="458" t="s">
        <v>1229</v>
      </c>
      <c r="AT25" s="458" t="s">
        <v>1229</v>
      </c>
      <c r="AU25" s="458" t="s">
        <v>1229</v>
      </c>
      <c r="AV25" s="458" t="s">
        <v>1229</v>
      </c>
      <c r="AW25" s="458" t="s">
        <v>1229</v>
      </c>
      <c r="AX25" s="458" t="s">
        <v>1229</v>
      </c>
      <c r="AY25" s="458" t="s">
        <v>1229</v>
      </c>
      <c r="BA25" s="171" t="s">
        <v>1267</v>
      </c>
    </row>
    <row r="26" spans="1:53" s="171" customFormat="1" ht="15.5">
      <c r="A26" s="175" t="s">
        <v>1268</v>
      </c>
      <c r="B26" s="175" t="s">
        <v>1265</v>
      </c>
      <c r="C26" s="175" t="s">
        <v>1269</v>
      </c>
      <c r="D26" s="239" t="s">
        <v>1226</v>
      </c>
      <c r="E26" s="250" t="s">
        <v>1227</v>
      </c>
      <c r="G26" s="426">
        <v>0</v>
      </c>
      <c r="H26" s="426">
        <v>11</v>
      </c>
      <c r="I26" s="426">
        <v>17</v>
      </c>
      <c r="J26" s="426">
        <v>9</v>
      </c>
      <c r="K26" s="426">
        <v>7</v>
      </c>
      <c r="L26" s="426">
        <v>6</v>
      </c>
      <c r="M26" s="426">
        <v>3</v>
      </c>
      <c r="N26" s="426">
        <v>0</v>
      </c>
      <c r="O26" s="427">
        <v>0</v>
      </c>
      <c r="P26" s="247">
        <f t="shared" si="16"/>
        <v>53</v>
      </c>
      <c r="Q26" s="248">
        <f t="shared" si="17"/>
        <v>2.0179851978881976E-5</v>
      </c>
      <c r="S26" s="245" t="s">
        <v>1228</v>
      </c>
      <c r="T26" s="245" t="s">
        <v>1228</v>
      </c>
      <c r="U26" s="245" t="s">
        <v>1228</v>
      </c>
      <c r="V26" s="245" t="s">
        <v>1228</v>
      </c>
      <c r="W26" s="245" t="s">
        <v>1228</v>
      </c>
      <c r="X26" s="245" t="s">
        <v>1228</v>
      </c>
      <c r="Y26" s="245" t="s">
        <v>1228</v>
      </c>
      <c r="Z26" s="245" t="s">
        <v>1228</v>
      </c>
      <c r="AA26" s="245" t="s">
        <v>1228</v>
      </c>
      <c r="AB26" s="245" t="s">
        <v>1228</v>
      </c>
      <c r="AD26" s="245">
        <v>0</v>
      </c>
      <c r="AE26" s="245">
        <v>11.098999999999998</v>
      </c>
      <c r="AF26" s="245">
        <v>17.152999999999999</v>
      </c>
      <c r="AG26" s="245">
        <v>9.0809999999999995</v>
      </c>
      <c r="AH26" s="245">
        <v>7.0629999999999988</v>
      </c>
      <c r="AI26" s="245">
        <v>6.0539999999999994</v>
      </c>
      <c r="AJ26" s="245">
        <v>3.0269999999999997</v>
      </c>
      <c r="AK26" s="245">
        <v>0</v>
      </c>
      <c r="AL26" s="245">
        <v>0</v>
      </c>
      <c r="AM26" s="247">
        <f t="shared" si="26"/>
        <v>53.477000000000004</v>
      </c>
      <c r="AN26" s="248">
        <f t="shared" si="14"/>
        <v>2.0179851978881976E-5</v>
      </c>
      <c r="AP26" s="458" t="s">
        <v>1229</v>
      </c>
      <c r="AQ26" s="458" t="s">
        <v>1229</v>
      </c>
      <c r="AR26" s="458" t="s">
        <v>1229</v>
      </c>
      <c r="AS26" s="458" t="s">
        <v>1229</v>
      </c>
      <c r="AT26" s="458" t="s">
        <v>1229</v>
      </c>
      <c r="AU26" s="458" t="s">
        <v>1229</v>
      </c>
      <c r="AV26" s="458" t="s">
        <v>1229</v>
      </c>
      <c r="AW26" s="458" t="s">
        <v>1229</v>
      </c>
      <c r="AX26" s="458" t="s">
        <v>1229</v>
      </c>
      <c r="AY26" s="458" t="s">
        <v>1229</v>
      </c>
      <c r="BA26" s="171" t="s">
        <v>1270</v>
      </c>
    </row>
    <row r="27" spans="1:53" s="171" customFormat="1" ht="15.5">
      <c r="A27" s="175" t="s">
        <v>1271</v>
      </c>
      <c r="B27" s="175" t="s">
        <v>1265</v>
      </c>
      <c r="C27" s="175" t="s">
        <v>1272</v>
      </c>
      <c r="D27" s="239" t="s">
        <v>1226</v>
      </c>
      <c r="E27" s="250" t="s">
        <v>1227</v>
      </c>
      <c r="G27" s="426">
        <v>0</v>
      </c>
      <c r="H27" s="426">
        <v>18</v>
      </c>
      <c r="I27" s="426">
        <v>57</v>
      </c>
      <c r="J27" s="426">
        <v>40</v>
      </c>
      <c r="K27" s="426">
        <v>30</v>
      </c>
      <c r="L27" s="426">
        <v>16</v>
      </c>
      <c r="M27" s="426">
        <v>7</v>
      </c>
      <c r="N27" s="426">
        <v>0</v>
      </c>
      <c r="O27" s="427">
        <v>0</v>
      </c>
      <c r="P27" s="247">
        <f t="shared" si="16"/>
        <v>168</v>
      </c>
      <c r="Q27" s="248">
        <f t="shared" si="17"/>
        <v>6.3966323253814562E-5</v>
      </c>
      <c r="S27" s="245" t="s">
        <v>1228</v>
      </c>
      <c r="T27" s="245" t="s">
        <v>1228</v>
      </c>
      <c r="U27" s="245" t="s">
        <v>1228</v>
      </c>
      <c r="V27" s="245" t="s">
        <v>1228</v>
      </c>
      <c r="W27" s="245" t="s">
        <v>1228</v>
      </c>
      <c r="X27" s="245" t="s">
        <v>1228</v>
      </c>
      <c r="Y27" s="245" t="s">
        <v>1228</v>
      </c>
      <c r="Z27" s="245" t="s">
        <v>1228</v>
      </c>
      <c r="AA27" s="245" t="s">
        <v>1228</v>
      </c>
      <c r="AB27" s="245" t="s">
        <v>1228</v>
      </c>
      <c r="AD27" s="245">
        <v>0</v>
      </c>
      <c r="AE27" s="245">
        <v>18.161999999999999</v>
      </c>
      <c r="AF27" s="245">
        <v>57.512999999999991</v>
      </c>
      <c r="AG27" s="245">
        <v>40.36</v>
      </c>
      <c r="AH27" s="245">
        <v>30.269999999999996</v>
      </c>
      <c r="AI27" s="245">
        <v>16.143999999999998</v>
      </c>
      <c r="AJ27" s="245">
        <v>7.0629999999999988</v>
      </c>
      <c r="AK27" s="245">
        <v>0</v>
      </c>
      <c r="AL27" s="245">
        <v>0</v>
      </c>
      <c r="AM27" s="247">
        <f t="shared" si="26"/>
        <v>169.51199999999997</v>
      </c>
      <c r="AN27" s="248">
        <f t="shared" si="14"/>
        <v>6.3966323253814548E-5</v>
      </c>
      <c r="AP27" s="458" t="s">
        <v>1229</v>
      </c>
      <c r="AQ27" s="458" t="s">
        <v>1229</v>
      </c>
      <c r="AR27" s="458" t="s">
        <v>1229</v>
      </c>
      <c r="AS27" s="458" t="s">
        <v>1229</v>
      </c>
      <c r="AT27" s="458" t="s">
        <v>1229</v>
      </c>
      <c r="AU27" s="458" t="s">
        <v>1229</v>
      </c>
      <c r="AV27" s="458" t="s">
        <v>1229</v>
      </c>
      <c r="AW27" s="458" t="s">
        <v>1229</v>
      </c>
      <c r="AX27" s="458" t="s">
        <v>1229</v>
      </c>
      <c r="AY27" s="458" t="s">
        <v>1229</v>
      </c>
      <c r="BA27" s="171" t="s">
        <v>1273</v>
      </c>
    </row>
    <row r="28" spans="1:53" s="171" customFormat="1" ht="15.5">
      <c r="A28" s="175" t="s">
        <v>1274</v>
      </c>
      <c r="B28" s="175" t="s">
        <v>1275</v>
      </c>
      <c r="C28" s="175" t="s">
        <v>1276</v>
      </c>
      <c r="D28" s="239" t="s">
        <v>1226</v>
      </c>
      <c r="E28" s="250" t="s">
        <v>1227</v>
      </c>
      <c r="G28" s="426">
        <v>3.7571955493507345</v>
      </c>
      <c r="H28" s="426">
        <v>35018.812339591321</v>
      </c>
      <c r="I28" s="426">
        <v>20483.836594904147</v>
      </c>
      <c r="J28" s="426">
        <v>14036.84599844494</v>
      </c>
      <c r="K28" s="426">
        <v>11270.552863558731</v>
      </c>
      <c r="L28" s="426">
        <v>10523.669047134355</v>
      </c>
      <c r="M28" s="426">
        <v>4324.3418973759262</v>
      </c>
      <c r="N28" s="426">
        <v>1890.0324138420096</v>
      </c>
      <c r="O28" s="427">
        <v>381.52180034056363</v>
      </c>
      <c r="P28" s="247">
        <f>SUM(G28:O28)</f>
        <v>97933.370150741335</v>
      </c>
      <c r="Q28" s="248">
        <f t="shared" si="17"/>
        <v>3.7288319121415441E-2</v>
      </c>
      <c r="S28" s="245" t="s">
        <v>1228</v>
      </c>
      <c r="T28" s="245" t="s">
        <v>1228</v>
      </c>
      <c r="U28" s="245" t="s">
        <v>1228</v>
      </c>
      <c r="V28" s="245" t="s">
        <v>1228</v>
      </c>
      <c r="W28" s="245" t="s">
        <v>1228</v>
      </c>
      <c r="X28" s="245" t="s">
        <v>1228</v>
      </c>
      <c r="Y28" s="245" t="s">
        <v>1228</v>
      </c>
      <c r="Z28" s="245" t="s">
        <v>1228</v>
      </c>
      <c r="AA28" s="245" t="s">
        <v>1228</v>
      </c>
      <c r="AB28" s="245" t="s">
        <v>1228</v>
      </c>
      <c r="AD28" s="245">
        <v>3.7910103092948906</v>
      </c>
      <c r="AE28" s="245">
        <v>35333.981650647642</v>
      </c>
      <c r="AF28" s="245">
        <v>20668.191124258283</v>
      </c>
      <c r="AG28" s="245">
        <v>14163.177612430944</v>
      </c>
      <c r="AH28" s="245">
        <v>11371.987839330757</v>
      </c>
      <c r="AI28" s="245">
        <v>10618.382068558563</v>
      </c>
      <c r="AJ28" s="245">
        <v>4363.2609744523088</v>
      </c>
      <c r="AK28" s="245">
        <v>1907.0427055665875</v>
      </c>
      <c r="AL28" s="245">
        <v>384.95549654362867</v>
      </c>
      <c r="AM28" s="247">
        <f>SUM(AD28:AL28)</f>
        <v>98814.770482098014</v>
      </c>
      <c r="AN28" s="248">
        <f t="shared" si="14"/>
        <v>3.7288319121415447E-2</v>
      </c>
      <c r="AP28" s="458" t="s">
        <v>1229</v>
      </c>
      <c r="AQ28" s="458" t="s">
        <v>1229</v>
      </c>
      <c r="AR28" s="458" t="s">
        <v>1229</v>
      </c>
      <c r="AS28" s="458" t="s">
        <v>1229</v>
      </c>
      <c r="AT28" s="458" t="s">
        <v>1229</v>
      </c>
      <c r="AU28" s="458" t="s">
        <v>1229</v>
      </c>
      <c r="AV28" s="458" t="s">
        <v>1229</v>
      </c>
      <c r="AW28" s="458" t="s">
        <v>1229</v>
      </c>
      <c r="AX28" s="458" t="s">
        <v>1229</v>
      </c>
      <c r="AY28" s="458" t="s">
        <v>1229</v>
      </c>
      <c r="BA28" s="171" t="s">
        <v>1277</v>
      </c>
    </row>
    <row r="29" spans="1:53" s="171" customFormat="1" ht="15.5">
      <c r="A29" s="175" t="s">
        <v>1278</v>
      </c>
      <c r="B29" s="175" t="s">
        <v>1279</v>
      </c>
      <c r="C29" s="175" t="s">
        <v>1280</v>
      </c>
      <c r="D29" s="239" t="s">
        <v>1226</v>
      </c>
      <c r="E29" s="250" t="s">
        <v>1227</v>
      </c>
      <c r="G29" s="426">
        <v>4.242804450649265</v>
      </c>
      <c r="H29" s="426">
        <v>20658.187660408686</v>
      </c>
      <c r="I29" s="426">
        <v>12565.163405095856</v>
      </c>
      <c r="J29" s="426">
        <v>7553.1540015550581</v>
      </c>
      <c r="K29" s="426">
        <v>5457.4471364412684</v>
      </c>
      <c r="L29" s="426">
        <v>4651.3309528656418</v>
      </c>
      <c r="M29" s="426">
        <v>2001.6581026240744</v>
      </c>
      <c r="N29" s="426">
        <v>1016.9675861579901</v>
      </c>
      <c r="O29" s="427">
        <v>196.4781996594364</v>
      </c>
      <c r="P29" s="247">
        <f t="shared" si="16"/>
        <v>54104.629849258657</v>
      </c>
      <c r="Q29" s="248">
        <f t="shared" si="17"/>
        <v>2.0600441919438474E-2</v>
      </c>
      <c r="S29" s="245" t="s">
        <v>1228</v>
      </c>
      <c r="T29" s="245" t="s">
        <v>1228</v>
      </c>
      <c r="U29" s="245" t="s">
        <v>1228</v>
      </c>
      <c r="V29" s="245" t="s">
        <v>1228</v>
      </c>
      <c r="W29" s="245" t="s">
        <v>1228</v>
      </c>
      <c r="X29" s="245" t="s">
        <v>1228</v>
      </c>
      <c r="Y29" s="245" t="s">
        <v>1228</v>
      </c>
      <c r="Z29" s="245" t="s">
        <v>1228</v>
      </c>
      <c r="AA29" s="245" t="s">
        <v>1228</v>
      </c>
      <c r="AB29" s="245" t="s">
        <v>1228</v>
      </c>
      <c r="AD29" s="245">
        <v>4.2809896907051082</v>
      </c>
      <c r="AE29" s="245">
        <v>20844.111349352363</v>
      </c>
      <c r="AF29" s="245">
        <v>12678.249875741718</v>
      </c>
      <c r="AG29" s="245">
        <v>7621.1323875690532</v>
      </c>
      <c r="AH29" s="245">
        <v>5506.5641606692388</v>
      </c>
      <c r="AI29" s="245">
        <v>4693.1929314414319</v>
      </c>
      <c r="AJ29" s="245">
        <v>2019.6730255476909</v>
      </c>
      <c r="AK29" s="245">
        <v>1026.120294433412</v>
      </c>
      <c r="AL29" s="245">
        <v>198.2465034563713</v>
      </c>
      <c r="AM29" s="247">
        <f t="shared" ref="AM29" si="27">SUM(AD29:AL29)</f>
        <v>54591.571517901983</v>
      </c>
      <c r="AN29" s="248">
        <f t="shared" si="14"/>
        <v>2.060044191943847E-2</v>
      </c>
      <c r="AP29" s="458" t="s">
        <v>1229</v>
      </c>
      <c r="AQ29" s="458" t="s">
        <v>1229</v>
      </c>
      <c r="AR29" s="458" t="s">
        <v>1229</v>
      </c>
      <c r="AS29" s="458" t="s">
        <v>1229</v>
      </c>
      <c r="AT29" s="458" t="s">
        <v>1229</v>
      </c>
      <c r="AU29" s="458" t="s">
        <v>1229</v>
      </c>
      <c r="AV29" s="458" t="s">
        <v>1229</v>
      </c>
      <c r="AW29" s="458" t="s">
        <v>1229</v>
      </c>
      <c r="AX29" s="458" t="s">
        <v>1229</v>
      </c>
      <c r="AY29" s="458" t="s">
        <v>1229</v>
      </c>
      <c r="BA29" s="171" t="s">
        <v>1281</v>
      </c>
    </row>
    <row r="30" spans="1:53" s="171" customFormat="1" ht="15.5">
      <c r="A30" s="175" t="s">
        <v>1282</v>
      </c>
      <c r="B30" s="175"/>
      <c r="C30" s="175" t="s">
        <v>1283</v>
      </c>
      <c r="D30" s="239" t="s">
        <v>1226</v>
      </c>
      <c r="E30" s="249" t="s">
        <v>160</v>
      </c>
      <c r="G30" s="247">
        <f>SUM(G14:G29)-G20-G21</f>
        <v>703</v>
      </c>
      <c r="H30" s="247">
        <f t="shared" ref="H30:O30" si="28">SUM(H14:H29)-H20-H21</f>
        <v>542092</v>
      </c>
      <c r="I30" s="247">
        <f t="shared" si="28"/>
        <v>596899.00000000012</v>
      </c>
      <c r="J30" s="247">
        <f t="shared" si="28"/>
        <v>423436</v>
      </c>
      <c r="K30" s="247">
        <f t="shared" si="28"/>
        <v>357990</v>
      </c>
      <c r="L30" s="247">
        <f t="shared" si="28"/>
        <v>353490</v>
      </c>
      <c r="M30" s="247">
        <f t="shared" si="28"/>
        <v>208408.99999999991</v>
      </c>
      <c r="N30" s="247">
        <f t="shared" si="28"/>
        <v>130466.99999999997</v>
      </c>
      <c r="O30" s="247">
        <f t="shared" si="28"/>
        <v>12895.999999999998</v>
      </c>
      <c r="P30" s="247">
        <f t="shared" ref="P30" si="29">SUM(P14:P29)-P20-P21</f>
        <v>2626382</v>
      </c>
      <c r="Q30" s="248">
        <f>IFERROR(P30/$P$30, "")</f>
        <v>1</v>
      </c>
      <c r="S30" s="245" t="s">
        <v>1228</v>
      </c>
      <c r="T30" s="245" t="s">
        <v>1228</v>
      </c>
      <c r="U30" s="245" t="s">
        <v>1228</v>
      </c>
      <c r="V30" s="245" t="s">
        <v>1228</v>
      </c>
      <c r="W30" s="245" t="s">
        <v>1228</v>
      </c>
      <c r="X30" s="245" t="s">
        <v>1228</v>
      </c>
      <c r="Y30" s="245" t="s">
        <v>1228</v>
      </c>
      <c r="Z30" s="245" t="s">
        <v>1228</v>
      </c>
      <c r="AA30" s="245" t="s">
        <v>1228</v>
      </c>
      <c r="AB30" s="245" t="s">
        <v>1228</v>
      </c>
      <c r="AD30" s="247">
        <f>SUM(AD14:AD29)-AD20-AD21</f>
        <v>709.32699999999988</v>
      </c>
      <c r="AE30" s="247">
        <f>SUM(AE14:AE29)-AE20-AE21</f>
        <v>546970.82799999998</v>
      </c>
      <c r="AF30" s="247">
        <f t="shared" ref="AF30" si="30">SUM(AF14:AF29)-AF20-AF21</f>
        <v>602271.09100000001</v>
      </c>
      <c r="AG30" s="247">
        <f t="shared" ref="AG30" si="31">SUM(AG14:AG29)-AG20-AG21</f>
        <v>427246.92399999988</v>
      </c>
      <c r="AH30" s="247">
        <f t="shared" ref="AH30" si="32">SUM(AH14:AH29)-AH20-AH21</f>
        <v>361211.91</v>
      </c>
      <c r="AI30" s="247">
        <f t="shared" ref="AI30" si="33">SUM(AI14:AI29)-AI20-AI21</f>
        <v>356671.40999999992</v>
      </c>
      <c r="AJ30" s="247">
        <f>SUM(AJ14:AJ29)-AJ20-AJ21</f>
        <v>210284.68099999992</v>
      </c>
      <c r="AK30" s="247">
        <f>SUM(AK14:AK29)-AK20-AK21</f>
        <v>131641.20299999998</v>
      </c>
      <c r="AL30" s="247">
        <f>SUM(AL14:AL29)-AL20-AL21</f>
        <v>13012.064</v>
      </c>
      <c r="AM30" s="247">
        <f>SUM(AM14:AM29)-AM20-AM21</f>
        <v>2650019.4380000001</v>
      </c>
      <c r="AN30" s="248">
        <f t="shared" si="14"/>
        <v>1</v>
      </c>
      <c r="AP30" s="458" t="s">
        <v>1229</v>
      </c>
      <c r="AQ30" s="458" t="s">
        <v>1229</v>
      </c>
      <c r="AR30" s="458" t="s">
        <v>1229</v>
      </c>
      <c r="AS30" s="458" t="s">
        <v>1229</v>
      </c>
      <c r="AT30" s="458" t="s">
        <v>1229</v>
      </c>
      <c r="AU30" s="458" t="s">
        <v>1229</v>
      </c>
      <c r="AV30" s="458" t="s">
        <v>1229</v>
      </c>
      <c r="AW30" s="458" t="s">
        <v>1229</v>
      </c>
      <c r="AX30" s="458" t="s">
        <v>1229</v>
      </c>
      <c r="AY30" s="458" t="s">
        <v>1229</v>
      </c>
      <c r="BA30" s="171" t="s">
        <v>1284</v>
      </c>
    </row>
    <row r="31" spans="1:53" s="171" customFormat="1" ht="15.5">
      <c r="A31" s="175" t="s">
        <v>1285</v>
      </c>
      <c r="B31" s="175"/>
      <c r="C31" s="175" t="s">
        <v>1286</v>
      </c>
      <c r="D31" s="249" t="s">
        <v>1253</v>
      </c>
      <c r="E31" s="249" t="s">
        <v>160</v>
      </c>
      <c r="G31" s="248">
        <f>IFERROR(G30/$P$30, "")</f>
        <v>2.6766860266328358E-4</v>
      </c>
      <c r="H31" s="248">
        <f t="shared" ref="H31:P31" si="34">IFERROR(H30/$P$30, "")</f>
        <v>0.20640257205539789</v>
      </c>
      <c r="I31" s="248">
        <f t="shared" si="34"/>
        <v>0.22727044276118255</v>
      </c>
      <c r="J31" s="248">
        <f t="shared" si="34"/>
        <v>0.16122407174584658</v>
      </c>
      <c r="K31" s="248">
        <f t="shared" si="34"/>
        <v>0.1363053813192445</v>
      </c>
      <c r="L31" s="248">
        <f t="shared" si="34"/>
        <v>0.13459199766066018</v>
      </c>
      <c r="M31" s="248">
        <f t="shared" si="34"/>
        <v>7.9352127755977581E-2</v>
      </c>
      <c r="N31" s="248">
        <f>IFERROR(N30/$P$30, "")</f>
        <v>4.9675561285448942E-2</v>
      </c>
      <c r="O31" s="248">
        <f t="shared" si="34"/>
        <v>4.9101768135785271E-3</v>
      </c>
      <c r="P31" s="248">
        <f t="shared" si="34"/>
        <v>1</v>
      </c>
      <c r="AD31" s="248">
        <f t="shared" ref="AD31:AM31" si="35">IFERROR(AD30/$AM$30, "")</f>
        <v>2.6766860266328352E-4</v>
      </c>
      <c r="AE31" s="248">
        <f t="shared" si="35"/>
        <v>0.20640257205539786</v>
      </c>
      <c r="AF31" s="248">
        <f t="shared" si="35"/>
        <v>0.2272704427611825</v>
      </c>
      <c r="AG31" s="248">
        <f t="shared" si="35"/>
        <v>0.16122407174584652</v>
      </c>
      <c r="AH31" s="248">
        <f t="shared" si="35"/>
        <v>0.1363053813192445</v>
      </c>
      <c r="AI31" s="248">
        <f t="shared" si="35"/>
        <v>0.13459199766066013</v>
      </c>
      <c r="AJ31" s="248">
        <f t="shared" si="35"/>
        <v>7.9352127755977581E-2</v>
      </c>
      <c r="AK31" s="248">
        <f t="shared" si="35"/>
        <v>4.9675561285448949E-2</v>
      </c>
      <c r="AL31" s="248">
        <f t="shared" si="35"/>
        <v>4.9101768135785271E-3</v>
      </c>
      <c r="AM31" s="248">
        <f t="shared" si="35"/>
        <v>1</v>
      </c>
      <c r="BA31" s="171" t="s">
        <v>1287</v>
      </c>
    </row>
    <row r="32" spans="1:53" s="171" customFormat="1" ht="16" thickBot="1">
      <c r="D32" s="238"/>
      <c r="E32" s="238"/>
    </row>
    <row r="33" spans="1:53" s="171" customFormat="1" ht="16" thickBot="1">
      <c r="A33" s="240"/>
      <c r="B33" s="241"/>
      <c r="C33" s="241" t="s">
        <v>1288</v>
      </c>
      <c r="D33" s="242"/>
      <c r="E33" s="243"/>
      <c r="G33" s="236" t="s">
        <v>1211</v>
      </c>
      <c r="H33" s="237" t="s">
        <v>1212</v>
      </c>
      <c r="I33" s="237" t="s">
        <v>1213</v>
      </c>
      <c r="J33" s="237" t="s">
        <v>1214</v>
      </c>
      <c r="K33" s="237" t="s">
        <v>1215</v>
      </c>
      <c r="L33" s="237" t="s">
        <v>1216</v>
      </c>
      <c r="M33" s="237" t="s">
        <v>1217</v>
      </c>
      <c r="N33" s="237" t="s">
        <v>1218</v>
      </c>
      <c r="O33" s="64" t="s">
        <v>1219</v>
      </c>
      <c r="AD33" s="236" t="s">
        <v>1211</v>
      </c>
      <c r="AE33" s="237" t="s">
        <v>1212</v>
      </c>
      <c r="AF33" s="237" t="s">
        <v>1213</v>
      </c>
      <c r="AG33" s="237" t="s">
        <v>1214</v>
      </c>
      <c r="AH33" s="237" t="s">
        <v>1215</v>
      </c>
      <c r="AI33" s="237" t="s">
        <v>1216</v>
      </c>
      <c r="AJ33" s="237" t="s">
        <v>1217</v>
      </c>
      <c r="AK33" s="237" t="s">
        <v>1218</v>
      </c>
      <c r="AL33" s="64" t="s">
        <v>1219</v>
      </c>
    </row>
    <row r="34" spans="1:53" s="171" customFormat="1" ht="15.5">
      <c r="A34" s="175" t="s">
        <v>1289</v>
      </c>
      <c r="B34" s="179"/>
      <c r="C34" s="179" t="s">
        <v>1290</v>
      </c>
      <c r="D34" s="239" t="s">
        <v>1291</v>
      </c>
      <c r="E34" s="239" t="s">
        <v>210</v>
      </c>
      <c r="G34" s="263">
        <v>5</v>
      </c>
      <c r="H34" s="263">
        <v>6</v>
      </c>
      <c r="I34" s="263">
        <v>7</v>
      </c>
      <c r="J34" s="263">
        <v>8</v>
      </c>
      <c r="K34" s="263">
        <v>9</v>
      </c>
      <c r="L34" s="263">
        <v>11</v>
      </c>
      <c r="M34" s="263">
        <v>13</v>
      </c>
      <c r="N34" s="263">
        <v>15</v>
      </c>
      <c r="O34" s="263">
        <v>18</v>
      </c>
      <c r="AD34" s="263">
        <v>5</v>
      </c>
      <c r="AE34" s="263">
        <v>6</v>
      </c>
      <c r="AF34" s="263">
        <v>7</v>
      </c>
      <c r="AG34" s="263">
        <v>8</v>
      </c>
      <c r="AH34" s="263">
        <v>9</v>
      </c>
      <c r="AI34" s="263">
        <v>11</v>
      </c>
      <c r="AJ34" s="263">
        <v>13</v>
      </c>
      <c r="AK34" s="263">
        <v>15</v>
      </c>
      <c r="AL34" s="263">
        <v>18</v>
      </c>
      <c r="AZ34" s="407"/>
      <c r="BA34" s="171" t="s">
        <v>1290</v>
      </c>
    </row>
    <row r="35" spans="1:53" s="171" customFormat="1" ht="15.5">
      <c r="A35" s="175" t="s">
        <v>1292</v>
      </c>
      <c r="B35" s="175"/>
      <c r="C35" s="175" t="s">
        <v>1293</v>
      </c>
      <c r="D35" s="249" t="s">
        <v>1291</v>
      </c>
      <c r="E35" s="249" t="s">
        <v>160</v>
      </c>
      <c r="G35" s="251">
        <f>G34/COUNTA($G$33:$O$33)</f>
        <v>0.55555555555555558</v>
      </c>
      <c r="H35" s="251">
        <f t="shared" ref="H35:O35" si="36">H34/COUNTA($G$33:$O$33)</f>
        <v>0.66666666666666663</v>
      </c>
      <c r="I35" s="251">
        <f t="shared" si="36"/>
        <v>0.77777777777777779</v>
      </c>
      <c r="J35" s="251">
        <f>J34/COUNTA($G$33:$O$33)</f>
        <v>0.88888888888888884</v>
      </c>
      <c r="K35" s="251">
        <f>K34/COUNTA($G$33:$O$33)</f>
        <v>1</v>
      </c>
      <c r="L35" s="251">
        <f t="shared" si="36"/>
        <v>1.2222222222222223</v>
      </c>
      <c r="M35" s="251">
        <f t="shared" si="36"/>
        <v>1.4444444444444444</v>
      </c>
      <c r="N35" s="251">
        <f t="shared" si="36"/>
        <v>1.6666666666666667</v>
      </c>
      <c r="O35" s="251">
        <f t="shared" si="36"/>
        <v>2</v>
      </c>
      <c r="AD35" s="251">
        <f>AD34/COUNTA($G$33:$O$33)</f>
        <v>0.55555555555555558</v>
      </c>
      <c r="AE35" s="251">
        <f t="shared" ref="AE35:AL35" si="37">AE34/COUNTA($G$33:$O$33)</f>
        <v>0.66666666666666663</v>
      </c>
      <c r="AF35" s="251">
        <f t="shared" si="37"/>
        <v>0.77777777777777779</v>
      </c>
      <c r="AG35" s="251">
        <f t="shared" si="37"/>
        <v>0.88888888888888884</v>
      </c>
      <c r="AH35" s="251">
        <f t="shared" si="37"/>
        <v>1</v>
      </c>
      <c r="AI35" s="251">
        <f t="shared" si="37"/>
        <v>1.2222222222222223</v>
      </c>
      <c r="AJ35" s="251">
        <f t="shared" si="37"/>
        <v>1.4444444444444444</v>
      </c>
      <c r="AK35" s="251">
        <f t="shared" si="37"/>
        <v>1.6666666666666667</v>
      </c>
      <c r="AL35" s="251">
        <f t="shared" si="37"/>
        <v>2</v>
      </c>
      <c r="BA35" s="171" t="s">
        <v>1293</v>
      </c>
    </row>
    <row r="36" spans="1:53" s="171" customFormat="1" ht="16" thickBot="1">
      <c r="D36" s="238"/>
      <c r="E36" s="238"/>
    </row>
    <row r="37" spans="1:53" s="171" customFormat="1" ht="47" thickBot="1">
      <c r="A37" s="240"/>
      <c r="B37" s="241"/>
      <c r="C37" s="252" t="s">
        <v>1294</v>
      </c>
      <c r="D37" s="242"/>
      <c r="E37" s="243"/>
      <c r="G37" s="258" t="s">
        <v>1211</v>
      </c>
      <c r="H37" s="259" t="s">
        <v>1212</v>
      </c>
      <c r="I37" s="259" t="s">
        <v>1213</v>
      </c>
      <c r="J37" s="259" t="s">
        <v>1214</v>
      </c>
      <c r="K37" s="259" t="s">
        <v>1215</v>
      </c>
      <c r="L37" s="259" t="s">
        <v>1216</v>
      </c>
      <c r="M37" s="259" t="s">
        <v>1217</v>
      </c>
      <c r="N37" s="259" t="s">
        <v>1218</v>
      </c>
      <c r="O37" s="67" t="s">
        <v>1219</v>
      </c>
      <c r="P37" s="67" t="s">
        <v>1220</v>
      </c>
      <c r="Q37" s="68" t="s">
        <v>1221</v>
      </c>
      <c r="AD37" s="258" t="s">
        <v>1211</v>
      </c>
      <c r="AE37" s="259" t="s">
        <v>1212</v>
      </c>
      <c r="AF37" s="259" t="s">
        <v>1213</v>
      </c>
      <c r="AG37" s="259" t="s">
        <v>1214</v>
      </c>
      <c r="AH37" s="259" t="s">
        <v>1215</v>
      </c>
      <c r="AI37" s="259" t="s">
        <v>1216</v>
      </c>
      <c r="AJ37" s="259" t="s">
        <v>1217</v>
      </c>
      <c r="AK37" s="259" t="s">
        <v>1218</v>
      </c>
      <c r="AL37" s="67" t="s">
        <v>1219</v>
      </c>
      <c r="AM37" s="67" t="s">
        <v>1220</v>
      </c>
      <c r="AN37" s="68" t="s">
        <v>1221</v>
      </c>
    </row>
    <row r="38" spans="1:53" s="171" customFormat="1" ht="15.5">
      <c r="A38" s="175" t="s">
        <v>1295</v>
      </c>
      <c r="B38" s="179" t="s">
        <v>1224</v>
      </c>
      <c r="C38" s="179" t="s">
        <v>1296</v>
      </c>
      <c r="D38" s="239" t="s">
        <v>1226</v>
      </c>
      <c r="E38" s="249" t="s">
        <v>160</v>
      </c>
      <c r="G38" s="247">
        <f t="shared" ref="G38:O38" si="38">G$35*G14</f>
        <v>142.30994152046782</v>
      </c>
      <c r="H38" s="247">
        <f t="shared" si="38"/>
        <v>69712.015989654828</v>
      </c>
      <c r="I38" s="247">
        <f t="shared" si="38"/>
        <v>163789.96250645566</v>
      </c>
      <c r="J38" s="247">
        <f t="shared" si="38"/>
        <v>166075.73140197468</v>
      </c>
      <c r="K38" s="247">
        <f t="shared" si="38"/>
        <v>198278.90796044431</v>
      </c>
      <c r="L38" s="247">
        <f t="shared" si="38"/>
        <v>284515.29103881092</v>
      </c>
      <c r="M38" s="247">
        <f t="shared" si="38"/>
        <v>225129.47350079435</v>
      </c>
      <c r="N38" s="247">
        <f t="shared" si="38"/>
        <v>173104.64292947622</v>
      </c>
      <c r="O38" s="247">
        <f t="shared" si="38"/>
        <v>20577.434990311085</v>
      </c>
      <c r="P38" s="247">
        <f>SUM(G38:O38)</f>
        <v>1301325.7702594425</v>
      </c>
      <c r="Q38" s="248">
        <f>IFERROR(P38/$P$52, "")</f>
        <v>0.51299277979205737</v>
      </c>
      <c r="AD38" s="247">
        <f t="shared" ref="AD38:AL38" si="39">AD$35*AD14</f>
        <v>143.59073099415204</v>
      </c>
      <c r="AE38" s="247">
        <f t="shared" si="39"/>
        <v>70339.424133561712</v>
      </c>
      <c r="AF38" s="247">
        <f t="shared" si="39"/>
        <v>165264.07216901373</v>
      </c>
      <c r="AG38" s="247">
        <f t="shared" si="39"/>
        <v>167570.41298459243</v>
      </c>
      <c r="AH38" s="247">
        <f t="shared" si="39"/>
        <v>200063.41813208829</v>
      </c>
      <c r="AI38" s="247">
        <f t="shared" si="39"/>
        <v>287075.92865816021</v>
      </c>
      <c r="AJ38" s="247">
        <f t="shared" si="39"/>
        <v>227155.63876230145</v>
      </c>
      <c r="AK38" s="247">
        <f t="shared" si="39"/>
        <v>174662.58471584148</v>
      </c>
      <c r="AL38" s="247">
        <f t="shared" si="39"/>
        <v>20762.631905223883</v>
      </c>
      <c r="AM38" s="247">
        <f>SUM(AD38:AL38)</f>
        <v>1313037.7021917775</v>
      </c>
      <c r="AN38" s="248">
        <f t="shared" ref="AN38:AN52" si="40">IFERROR(AM38/$AM$52, "")</f>
        <v>0.51299277979205737</v>
      </c>
      <c r="BA38" s="171" t="s">
        <v>1297</v>
      </c>
    </row>
    <row r="39" spans="1:53" s="171" customFormat="1" ht="15.5">
      <c r="A39" s="175" t="s">
        <v>1298</v>
      </c>
      <c r="B39" s="179" t="s">
        <v>1224</v>
      </c>
      <c r="C39" s="179" t="s">
        <v>1299</v>
      </c>
      <c r="D39" s="239"/>
      <c r="E39" s="244"/>
      <c r="G39" s="247">
        <f t="shared" ref="G39:O39" si="41">G$35*G15</f>
        <v>0</v>
      </c>
      <c r="H39" s="247">
        <f t="shared" si="41"/>
        <v>1742.7915923081503</v>
      </c>
      <c r="I39" s="247">
        <f t="shared" si="41"/>
        <v>2392.8958954892732</v>
      </c>
      <c r="J39" s="247">
        <f t="shared" si="41"/>
        <v>3054.8957766687063</v>
      </c>
      <c r="K39" s="247">
        <f t="shared" si="41"/>
        <v>3276.4047288028505</v>
      </c>
      <c r="L39" s="247">
        <f t="shared" si="41"/>
        <v>4258.5970050718734</v>
      </c>
      <c r="M39" s="247">
        <f t="shared" si="41"/>
        <v>2822.3475632530781</v>
      </c>
      <c r="N39" s="247">
        <f t="shared" si="41"/>
        <v>2259.206216508142</v>
      </c>
      <c r="O39" s="247">
        <f t="shared" si="41"/>
        <v>583.71404708270154</v>
      </c>
      <c r="P39" s="247">
        <f>SUM(G39:O39)</f>
        <v>20390.852825184771</v>
      </c>
      <c r="Q39" s="248">
        <f t="shared" ref="Q39:Q40" si="42">IFERROR(P39/$P$52, "")</f>
        <v>8.0382334017997676E-3</v>
      </c>
      <c r="S39" s="253"/>
      <c r="T39" s="253"/>
      <c r="U39" s="253"/>
      <c r="V39" s="253"/>
      <c r="W39" s="253"/>
      <c r="X39" s="253"/>
      <c r="Y39" s="253"/>
      <c r="Z39" s="253"/>
      <c r="AA39" s="253"/>
      <c r="AB39" s="253"/>
      <c r="AD39" s="247">
        <f t="shared" ref="AD39:AL39" si="43">AD$35*AD15</f>
        <v>0</v>
      </c>
      <c r="AE39" s="247">
        <f t="shared" si="43"/>
        <v>1758.4767166389233</v>
      </c>
      <c r="AF39" s="247">
        <f t="shared" si="43"/>
        <v>2414.4319585486764</v>
      </c>
      <c r="AG39" s="247">
        <f t="shared" si="43"/>
        <v>3082.3898386587248</v>
      </c>
      <c r="AH39" s="247">
        <f t="shared" si="43"/>
        <v>3305.8923713620757</v>
      </c>
      <c r="AI39" s="247">
        <f t="shared" si="43"/>
        <v>4296.9243781175192</v>
      </c>
      <c r="AJ39" s="247">
        <f t="shared" si="43"/>
        <v>2847.7486913223552</v>
      </c>
      <c r="AK39" s="247">
        <f t="shared" si="43"/>
        <v>2279.5390724567151</v>
      </c>
      <c r="AL39" s="247">
        <f t="shared" si="43"/>
        <v>588.9674735064458</v>
      </c>
      <c r="AM39" s="247">
        <f>SUM(AD39:AL39)</f>
        <v>20574.370500611436</v>
      </c>
      <c r="AN39" s="248">
        <f t="shared" si="40"/>
        <v>8.0382334017997693E-3</v>
      </c>
      <c r="AP39" s="253"/>
      <c r="AQ39" s="253"/>
      <c r="AR39" s="253"/>
      <c r="AS39" s="253"/>
      <c r="AT39" s="253"/>
      <c r="AU39" s="253"/>
      <c r="AW39" s="253"/>
      <c r="AX39" s="253"/>
      <c r="AY39" s="253"/>
      <c r="BA39" s="171" t="s">
        <v>1300</v>
      </c>
    </row>
    <row r="40" spans="1:53" s="171" customFormat="1" ht="15.5">
      <c r="A40" s="175" t="s">
        <v>1301</v>
      </c>
      <c r="B40" s="179" t="s">
        <v>1224</v>
      </c>
      <c r="C40" s="179" t="s">
        <v>1235</v>
      </c>
      <c r="D40" s="239"/>
      <c r="E40" s="244"/>
      <c r="G40" s="247">
        <f t="shared" ref="G40:O40" si="44">G$35*G16</f>
        <v>0.46783625730994149</v>
      </c>
      <c r="H40" s="247">
        <f t="shared" si="44"/>
        <v>6086.7951755731046</v>
      </c>
      <c r="I40" s="247">
        <f t="shared" si="44"/>
        <v>6387.7943645124114</v>
      </c>
      <c r="J40" s="247">
        <f t="shared" si="44"/>
        <v>5002.248004910175</v>
      </c>
      <c r="K40" s="247">
        <f t="shared" si="44"/>
        <v>4283.163164519221</v>
      </c>
      <c r="L40" s="247">
        <f t="shared" si="44"/>
        <v>4151.3739588607195</v>
      </c>
      <c r="M40" s="247">
        <f t="shared" si="44"/>
        <v>2296.7109620962942</v>
      </c>
      <c r="N40" s="247">
        <f t="shared" si="44"/>
        <v>1579.4841873489597</v>
      </c>
      <c r="O40" s="247">
        <f t="shared" si="44"/>
        <v>416.8509626062131</v>
      </c>
      <c r="P40" s="247">
        <f t="shared" ref="P40" si="45">SUM(G40:O40)</f>
        <v>30204.888616684409</v>
      </c>
      <c r="Q40" s="248">
        <f t="shared" si="42"/>
        <v>1.1907002941848467E-2</v>
      </c>
      <c r="S40" s="253"/>
      <c r="T40" s="253"/>
      <c r="U40" s="253"/>
      <c r="V40" s="253"/>
      <c r="W40" s="253"/>
      <c r="X40" s="253"/>
      <c r="Y40" s="253"/>
      <c r="Z40" s="253"/>
      <c r="AA40" s="253"/>
      <c r="AB40" s="253"/>
      <c r="AD40" s="247">
        <f t="shared" ref="AD40:AL40" si="46">AD$35*AD16</f>
        <v>0.47204678362573099</v>
      </c>
      <c r="AE40" s="247">
        <f t="shared" si="46"/>
        <v>6141.5763321532622</v>
      </c>
      <c r="AF40" s="247">
        <f t="shared" si="46"/>
        <v>6445.2845137930226</v>
      </c>
      <c r="AG40" s="247">
        <f t="shared" si="46"/>
        <v>5047.2682369543663</v>
      </c>
      <c r="AH40" s="247">
        <f t="shared" si="46"/>
        <v>4321.7116329998935</v>
      </c>
      <c r="AI40" s="247">
        <f t="shared" si="46"/>
        <v>4188.7363244904654</v>
      </c>
      <c r="AJ40" s="247">
        <f t="shared" si="46"/>
        <v>2317.3813607551606</v>
      </c>
      <c r="AK40" s="247">
        <f t="shared" si="46"/>
        <v>1593.6995450351003</v>
      </c>
      <c r="AL40" s="247">
        <f t="shared" si="46"/>
        <v>420.60262126966899</v>
      </c>
      <c r="AM40" s="247">
        <f t="shared" ref="AM40" si="47">SUM(AD40:AL40)</f>
        <v>30476.732614234566</v>
      </c>
      <c r="AN40" s="248">
        <f t="shared" si="40"/>
        <v>1.1907002941848467E-2</v>
      </c>
      <c r="AP40" s="253"/>
      <c r="AQ40" s="253"/>
      <c r="AR40" s="253"/>
      <c r="AS40" s="253"/>
      <c r="AT40" s="253"/>
      <c r="AU40" s="253"/>
      <c r="AV40" s="253"/>
      <c r="AW40" s="253"/>
      <c r="AX40" s="253"/>
      <c r="AY40" s="253"/>
      <c r="BA40" s="171" t="s">
        <v>1302</v>
      </c>
    </row>
    <row r="41" spans="1:53" s="171" customFormat="1" ht="15.5">
      <c r="A41" s="175" t="s">
        <v>1303</v>
      </c>
      <c r="B41" s="179" t="s">
        <v>1224</v>
      </c>
      <c r="C41" s="175" t="s">
        <v>1304</v>
      </c>
      <c r="D41" s="239" t="s">
        <v>1226</v>
      </c>
      <c r="E41" s="249" t="s">
        <v>160</v>
      </c>
      <c r="G41" s="247">
        <f t="shared" ref="G41:O41" si="48">G$35*G17</f>
        <v>23.671023965141615</v>
      </c>
      <c r="H41" s="247">
        <f t="shared" si="48"/>
        <v>21709.609317445582</v>
      </c>
      <c r="I41" s="247">
        <f t="shared" si="48"/>
        <v>22545.467655905173</v>
      </c>
      <c r="J41" s="247">
        <f t="shared" si="48"/>
        <v>13592.914690906215</v>
      </c>
      <c r="K41" s="247">
        <f t="shared" si="48"/>
        <v>8072.1407157865142</v>
      </c>
      <c r="L41" s="247">
        <f t="shared" si="48"/>
        <v>6929.0864290707341</v>
      </c>
      <c r="M41" s="247">
        <f t="shared" si="48"/>
        <v>3117.8051226866073</v>
      </c>
      <c r="N41" s="247">
        <f t="shared" si="48"/>
        <v>1373.1341235668863</v>
      </c>
      <c r="O41" s="247">
        <f t="shared" si="48"/>
        <v>67</v>
      </c>
      <c r="P41" s="247">
        <f t="shared" ref="P41:P43" si="49">SUM(G41:O41)</f>
        <v>77430.829079332849</v>
      </c>
      <c r="Q41" s="248">
        <f t="shared" ref="Q41:Q52" si="50">IFERROR(P41/$P$52, "")</f>
        <v>3.0523837427035235E-2</v>
      </c>
      <c r="AD41" s="247">
        <f t="shared" ref="AD41:AL41" si="51">AD$35*AD17</f>
        <v>23.884063180827887</v>
      </c>
      <c r="AE41" s="247">
        <f t="shared" si="51"/>
        <v>21904.995801302593</v>
      </c>
      <c r="AF41" s="247">
        <f t="shared" si="51"/>
        <v>22748.376864808317</v>
      </c>
      <c r="AG41" s="247">
        <f t="shared" si="51"/>
        <v>13715.250923124369</v>
      </c>
      <c r="AH41" s="247">
        <f t="shared" si="51"/>
        <v>8144.7899822285917</v>
      </c>
      <c r="AI41" s="247">
        <f t="shared" si="51"/>
        <v>6991.4482069323703</v>
      </c>
      <c r="AJ41" s="247">
        <f t="shared" si="51"/>
        <v>3145.8653687907868</v>
      </c>
      <c r="AK41" s="247">
        <f t="shared" si="51"/>
        <v>1385.4923306789881</v>
      </c>
      <c r="AL41" s="247">
        <f t="shared" si="51"/>
        <v>67.602999999999994</v>
      </c>
      <c r="AM41" s="247">
        <f t="shared" ref="AM41:AM43" si="52">SUM(AD41:AL41)</f>
        <v>78127.706541046849</v>
      </c>
      <c r="AN41" s="248">
        <f t="shared" si="40"/>
        <v>3.0523837427035239E-2</v>
      </c>
      <c r="BA41" s="171" t="s">
        <v>1305</v>
      </c>
    </row>
    <row r="42" spans="1:53" s="171" customFormat="1" ht="15.5">
      <c r="A42" s="175" t="s">
        <v>1306</v>
      </c>
      <c r="B42" s="179" t="s">
        <v>1224</v>
      </c>
      <c r="C42" s="175" t="s">
        <v>1307</v>
      </c>
      <c r="D42" s="239" t="s">
        <v>1226</v>
      </c>
      <c r="E42" s="249" t="s">
        <v>160</v>
      </c>
      <c r="G42" s="247">
        <f t="shared" ref="G42:O42" si="53">G$35*G18</f>
        <v>47.66914207191985</v>
      </c>
      <c r="H42" s="247">
        <f t="shared" si="53"/>
        <v>29491.221566518143</v>
      </c>
      <c r="I42" s="247">
        <f t="shared" si="53"/>
        <v>29198.088609923107</v>
      </c>
      <c r="J42" s="247">
        <f t="shared" si="53"/>
        <v>17782.571593063745</v>
      </c>
      <c r="K42" s="247">
        <f t="shared" si="53"/>
        <v>9158.3300431410298</v>
      </c>
      <c r="L42" s="247">
        <f t="shared" si="53"/>
        <v>4926.515493921801</v>
      </c>
      <c r="M42" s="247">
        <f t="shared" si="53"/>
        <v>1869.627013508662</v>
      </c>
      <c r="N42" s="247">
        <f t="shared" si="53"/>
        <v>800.13116652091287</v>
      </c>
      <c r="O42" s="247">
        <f t="shared" si="53"/>
        <v>59.777777777777779</v>
      </c>
      <c r="P42" s="247">
        <f t="shared" si="49"/>
        <v>93333.932406447115</v>
      </c>
      <c r="Q42" s="248">
        <f t="shared" si="50"/>
        <v>3.6792964934953709E-2</v>
      </c>
      <c r="AD42" s="247">
        <f t="shared" ref="AD42:AL42" si="54">AD$35*AD18</f>
        <v>48.098164350567124</v>
      </c>
      <c r="AE42" s="247">
        <f t="shared" si="54"/>
        <v>29756.642560616805</v>
      </c>
      <c r="AF42" s="247">
        <f t="shared" si="54"/>
        <v>29460.871407412407</v>
      </c>
      <c r="AG42" s="247">
        <f t="shared" si="54"/>
        <v>17942.614737401316</v>
      </c>
      <c r="AH42" s="247">
        <f t="shared" si="54"/>
        <v>9240.7550135292986</v>
      </c>
      <c r="AI42" s="247">
        <f t="shared" si="54"/>
        <v>4970.8541333670964</v>
      </c>
      <c r="AJ42" s="247">
        <f t="shared" si="54"/>
        <v>1886.4536566302397</v>
      </c>
      <c r="AK42" s="247">
        <f t="shared" si="54"/>
        <v>807.33234701960089</v>
      </c>
      <c r="AL42" s="247">
        <f t="shared" si="54"/>
        <v>60.315777777777775</v>
      </c>
      <c r="AM42" s="247">
        <f t="shared" si="52"/>
        <v>94173.937798105122</v>
      </c>
      <c r="AN42" s="248">
        <f t="shared" si="40"/>
        <v>3.6792964934953702E-2</v>
      </c>
      <c r="BA42" s="171" t="s">
        <v>1308</v>
      </c>
    </row>
    <row r="43" spans="1:53" s="171" customFormat="1" ht="15.5">
      <c r="A43" s="175" t="s">
        <v>1309</v>
      </c>
      <c r="B43" s="175" t="s">
        <v>1244</v>
      </c>
      <c r="C43" s="175" t="s">
        <v>1266</v>
      </c>
      <c r="D43" s="239" t="s">
        <v>1226</v>
      </c>
      <c r="E43" s="249" t="s">
        <v>160</v>
      </c>
      <c r="G43" s="247">
        <f t="shared" ref="G43:O43" si="55">G$35*G19</f>
        <v>74.444444444444443</v>
      </c>
      <c r="H43" s="247">
        <f t="shared" si="55"/>
        <v>98924.666666666657</v>
      </c>
      <c r="I43" s="247">
        <f t="shared" si="55"/>
        <v>138047</v>
      </c>
      <c r="J43" s="247">
        <f t="shared" si="55"/>
        <v>111668.44444444444</v>
      </c>
      <c r="K43" s="247">
        <f t="shared" si="55"/>
        <v>100821</v>
      </c>
      <c r="L43" s="247">
        <f t="shared" si="55"/>
        <v>98923.000000000015</v>
      </c>
      <c r="M43" s="247">
        <f t="shared" si="55"/>
        <v>53444.444444444445</v>
      </c>
      <c r="N43" s="247">
        <f t="shared" si="55"/>
        <v>32421.666666666668</v>
      </c>
      <c r="O43" s="247">
        <f t="shared" si="55"/>
        <v>2866</v>
      </c>
      <c r="P43" s="247">
        <f t="shared" si="49"/>
        <v>637190.66666666663</v>
      </c>
      <c r="Q43" s="248">
        <f t="shared" si="50"/>
        <v>0.25118553618262651</v>
      </c>
      <c r="AD43" s="247">
        <f t="shared" ref="AD43:AL43" si="56">AD$35*AD19</f>
        <v>75.114444444444445</v>
      </c>
      <c r="AE43" s="247">
        <f t="shared" si="56"/>
        <v>99814.988666666643</v>
      </c>
      <c r="AF43" s="247">
        <f t="shared" si="56"/>
        <v>139289.42299999998</v>
      </c>
      <c r="AG43" s="247">
        <f t="shared" si="56"/>
        <v>112673.46044444443</v>
      </c>
      <c r="AH43" s="247">
        <f t="shared" si="56"/>
        <v>101728.389</v>
      </c>
      <c r="AI43" s="247">
        <f t="shared" si="56"/>
        <v>99813.307000000001</v>
      </c>
      <c r="AJ43" s="247">
        <f t="shared" si="56"/>
        <v>53925.444444444431</v>
      </c>
      <c r="AK43" s="247">
        <f t="shared" si="56"/>
        <v>32713.461666666662</v>
      </c>
      <c r="AL43" s="247">
        <f t="shared" si="56"/>
        <v>2891.7939999999999</v>
      </c>
      <c r="AM43" s="247">
        <f t="shared" si="52"/>
        <v>642925.38266666653</v>
      </c>
      <c r="AN43" s="248">
        <f t="shared" si="40"/>
        <v>0.25118553618262651</v>
      </c>
      <c r="BA43" s="171" t="s">
        <v>1310</v>
      </c>
    </row>
    <row r="44" spans="1:53" s="171" customFormat="1" ht="15.5">
      <c r="A44" s="175" t="s">
        <v>1311</v>
      </c>
      <c r="B44" s="175" t="s">
        <v>1244</v>
      </c>
      <c r="C44" s="175" t="s">
        <v>1312</v>
      </c>
      <c r="D44" s="239" t="s">
        <v>1226</v>
      </c>
      <c r="E44" s="249" t="s">
        <v>160</v>
      </c>
      <c r="G44" s="247">
        <f t="shared" ref="G44:O44" si="57">G$35*G22</f>
        <v>5.1000413003128431</v>
      </c>
      <c r="H44" s="247">
        <f t="shared" si="57"/>
        <v>7140.0582860005652</v>
      </c>
      <c r="I44" s="247">
        <f t="shared" si="57"/>
        <v>6360.9324281950394</v>
      </c>
      <c r="J44" s="247">
        <f t="shared" si="57"/>
        <v>3627.2577545590666</v>
      </c>
      <c r="K44" s="247">
        <f t="shared" si="57"/>
        <v>1929.0139769918242</v>
      </c>
      <c r="L44" s="247">
        <f t="shared" si="57"/>
        <v>1215.8922088129079</v>
      </c>
      <c r="M44" s="247">
        <f t="shared" si="57"/>
        <v>475.83697653669628</v>
      </c>
      <c r="N44" s="247">
        <f t="shared" si="57"/>
        <v>140.37186582217811</v>
      </c>
      <c r="O44" s="247">
        <f t="shared" si="57"/>
        <v>3.2348968472725224</v>
      </c>
      <c r="P44" s="247">
        <f>SUM(G44:O44)</f>
        <v>20897.69843506586</v>
      </c>
      <c r="Q44" s="248">
        <f t="shared" si="50"/>
        <v>8.2380358988228333E-3</v>
      </c>
      <c r="AD44" s="247">
        <f t="shared" ref="AD44:AL44" si="58">AD$35*AD22</f>
        <v>5.1459416720156588</v>
      </c>
      <c r="AE44" s="247">
        <f t="shared" si="58"/>
        <v>7204.3188105745694</v>
      </c>
      <c r="AF44" s="247">
        <f t="shared" si="58"/>
        <v>6418.180820048794</v>
      </c>
      <c r="AG44" s="247">
        <f t="shared" si="58"/>
        <v>3659.903074350098</v>
      </c>
      <c r="AH44" s="247">
        <f t="shared" si="58"/>
        <v>1946.3751027847504</v>
      </c>
      <c r="AI44" s="247">
        <f t="shared" si="58"/>
        <v>1226.835238692224</v>
      </c>
      <c r="AJ44" s="247">
        <f t="shared" si="58"/>
        <v>480.11950932552651</v>
      </c>
      <c r="AK44" s="247">
        <f t="shared" si="58"/>
        <v>141.63521261457771</v>
      </c>
      <c r="AL44" s="247">
        <f t="shared" si="58"/>
        <v>3.2640109188979749</v>
      </c>
      <c r="AM44" s="247">
        <f>SUM(AD44:AL44)</f>
        <v>21085.777720981456</v>
      </c>
      <c r="AN44" s="248">
        <f t="shared" si="40"/>
        <v>8.2380358988228351E-3</v>
      </c>
      <c r="BA44" s="171" t="s">
        <v>1313</v>
      </c>
    </row>
    <row r="45" spans="1:53" s="171" customFormat="1" ht="15.5">
      <c r="A45" s="175" t="s">
        <v>1314</v>
      </c>
      <c r="B45" s="175" t="s">
        <v>1244</v>
      </c>
      <c r="C45" s="175" t="s">
        <v>1315</v>
      </c>
      <c r="D45" s="239" t="s">
        <v>1226</v>
      </c>
      <c r="E45" s="249" t="s">
        <v>160</v>
      </c>
      <c r="G45" s="247">
        <f t="shared" ref="G45:O45" si="59">G$35*G23</f>
        <v>5.1178236234344334</v>
      </c>
      <c r="H45" s="247">
        <f t="shared" si="59"/>
        <v>10072.829929667852</v>
      </c>
      <c r="I45" s="247">
        <f t="shared" si="59"/>
        <v>9551.8839507146185</v>
      </c>
      <c r="J45" s="247">
        <f t="shared" si="59"/>
        <v>5638.2528211068602</v>
      </c>
      <c r="K45" s="247">
        <f t="shared" si="59"/>
        <v>2839.4375884876918</v>
      </c>
      <c r="L45" s="247">
        <f t="shared" si="59"/>
        <v>2576.1381704427095</v>
      </c>
      <c r="M45" s="247">
        <f t="shared" si="59"/>
        <v>905.32368277973319</v>
      </c>
      <c r="N45" s="247">
        <f t="shared" si="59"/>
        <v>257.90944270970084</v>
      </c>
      <c r="O45" s="247">
        <f t="shared" si="59"/>
        <v>9.7651031527274768</v>
      </c>
      <c r="P45" s="247">
        <f t="shared" ref="P45:P49" si="60">SUM(G45:O45)</f>
        <v>31856.658512685328</v>
      </c>
      <c r="Q45" s="248">
        <f t="shared" si="50"/>
        <v>1.2558143532384391E-2</v>
      </c>
      <c r="AD45" s="247">
        <f t="shared" ref="AD45:AL45" si="61">AD$35*AD23</f>
        <v>5.1638840360453431</v>
      </c>
      <c r="AE45" s="247">
        <f t="shared" si="61"/>
        <v>10163.485399034864</v>
      </c>
      <c r="AF45" s="247">
        <f t="shared" si="61"/>
        <v>9637.8509062710491</v>
      </c>
      <c r="AG45" s="247">
        <f t="shared" si="61"/>
        <v>5688.9970964968215</v>
      </c>
      <c r="AH45" s="247">
        <f t="shared" si="61"/>
        <v>2864.9925267840808</v>
      </c>
      <c r="AI45" s="247">
        <f t="shared" si="61"/>
        <v>2599.3234139766937</v>
      </c>
      <c r="AJ45" s="247">
        <f t="shared" si="61"/>
        <v>913.47159592475066</v>
      </c>
      <c r="AK45" s="247">
        <f t="shared" si="61"/>
        <v>260.23062769408813</v>
      </c>
      <c r="AL45" s="247">
        <f t="shared" si="61"/>
        <v>9.8529890811020238</v>
      </c>
      <c r="AM45" s="247">
        <f t="shared" ref="AM45" si="62">SUM(AD45:AL45)</f>
        <v>32143.368439299491</v>
      </c>
      <c r="AN45" s="248">
        <f t="shared" si="40"/>
        <v>1.2558143532384391E-2</v>
      </c>
      <c r="BA45" s="171" t="s">
        <v>1316</v>
      </c>
    </row>
    <row r="46" spans="1:53" s="171" customFormat="1" ht="15.5">
      <c r="A46" s="175" t="s">
        <v>1317</v>
      </c>
      <c r="B46" s="175" t="s">
        <v>1244</v>
      </c>
      <c r="C46" s="175" t="s">
        <v>1262</v>
      </c>
      <c r="D46" s="239" t="s">
        <v>1226</v>
      </c>
      <c r="E46" s="249" t="s">
        <v>160</v>
      </c>
      <c r="G46" s="247">
        <f t="shared" ref="G46:O46" si="63">G$35*G24</f>
        <v>86.775302372524578</v>
      </c>
      <c r="H46" s="247">
        <f t="shared" si="63"/>
        <v>78718.011476165091</v>
      </c>
      <c r="I46" s="247">
        <f t="shared" si="63"/>
        <v>59754.863477693616</v>
      </c>
      <c r="J46" s="247">
        <f t="shared" si="63"/>
        <v>30321.239067921619</v>
      </c>
      <c r="K46" s="247">
        <f t="shared" si="63"/>
        <v>12242.601821826564</v>
      </c>
      <c r="L46" s="247">
        <f t="shared" si="63"/>
        <v>5646.9945838972544</v>
      </c>
      <c r="M46" s="247">
        <f t="shared" si="63"/>
        <v>1629.5418450111772</v>
      </c>
      <c r="N46" s="247">
        <f t="shared" si="63"/>
        <v>566.78673471365516</v>
      </c>
      <c r="O46" s="247">
        <f t="shared" si="63"/>
        <v>28.222222222222221</v>
      </c>
      <c r="P46" s="247">
        <f>SUM(G46:O46)</f>
        <v>188995.03653182372</v>
      </c>
      <c r="Q46" s="248">
        <f t="shared" si="50"/>
        <v>7.4503319132788987E-2</v>
      </c>
      <c r="AD46" s="247">
        <f t="shared" ref="AD46:AL46" si="64">AD$35*AD24</f>
        <v>87.556280093877305</v>
      </c>
      <c r="AE46" s="247">
        <f t="shared" si="64"/>
        <v>79426.473579450569</v>
      </c>
      <c r="AF46" s="247">
        <f t="shared" si="64"/>
        <v>60292.657248992851</v>
      </c>
      <c r="AG46" s="247">
        <f t="shared" si="64"/>
        <v>30594.130219532912</v>
      </c>
      <c r="AH46" s="247">
        <f t="shared" si="64"/>
        <v>12352.785238223001</v>
      </c>
      <c r="AI46" s="247">
        <f t="shared" si="64"/>
        <v>5697.8175351523287</v>
      </c>
      <c r="AJ46" s="247">
        <f t="shared" si="64"/>
        <v>1644.2077216162777</v>
      </c>
      <c r="AK46" s="247">
        <f t="shared" si="64"/>
        <v>571.887815326078</v>
      </c>
      <c r="AL46" s="247">
        <f t="shared" si="64"/>
        <v>28.476222222222219</v>
      </c>
      <c r="AM46" s="247">
        <f>SUM(AD46:AL46)</f>
        <v>190695.99186061014</v>
      </c>
      <c r="AN46" s="248">
        <f t="shared" si="40"/>
        <v>7.4503319132788987E-2</v>
      </c>
      <c r="BA46" s="171" t="s">
        <v>1318</v>
      </c>
    </row>
    <row r="47" spans="1:53" s="171" customFormat="1" ht="15.5">
      <c r="A47" s="175" t="s">
        <v>1319</v>
      </c>
      <c r="B47" s="175" t="s">
        <v>1265</v>
      </c>
      <c r="C47" s="175" t="s">
        <v>1266</v>
      </c>
      <c r="D47" s="239" t="s">
        <v>1226</v>
      </c>
      <c r="E47" s="249" t="s">
        <v>160</v>
      </c>
      <c r="G47" s="247">
        <f t="shared" ref="G47:O47" si="65">G$35*G25</f>
        <v>0.55555555555555558</v>
      </c>
      <c r="H47" s="247">
        <f t="shared" si="65"/>
        <v>659.33333333333326</v>
      </c>
      <c r="I47" s="247">
        <f t="shared" si="65"/>
        <v>463.55555555555554</v>
      </c>
      <c r="J47" s="247">
        <f t="shared" si="65"/>
        <v>389.33333333333331</v>
      </c>
      <c r="K47" s="247">
        <f t="shared" si="65"/>
        <v>324</v>
      </c>
      <c r="L47" s="247">
        <f t="shared" si="65"/>
        <v>326.33333333333337</v>
      </c>
      <c r="M47" s="247">
        <f t="shared" si="65"/>
        <v>192.11111111111111</v>
      </c>
      <c r="N47" s="247">
        <f t="shared" si="65"/>
        <v>96.666666666666671</v>
      </c>
      <c r="O47" s="247">
        <f t="shared" si="65"/>
        <v>24</v>
      </c>
      <c r="P47" s="247">
        <f t="shared" si="60"/>
        <v>2475.8888888888887</v>
      </c>
      <c r="Q47" s="248">
        <f t="shared" si="50"/>
        <v>9.7601473250941585E-4</v>
      </c>
      <c r="AD47" s="247">
        <f t="shared" ref="AD47:AL47" si="66">AD$35*AD25</f>
        <v>0.56055555555555547</v>
      </c>
      <c r="AE47" s="247">
        <f t="shared" si="66"/>
        <v>665.26733333333323</v>
      </c>
      <c r="AF47" s="247">
        <f t="shared" si="66"/>
        <v>467.72755555555551</v>
      </c>
      <c r="AG47" s="247">
        <f t="shared" si="66"/>
        <v>392.83733333333328</v>
      </c>
      <c r="AH47" s="247">
        <f t="shared" si="66"/>
        <v>326.91599999999994</v>
      </c>
      <c r="AI47" s="247">
        <f t="shared" si="66"/>
        <v>329.27033333333333</v>
      </c>
      <c r="AJ47" s="247">
        <f t="shared" si="66"/>
        <v>193.84011111111107</v>
      </c>
      <c r="AK47" s="247">
        <f t="shared" si="66"/>
        <v>97.536666666666662</v>
      </c>
      <c r="AL47" s="247">
        <f t="shared" si="66"/>
        <v>24.215999999999998</v>
      </c>
      <c r="AM47" s="247">
        <f t="shared" ref="AM47:AM49" si="67">SUM(AD47:AL47)</f>
        <v>2498.1718888888886</v>
      </c>
      <c r="AN47" s="248">
        <f t="shared" si="40"/>
        <v>9.7601473250941585E-4</v>
      </c>
      <c r="BA47" s="171" t="s">
        <v>1320</v>
      </c>
    </row>
    <row r="48" spans="1:53" s="171" customFormat="1" ht="15.5">
      <c r="A48" s="175" t="s">
        <v>1321</v>
      </c>
      <c r="B48" s="175" t="s">
        <v>1265</v>
      </c>
      <c r="C48" s="175" t="s">
        <v>1269</v>
      </c>
      <c r="D48" s="239" t="s">
        <v>1226</v>
      </c>
      <c r="E48" s="249" t="s">
        <v>160</v>
      </c>
      <c r="G48" s="247">
        <f t="shared" ref="G48:O48" si="68">G$35*G26</f>
        <v>0</v>
      </c>
      <c r="H48" s="247">
        <f t="shared" si="68"/>
        <v>7.333333333333333</v>
      </c>
      <c r="I48" s="247">
        <f t="shared" si="68"/>
        <v>13.222222222222223</v>
      </c>
      <c r="J48" s="247">
        <f t="shared" si="68"/>
        <v>8</v>
      </c>
      <c r="K48" s="247">
        <f t="shared" si="68"/>
        <v>7</v>
      </c>
      <c r="L48" s="247">
        <f t="shared" si="68"/>
        <v>7.3333333333333339</v>
      </c>
      <c r="M48" s="247">
        <f t="shared" si="68"/>
        <v>4.333333333333333</v>
      </c>
      <c r="N48" s="247">
        <f t="shared" si="68"/>
        <v>0</v>
      </c>
      <c r="O48" s="247">
        <f t="shared" si="68"/>
        <v>0</v>
      </c>
      <c r="P48" s="247">
        <f t="shared" si="60"/>
        <v>47.222222222222229</v>
      </c>
      <c r="Q48" s="248">
        <f t="shared" si="50"/>
        <v>1.8615368725777579E-5</v>
      </c>
      <c r="AD48" s="247">
        <f t="shared" ref="AD48:AL48" si="69">AD$35*AD26</f>
        <v>0</v>
      </c>
      <c r="AE48" s="247">
        <f t="shared" si="69"/>
        <v>7.399333333333332</v>
      </c>
      <c r="AF48" s="247">
        <f t="shared" si="69"/>
        <v>13.341222222222221</v>
      </c>
      <c r="AG48" s="247">
        <f t="shared" si="69"/>
        <v>8.0719999999999992</v>
      </c>
      <c r="AH48" s="247">
        <f t="shared" si="69"/>
        <v>7.0629999999999988</v>
      </c>
      <c r="AI48" s="247">
        <f t="shared" si="69"/>
        <v>7.3993333333333329</v>
      </c>
      <c r="AJ48" s="247">
        <f t="shared" si="69"/>
        <v>4.3723333333333327</v>
      </c>
      <c r="AK48" s="247">
        <f t="shared" si="69"/>
        <v>0</v>
      </c>
      <c r="AL48" s="247">
        <f t="shared" si="69"/>
        <v>0</v>
      </c>
      <c r="AM48" s="247">
        <f t="shared" si="67"/>
        <v>47.647222222222211</v>
      </c>
      <c r="AN48" s="248">
        <f t="shared" si="40"/>
        <v>1.8615368725777576E-5</v>
      </c>
      <c r="BA48" s="171" t="s">
        <v>1322</v>
      </c>
    </row>
    <row r="49" spans="1:53" s="171" customFormat="1" ht="15.5">
      <c r="A49" s="175" t="s">
        <v>1323</v>
      </c>
      <c r="B49" s="175" t="s">
        <v>1265</v>
      </c>
      <c r="C49" s="175" t="s">
        <v>1272</v>
      </c>
      <c r="D49" s="239" t="s">
        <v>1226</v>
      </c>
      <c r="E49" s="249" t="s">
        <v>160</v>
      </c>
      <c r="G49" s="247">
        <f t="shared" ref="G49:O49" si="70">G$35*G27</f>
        <v>0</v>
      </c>
      <c r="H49" s="247">
        <f t="shared" si="70"/>
        <v>12</v>
      </c>
      <c r="I49" s="247">
        <f t="shared" si="70"/>
        <v>44.333333333333336</v>
      </c>
      <c r="J49" s="247">
        <f t="shared" si="70"/>
        <v>35.555555555555557</v>
      </c>
      <c r="K49" s="247">
        <f t="shared" si="70"/>
        <v>30</v>
      </c>
      <c r="L49" s="247">
        <f t="shared" si="70"/>
        <v>19.555555555555557</v>
      </c>
      <c r="M49" s="247">
        <f t="shared" si="70"/>
        <v>10.111111111111111</v>
      </c>
      <c r="N49" s="247">
        <f t="shared" si="70"/>
        <v>0</v>
      </c>
      <c r="O49" s="247">
        <f t="shared" si="70"/>
        <v>0</v>
      </c>
      <c r="P49" s="247">
        <f t="shared" si="60"/>
        <v>151.55555555555557</v>
      </c>
      <c r="Q49" s="248">
        <f t="shared" si="50"/>
        <v>5.9744383392848511E-5</v>
      </c>
      <c r="AD49" s="247">
        <f t="shared" ref="AD49:AL49" si="71">AD$35*AD27</f>
        <v>0</v>
      </c>
      <c r="AE49" s="247">
        <f t="shared" si="71"/>
        <v>12.107999999999999</v>
      </c>
      <c r="AF49" s="247">
        <f t="shared" si="71"/>
        <v>44.73233333333333</v>
      </c>
      <c r="AG49" s="247">
        <f t="shared" si="71"/>
        <v>35.87555555555555</v>
      </c>
      <c r="AH49" s="247">
        <f t="shared" si="71"/>
        <v>30.269999999999996</v>
      </c>
      <c r="AI49" s="247">
        <f t="shared" si="71"/>
        <v>19.731555555555556</v>
      </c>
      <c r="AJ49" s="247">
        <f t="shared" si="71"/>
        <v>10.20211111111111</v>
      </c>
      <c r="AK49" s="247">
        <f t="shared" si="71"/>
        <v>0</v>
      </c>
      <c r="AL49" s="247">
        <f t="shared" si="71"/>
        <v>0</v>
      </c>
      <c r="AM49" s="247">
        <f t="shared" si="67"/>
        <v>152.91955555555555</v>
      </c>
      <c r="AN49" s="248">
        <f t="shared" si="40"/>
        <v>5.9744383392848511E-5</v>
      </c>
      <c r="BA49" s="171" t="s">
        <v>1324</v>
      </c>
    </row>
    <row r="50" spans="1:53" s="171" customFormat="1" ht="15.5">
      <c r="A50" s="175" t="s">
        <v>1325</v>
      </c>
      <c r="B50" s="175" t="s">
        <v>1275</v>
      </c>
      <c r="C50" s="175" t="s">
        <v>1276</v>
      </c>
      <c r="D50" s="239" t="s">
        <v>1226</v>
      </c>
      <c r="E50" s="249" t="s">
        <v>160</v>
      </c>
      <c r="G50" s="247">
        <f t="shared" ref="G50:O50" si="72">G$35*G28</f>
        <v>2.087330860750408</v>
      </c>
      <c r="H50" s="247">
        <f t="shared" si="72"/>
        <v>23345.874893060878</v>
      </c>
      <c r="I50" s="247">
        <f t="shared" si="72"/>
        <v>15931.87290714767</v>
      </c>
      <c r="J50" s="247">
        <f t="shared" si="72"/>
        <v>12477.196443062168</v>
      </c>
      <c r="K50" s="247">
        <f t="shared" si="72"/>
        <v>11270.552863558731</v>
      </c>
      <c r="L50" s="247">
        <f t="shared" si="72"/>
        <v>12862.262168719768</v>
      </c>
      <c r="M50" s="247">
        <f t="shared" si="72"/>
        <v>6246.2716295430046</v>
      </c>
      <c r="N50" s="247">
        <f t="shared" si="72"/>
        <v>3150.0540230700162</v>
      </c>
      <c r="O50" s="247">
        <f t="shared" si="72"/>
        <v>763.04360068112726</v>
      </c>
      <c r="P50" s="247">
        <f>SUM(G50:O50)</f>
        <v>86049.215859704098</v>
      </c>
      <c r="Q50" s="248">
        <f t="shared" si="50"/>
        <v>3.3921272790898294E-2</v>
      </c>
      <c r="AD50" s="247">
        <f t="shared" ref="AD50:AL50" si="73">AD$35*AD28</f>
        <v>2.1061168384971616</v>
      </c>
      <c r="AE50" s="247">
        <f t="shared" si="73"/>
        <v>23555.987767098428</v>
      </c>
      <c r="AF50" s="247">
        <f t="shared" si="73"/>
        <v>16075.259763311999</v>
      </c>
      <c r="AG50" s="247">
        <f t="shared" si="73"/>
        <v>12589.491211049726</v>
      </c>
      <c r="AH50" s="247">
        <f t="shared" si="73"/>
        <v>11371.987839330757</v>
      </c>
      <c r="AI50" s="247">
        <f t="shared" si="73"/>
        <v>12978.022528238245</v>
      </c>
      <c r="AJ50" s="247">
        <f t="shared" si="73"/>
        <v>6302.4880742088908</v>
      </c>
      <c r="AK50" s="247">
        <f t="shared" si="73"/>
        <v>3178.404509277646</v>
      </c>
      <c r="AL50" s="247">
        <f t="shared" si="73"/>
        <v>769.91099308725734</v>
      </c>
      <c r="AM50" s="247">
        <f>SUM(AD50:AL50)</f>
        <v>86823.658802441438</v>
      </c>
      <c r="AN50" s="248">
        <f t="shared" si="40"/>
        <v>3.3921272790898301E-2</v>
      </c>
      <c r="BA50" s="171" t="s">
        <v>1326</v>
      </c>
    </row>
    <row r="51" spans="1:53" s="171" customFormat="1" ht="15.5">
      <c r="A51" s="175" t="s">
        <v>1327</v>
      </c>
      <c r="B51" s="175" t="s">
        <v>1279</v>
      </c>
      <c r="C51" s="175" t="s">
        <v>1279</v>
      </c>
      <c r="D51" s="239" t="s">
        <v>1226</v>
      </c>
      <c r="E51" s="249" t="s">
        <v>160</v>
      </c>
      <c r="G51" s="247">
        <f t="shared" ref="G51:O51" si="74">G$35*G29</f>
        <v>2.3571135836940362</v>
      </c>
      <c r="H51" s="247">
        <f t="shared" si="74"/>
        <v>13772.125106939124</v>
      </c>
      <c r="I51" s="247">
        <f t="shared" si="74"/>
        <v>9772.904870630111</v>
      </c>
      <c r="J51" s="247">
        <f t="shared" si="74"/>
        <v>6713.9146680489403</v>
      </c>
      <c r="K51" s="247">
        <f t="shared" si="74"/>
        <v>5457.4471364412684</v>
      </c>
      <c r="L51" s="247">
        <f t="shared" si="74"/>
        <v>5684.960053502452</v>
      </c>
      <c r="M51" s="247">
        <f t="shared" si="74"/>
        <v>2891.283926012552</v>
      </c>
      <c r="N51" s="247">
        <f t="shared" si="74"/>
        <v>1694.9459769299835</v>
      </c>
      <c r="O51" s="247">
        <f t="shared" si="74"/>
        <v>392.9563993188728</v>
      </c>
      <c r="P51" s="247">
        <f t="shared" ref="P51" si="75">SUM(G51:O51)</f>
        <v>46382.895251407004</v>
      </c>
      <c r="Q51" s="248">
        <f t="shared" si="50"/>
        <v>1.8284499480156549E-2</v>
      </c>
      <c r="AD51" s="247">
        <f t="shared" ref="AD51:AL51" si="76">AD$35*AD29</f>
        <v>2.3783276059472822</v>
      </c>
      <c r="AE51" s="247">
        <f t="shared" si="76"/>
        <v>13896.074232901574</v>
      </c>
      <c r="AF51" s="247">
        <f t="shared" si="76"/>
        <v>9860.8610144657814</v>
      </c>
      <c r="AG51" s="247">
        <f t="shared" si="76"/>
        <v>6774.3399000613799</v>
      </c>
      <c r="AH51" s="247">
        <f t="shared" si="76"/>
        <v>5506.5641606692388</v>
      </c>
      <c r="AI51" s="247">
        <f t="shared" si="76"/>
        <v>5736.124693983973</v>
      </c>
      <c r="AJ51" s="247">
        <f t="shared" si="76"/>
        <v>2917.3054813466647</v>
      </c>
      <c r="AK51" s="247">
        <f t="shared" si="76"/>
        <v>1710.2004907223534</v>
      </c>
      <c r="AL51" s="247">
        <f t="shared" si="76"/>
        <v>396.4930069127426</v>
      </c>
      <c r="AM51" s="247">
        <f t="shared" ref="AM51" si="77">SUM(AD51:AL51)</f>
        <v>46800.341308669653</v>
      </c>
      <c r="AN51" s="248">
        <f t="shared" si="40"/>
        <v>1.8284499480156546E-2</v>
      </c>
      <c r="BA51" s="171" t="s">
        <v>1328</v>
      </c>
    </row>
    <row r="52" spans="1:53" s="171" customFormat="1" ht="15.5">
      <c r="A52" s="175" t="s">
        <v>1329</v>
      </c>
      <c r="B52" s="175"/>
      <c r="C52" s="175" t="s">
        <v>1283</v>
      </c>
      <c r="D52" s="239" t="s">
        <v>1226</v>
      </c>
      <c r="E52" s="249" t="s">
        <v>160</v>
      </c>
      <c r="G52" s="247">
        <f t="shared" ref="G52:P52" si="78">SUM(G38:G51)</f>
        <v>390.55555555555554</v>
      </c>
      <c r="H52" s="247">
        <f t="shared" si="78"/>
        <v>361394.66666666663</v>
      </c>
      <c r="I52" s="247">
        <f t="shared" si="78"/>
        <v>464254.77777777781</v>
      </c>
      <c r="J52" s="247">
        <f t="shared" si="78"/>
        <v>376387.5555555555</v>
      </c>
      <c r="K52" s="247">
        <f t="shared" si="78"/>
        <v>357990</v>
      </c>
      <c r="L52" s="247">
        <f t="shared" si="78"/>
        <v>432043.33333333337</v>
      </c>
      <c r="M52" s="247">
        <f t="shared" si="78"/>
        <v>301035.22222222219</v>
      </c>
      <c r="N52" s="247">
        <f t="shared" si="78"/>
        <v>217444.99999999994</v>
      </c>
      <c r="O52" s="247">
        <f>SUM(O38:O51)</f>
        <v>25791.999999999996</v>
      </c>
      <c r="P52" s="247">
        <f t="shared" si="78"/>
        <v>2536733.1111111105</v>
      </c>
      <c r="Q52" s="248">
        <f t="shared" si="50"/>
        <v>1</v>
      </c>
      <c r="AD52" s="247">
        <f t="shared" ref="AD52:AM52" si="79">SUM(AD38:AD51)</f>
        <v>394.07055555555547</v>
      </c>
      <c r="AE52" s="247">
        <f t="shared" si="79"/>
        <v>364647.21866666654</v>
      </c>
      <c r="AF52" s="247">
        <f t="shared" si="79"/>
        <v>468433.0707777777</v>
      </c>
      <c r="AG52" s="247">
        <f t="shared" si="79"/>
        <v>379775.04355555546</v>
      </c>
      <c r="AH52" s="247">
        <f t="shared" si="79"/>
        <v>361211.91</v>
      </c>
      <c r="AI52" s="247">
        <f t="shared" si="79"/>
        <v>435931.72333333327</v>
      </c>
      <c r="AJ52" s="247">
        <f t="shared" si="79"/>
        <v>303744.53922222217</v>
      </c>
      <c r="AK52" s="247">
        <f t="shared" si="79"/>
        <v>219402.00499999995</v>
      </c>
      <c r="AL52" s="247">
        <f>SUM(AL38:AL51)</f>
        <v>26024.128000000001</v>
      </c>
      <c r="AM52" s="247">
        <f t="shared" si="79"/>
        <v>2559563.7091111103</v>
      </c>
      <c r="AN52" s="248">
        <f t="shared" si="40"/>
        <v>1</v>
      </c>
      <c r="BA52" s="171" t="s">
        <v>1330</v>
      </c>
    </row>
    <row r="53" spans="1:53" s="171" customFormat="1" ht="15.5">
      <c r="A53" s="175" t="s">
        <v>1331</v>
      </c>
      <c r="B53" s="175"/>
      <c r="C53" s="175" t="s">
        <v>1286</v>
      </c>
      <c r="D53" s="249" t="s">
        <v>1253</v>
      </c>
      <c r="E53" s="249" t="s">
        <v>160</v>
      </c>
      <c r="G53" s="248">
        <f>IFERROR(G52/$P$52, "")</f>
        <v>1.5396004957907806E-4</v>
      </c>
      <c r="H53" s="248">
        <f t="shared" ref="H53:P53" si="80">IFERROR(H52/$P$52, "")</f>
        <v>0.14246459948180071</v>
      </c>
      <c r="I53" s="248">
        <f t="shared" si="80"/>
        <v>0.183012858445495</v>
      </c>
      <c r="J53" s="248">
        <f t="shared" si="80"/>
        <v>0.1483749133509337</v>
      </c>
      <c r="K53" s="248">
        <f t="shared" si="80"/>
        <v>0.14112245329710596</v>
      </c>
      <c r="L53" s="248">
        <f t="shared" si="80"/>
        <v>0.17031485552853243</v>
      </c>
      <c r="M53" s="248">
        <f t="shared" si="80"/>
        <v>0.11867043517651181</v>
      </c>
      <c r="N53" s="248">
        <f t="shared" si="80"/>
        <v>8.5718516878094911E-2</v>
      </c>
      <c r="O53" s="248">
        <f>IFERROR(O52/$P$52, "")</f>
        <v>1.0167407791946581E-2</v>
      </c>
      <c r="P53" s="248">
        <f t="shared" si="80"/>
        <v>1</v>
      </c>
      <c r="AD53" s="248">
        <f t="shared" ref="AD53:AM53" si="81">IFERROR(AD52/$AM$52, "")</f>
        <v>1.5396004957907806E-4</v>
      </c>
      <c r="AE53" s="248">
        <f t="shared" si="81"/>
        <v>0.14246459948180068</v>
      </c>
      <c r="AF53" s="248">
        <f t="shared" si="81"/>
        <v>0.18301285844549497</v>
      </c>
      <c r="AG53" s="248">
        <f t="shared" si="81"/>
        <v>0.1483749133509337</v>
      </c>
      <c r="AH53" s="248">
        <f t="shared" si="81"/>
        <v>0.14112245329710596</v>
      </c>
      <c r="AI53" s="248">
        <f t="shared" si="81"/>
        <v>0.1703148555285324</v>
      </c>
      <c r="AJ53" s="248">
        <f t="shared" si="81"/>
        <v>0.11867043517651182</v>
      </c>
      <c r="AK53" s="248">
        <f t="shared" si="81"/>
        <v>8.5718516878094925E-2</v>
      </c>
      <c r="AL53" s="248">
        <f t="shared" si="81"/>
        <v>1.0167407791946583E-2</v>
      </c>
      <c r="AM53" s="248">
        <f t="shared" si="81"/>
        <v>1</v>
      </c>
      <c r="BA53" s="171" t="s">
        <v>1332</v>
      </c>
    </row>
    <row r="54" spans="1:53" s="171" customFormat="1" ht="16" thickBot="1">
      <c r="D54" s="238"/>
      <c r="E54" s="238"/>
    </row>
    <row r="55" spans="1:53" s="171" customFormat="1" ht="31.5" thickBot="1">
      <c r="A55" s="240"/>
      <c r="B55" s="241"/>
      <c r="C55" s="252" t="s">
        <v>1333</v>
      </c>
      <c r="D55" s="242"/>
      <c r="E55" s="243"/>
      <c r="G55" s="258" t="s">
        <v>1204</v>
      </c>
      <c r="H55" s="259" t="s">
        <v>1334</v>
      </c>
      <c r="I55" s="259" t="s">
        <v>1335</v>
      </c>
      <c r="J55" s="451" t="s">
        <v>1220</v>
      </c>
      <c r="AD55" s="258" t="s">
        <v>1204</v>
      </c>
      <c r="AE55" s="259" t="s">
        <v>1334</v>
      </c>
      <c r="AF55" s="259" t="s">
        <v>1335</v>
      </c>
      <c r="AG55" s="451" t="s">
        <v>1220</v>
      </c>
    </row>
    <row r="56" spans="1:53" s="171" customFormat="1" ht="15.5">
      <c r="A56" s="175" t="s">
        <v>1336</v>
      </c>
      <c r="B56" s="179"/>
      <c r="C56" s="179" t="s">
        <v>1337</v>
      </c>
      <c r="D56" s="239" t="s">
        <v>1253</v>
      </c>
      <c r="E56" s="239" t="s">
        <v>210</v>
      </c>
      <c r="I56" s="254">
        <v>0.35</v>
      </c>
      <c r="AF56" s="254">
        <v>0.35</v>
      </c>
      <c r="BA56" s="171" t="s">
        <v>1338</v>
      </c>
    </row>
    <row r="57" spans="1:53" s="171" customFormat="1" ht="15.5">
      <c r="A57" s="175" t="s">
        <v>1339</v>
      </c>
      <c r="B57" s="179" t="s">
        <v>1224</v>
      </c>
      <c r="C57" s="179" t="s">
        <v>1296</v>
      </c>
      <c r="D57" s="249" t="s">
        <v>1253</v>
      </c>
      <c r="E57" s="249" t="s">
        <v>1227</v>
      </c>
      <c r="G57" s="255">
        <v>0</v>
      </c>
      <c r="H57" s="255">
        <v>0</v>
      </c>
      <c r="I57" s="248">
        <f>IF(I$56*H57-G57&lt;0,0,I$56*H57-G57)</f>
        <v>0</v>
      </c>
      <c r="J57" s="248">
        <f>G57+I57</f>
        <v>0</v>
      </c>
      <c r="AD57" s="255">
        <v>0</v>
      </c>
      <c r="AE57" s="255">
        <v>0</v>
      </c>
      <c r="AF57" s="248">
        <f>IF(AF$56*AE57-AD57&lt;0,0,AF$56*AE57-AD57)</f>
        <v>0</v>
      </c>
      <c r="AG57" s="248">
        <f>AD57+AF57</f>
        <v>0</v>
      </c>
      <c r="BA57" s="171" t="s">
        <v>1340</v>
      </c>
    </row>
    <row r="58" spans="1:53" s="171" customFormat="1" ht="15.5">
      <c r="A58" s="175" t="s">
        <v>1341</v>
      </c>
      <c r="B58" s="179" t="s">
        <v>1224</v>
      </c>
      <c r="C58" s="179" t="s">
        <v>1232</v>
      </c>
      <c r="D58" s="249"/>
      <c r="E58" s="249"/>
      <c r="G58" s="255">
        <v>0</v>
      </c>
      <c r="H58" s="255">
        <v>0</v>
      </c>
      <c r="I58" s="248">
        <f t="shared" ref="I58:I59" si="82">IF(I$56*H58-G58&lt;0,0,I$56*H58-G58)</f>
        <v>0</v>
      </c>
      <c r="J58" s="248">
        <f t="shared" ref="J58:J59" si="83">G58+I58</f>
        <v>0</v>
      </c>
      <c r="AD58" s="255">
        <v>0</v>
      </c>
      <c r="AE58" s="255">
        <v>0</v>
      </c>
      <c r="AF58" s="248">
        <f t="shared" ref="AF58:AF59" si="84">IF(AF$56*AE58-AD58&lt;0,0,AF$56*AE58-AD58)</f>
        <v>0</v>
      </c>
      <c r="AG58" s="248">
        <f t="shared" ref="AG58:AG59" si="85">AD58+AF58</f>
        <v>0</v>
      </c>
      <c r="BA58" s="171" t="s">
        <v>1342</v>
      </c>
    </row>
    <row r="59" spans="1:53" s="171" customFormat="1" ht="15.5">
      <c r="A59" s="175" t="s">
        <v>1343</v>
      </c>
      <c r="B59" s="179" t="s">
        <v>1224</v>
      </c>
      <c r="C59" s="179" t="s">
        <v>1235</v>
      </c>
      <c r="D59" s="249"/>
      <c r="E59" s="249"/>
      <c r="G59" s="255">
        <v>0</v>
      </c>
      <c r="H59" s="255">
        <v>0</v>
      </c>
      <c r="I59" s="248">
        <f t="shared" si="82"/>
        <v>0</v>
      </c>
      <c r="J59" s="248">
        <f t="shared" si="83"/>
        <v>0</v>
      </c>
      <c r="AD59" s="255">
        <v>0</v>
      </c>
      <c r="AE59" s="255">
        <v>0</v>
      </c>
      <c r="AF59" s="248">
        <f t="shared" si="84"/>
        <v>0</v>
      </c>
      <c r="AG59" s="248">
        <f t="shared" si="85"/>
        <v>0</v>
      </c>
      <c r="BA59" s="171" t="s">
        <v>1344</v>
      </c>
    </row>
    <row r="60" spans="1:53" s="171" customFormat="1" ht="15.5">
      <c r="A60" s="175" t="s">
        <v>1345</v>
      </c>
      <c r="B60" s="179" t="s">
        <v>1224</v>
      </c>
      <c r="C60" s="175" t="s">
        <v>1304</v>
      </c>
      <c r="D60" s="249" t="s">
        <v>1253</v>
      </c>
      <c r="E60" s="249" t="s">
        <v>1227</v>
      </c>
      <c r="G60" s="255">
        <v>0</v>
      </c>
      <c r="H60" s="255">
        <v>0.6</v>
      </c>
      <c r="I60" s="248">
        <f t="shared" ref="I60:I70" si="86">IF(I$56*H60-G60&lt;0,0,I$56*H60-G60)</f>
        <v>0.21</v>
      </c>
      <c r="J60" s="248">
        <f t="shared" ref="J60:J70" si="87">G60+I60</f>
        <v>0.21</v>
      </c>
      <c r="AD60" s="255">
        <v>0</v>
      </c>
      <c r="AE60" s="255">
        <v>0.6</v>
      </c>
      <c r="AF60" s="248">
        <f t="shared" ref="AF60:AF70" si="88">IF(AF$56*AE60-AD60&lt;0,0,AF$56*AE60-AD60)</f>
        <v>0.21</v>
      </c>
      <c r="AG60" s="248">
        <f t="shared" ref="AG60:AG70" si="89">AD60+AF60</f>
        <v>0.21</v>
      </c>
      <c r="BA60" s="171" t="s">
        <v>1346</v>
      </c>
    </row>
    <row r="61" spans="1:53" s="171" customFormat="1" ht="15.5">
      <c r="A61" s="175" t="s">
        <v>1347</v>
      </c>
      <c r="B61" s="179" t="s">
        <v>1224</v>
      </c>
      <c r="C61" s="175" t="s">
        <v>1307</v>
      </c>
      <c r="D61" s="249" t="s">
        <v>1253</v>
      </c>
      <c r="E61" s="249" t="s">
        <v>1227</v>
      </c>
      <c r="G61" s="255">
        <v>0</v>
      </c>
      <c r="H61" s="255">
        <v>1</v>
      </c>
      <c r="I61" s="248">
        <f t="shared" si="86"/>
        <v>0.35</v>
      </c>
      <c r="J61" s="248">
        <f t="shared" si="87"/>
        <v>0.35</v>
      </c>
      <c r="AD61" s="255">
        <v>0</v>
      </c>
      <c r="AE61" s="255">
        <v>1</v>
      </c>
      <c r="AF61" s="248">
        <f t="shared" si="88"/>
        <v>0.35</v>
      </c>
      <c r="AG61" s="248">
        <f t="shared" si="89"/>
        <v>0.35</v>
      </c>
      <c r="BA61" s="171" t="s">
        <v>1348</v>
      </c>
    </row>
    <row r="62" spans="1:53" s="171" customFormat="1" ht="15.5">
      <c r="A62" s="175" t="s">
        <v>1349</v>
      </c>
      <c r="B62" s="175" t="s">
        <v>1244</v>
      </c>
      <c r="C62" s="175" t="s">
        <v>1266</v>
      </c>
      <c r="D62" s="249" t="s">
        <v>1253</v>
      </c>
      <c r="E62" s="249" t="s">
        <v>1227</v>
      </c>
      <c r="G62" s="255">
        <v>0.25</v>
      </c>
      <c r="H62" s="255">
        <v>0</v>
      </c>
      <c r="I62" s="248">
        <f t="shared" si="86"/>
        <v>0</v>
      </c>
      <c r="J62" s="248">
        <f t="shared" si="87"/>
        <v>0.25</v>
      </c>
      <c r="AD62" s="255">
        <v>0.25</v>
      </c>
      <c r="AE62" s="255">
        <v>0</v>
      </c>
      <c r="AF62" s="248">
        <f t="shared" si="88"/>
        <v>0</v>
      </c>
      <c r="AG62" s="248">
        <f t="shared" si="89"/>
        <v>0.25</v>
      </c>
      <c r="BA62" s="171" t="s">
        <v>1350</v>
      </c>
    </row>
    <row r="63" spans="1:53" s="171" customFormat="1" ht="15.5">
      <c r="A63" s="175" t="s">
        <v>1351</v>
      </c>
      <c r="B63" s="175" t="s">
        <v>1244</v>
      </c>
      <c r="C63" s="175" t="s">
        <v>1312</v>
      </c>
      <c r="D63" s="249" t="s">
        <v>1253</v>
      </c>
      <c r="E63" s="249" t="s">
        <v>1227</v>
      </c>
      <c r="G63" s="255">
        <v>0.25</v>
      </c>
      <c r="H63" s="255">
        <v>0.85</v>
      </c>
      <c r="I63" s="248">
        <f t="shared" si="86"/>
        <v>4.7499999999999987E-2</v>
      </c>
      <c r="J63" s="248">
        <f t="shared" si="87"/>
        <v>0.29749999999999999</v>
      </c>
      <c r="AD63" s="255">
        <v>0.25</v>
      </c>
      <c r="AE63" s="255">
        <v>0.85</v>
      </c>
      <c r="AF63" s="248">
        <f t="shared" si="88"/>
        <v>4.7499999999999987E-2</v>
      </c>
      <c r="AG63" s="248">
        <f t="shared" si="89"/>
        <v>0.29749999999999999</v>
      </c>
      <c r="BA63" s="171" t="s">
        <v>1352</v>
      </c>
    </row>
    <row r="64" spans="1:53" s="171" customFormat="1" ht="15.5">
      <c r="A64" s="175" t="s">
        <v>1353</v>
      </c>
      <c r="B64" s="175" t="s">
        <v>1244</v>
      </c>
      <c r="C64" s="175" t="s">
        <v>1315</v>
      </c>
      <c r="D64" s="249" t="s">
        <v>1253</v>
      </c>
      <c r="E64" s="249" t="s">
        <v>1227</v>
      </c>
      <c r="G64" s="255">
        <v>0.25</v>
      </c>
      <c r="H64" s="255">
        <v>0.4</v>
      </c>
      <c r="I64" s="248">
        <f t="shared" si="86"/>
        <v>0</v>
      </c>
      <c r="J64" s="248">
        <f t="shared" si="87"/>
        <v>0.25</v>
      </c>
      <c r="AD64" s="255">
        <v>0.25</v>
      </c>
      <c r="AE64" s="255">
        <v>0.4</v>
      </c>
      <c r="AF64" s="248">
        <f t="shared" si="88"/>
        <v>0</v>
      </c>
      <c r="AG64" s="248">
        <f t="shared" si="89"/>
        <v>0.25</v>
      </c>
      <c r="BA64" s="171" t="s">
        <v>1354</v>
      </c>
    </row>
    <row r="65" spans="1:53" s="171" customFormat="1" ht="15.5">
      <c r="A65" s="175" t="s">
        <v>1355</v>
      </c>
      <c r="B65" s="175" t="s">
        <v>1244</v>
      </c>
      <c r="C65" s="175" t="s">
        <v>1262</v>
      </c>
      <c r="D65" s="249" t="s">
        <v>1253</v>
      </c>
      <c r="E65" s="249" t="s">
        <v>1227</v>
      </c>
      <c r="G65" s="255">
        <v>0.25</v>
      </c>
      <c r="H65" s="255">
        <v>1</v>
      </c>
      <c r="I65" s="248">
        <f t="shared" si="86"/>
        <v>9.9999999999999978E-2</v>
      </c>
      <c r="J65" s="248">
        <f t="shared" si="87"/>
        <v>0.35</v>
      </c>
      <c r="AD65" s="255">
        <v>0.25</v>
      </c>
      <c r="AE65" s="255">
        <v>1</v>
      </c>
      <c r="AF65" s="248">
        <f t="shared" si="88"/>
        <v>9.9999999999999978E-2</v>
      </c>
      <c r="AG65" s="248">
        <f t="shared" si="89"/>
        <v>0.35</v>
      </c>
      <c r="BA65" s="171" t="s">
        <v>1356</v>
      </c>
    </row>
    <row r="66" spans="1:53" s="171" customFormat="1" ht="15.5">
      <c r="A66" s="175" t="s">
        <v>1357</v>
      </c>
      <c r="B66" s="175" t="s">
        <v>1265</v>
      </c>
      <c r="C66" s="175" t="s">
        <v>1266</v>
      </c>
      <c r="D66" s="249" t="s">
        <v>1253</v>
      </c>
      <c r="E66" s="249" t="s">
        <v>1227</v>
      </c>
      <c r="G66" s="255">
        <v>0.5</v>
      </c>
      <c r="H66" s="255">
        <v>0</v>
      </c>
      <c r="I66" s="248">
        <f t="shared" si="86"/>
        <v>0</v>
      </c>
      <c r="J66" s="248">
        <f t="shared" si="87"/>
        <v>0.5</v>
      </c>
      <c r="AD66" s="255">
        <v>0.5</v>
      </c>
      <c r="AE66" s="255">
        <v>0</v>
      </c>
      <c r="AF66" s="248">
        <f t="shared" si="88"/>
        <v>0</v>
      </c>
      <c r="AG66" s="248">
        <f t="shared" si="89"/>
        <v>0.5</v>
      </c>
      <c r="BA66" s="171" t="s">
        <v>1358</v>
      </c>
    </row>
    <row r="67" spans="1:53" s="171" customFormat="1" ht="15.5">
      <c r="A67" s="175" t="s">
        <v>1359</v>
      </c>
      <c r="B67" s="175" t="s">
        <v>1265</v>
      </c>
      <c r="C67" s="175" t="s">
        <v>1269</v>
      </c>
      <c r="D67" s="249" t="s">
        <v>1253</v>
      </c>
      <c r="E67" s="249" t="s">
        <v>1227</v>
      </c>
      <c r="G67" s="255">
        <v>0.5</v>
      </c>
      <c r="H67" s="255">
        <v>0.6</v>
      </c>
      <c r="I67" s="248">
        <f t="shared" si="86"/>
        <v>0</v>
      </c>
      <c r="J67" s="248">
        <f t="shared" si="87"/>
        <v>0.5</v>
      </c>
      <c r="AD67" s="255">
        <v>0.5</v>
      </c>
      <c r="AE67" s="255">
        <v>0.6</v>
      </c>
      <c r="AF67" s="248">
        <f t="shared" si="88"/>
        <v>0</v>
      </c>
      <c r="AG67" s="248">
        <f t="shared" si="89"/>
        <v>0.5</v>
      </c>
      <c r="BA67" s="171" t="s">
        <v>1360</v>
      </c>
    </row>
    <row r="68" spans="1:53" s="171" customFormat="1" ht="15.5">
      <c r="A68" s="175" t="s">
        <v>1361</v>
      </c>
      <c r="B68" s="175" t="s">
        <v>1265</v>
      </c>
      <c r="C68" s="175" t="s">
        <v>1272</v>
      </c>
      <c r="D68" s="249" t="s">
        <v>1253</v>
      </c>
      <c r="E68" s="249" t="s">
        <v>1227</v>
      </c>
      <c r="G68" s="255">
        <v>0.5</v>
      </c>
      <c r="H68" s="255">
        <v>1</v>
      </c>
      <c r="I68" s="248">
        <f t="shared" si="86"/>
        <v>0</v>
      </c>
      <c r="J68" s="248">
        <f t="shared" si="87"/>
        <v>0.5</v>
      </c>
      <c r="AD68" s="255">
        <v>0.5</v>
      </c>
      <c r="AE68" s="255">
        <v>1</v>
      </c>
      <c r="AF68" s="248">
        <f t="shared" si="88"/>
        <v>0</v>
      </c>
      <c r="AG68" s="248">
        <f t="shared" si="89"/>
        <v>0.5</v>
      </c>
      <c r="BA68" s="171" t="s">
        <v>1362</v>
      </c>
    </row>
    <row r="69" spans="1:53" s="171" customFormat="1" ht="15.5">
      <c r="A69" s="175" t="s">
        <v>1363</v>
      </c>
      <c r="B69" s="175" t="s">
        <v>1275</v>
      </c>
      <c r="C69" s="175" t="s">
        <v>1275</v>
      </c>
      <c r="D69" s="249" t="s">
        <v>1253</v>
      </c>
      <c r="E69" s="249" t="s">
        <v>1227</v>
      </c>
      <c r="G69" s="255">
        <v>1</v>
      </c>
      <c r="H69" s="255">
        <v>0</v>
      </c>
      <c r="I69" s="248">
        <f t="shared" si="86"/>
        <v>0</v>
      </c>
      <c r="J69" s="248">
        <f t="shared" si="87"/>
        <v>1</v>
      </c>
      <c r="AD69" s="255">
        <v>1</v>
      </c>
      <c r="AE69" s="255">
        <v>0</v>
      </c>
      <c r="AF69" s="248">
        <f t="shared" si="88"/>
        <v>0</v>
      </c>
      <c r="AG69" s="248">
        <f t="shared" si="89"/>
        <v>1</v>
      </c>
      <c r="BA69" s="171" t="s">
        <v>1364</v>
      </c>
    </row>
    <row r="70" spans="1:53" s="171" customFormat="1" ht="15.5">
      <c r="A70" s="175" t="s">
        <v>1365</v>
      </c>
      <c r="B70" s="175" t="s">
        <v>1279</v>
      </c>
      <c r="C70" s="175" t="s">
        <v>1279</v>
      </c>
      <c r="D70" s="249" t="s">
        <v>1253</v>
      </c>
      <c r="E70" s="249" t="s">
        <v>1227</v>
      </c>
      <c r="G70" s="255">
        <v>1</v>
      </c>
      <c r="H70" s="255">
        <v>0</v>
      </c>
      <c r="I70" s="248">
        <f t="shared" si="86"/>
        <v>0</v>
      </c>
      <c r="J70" s="248">
        <f t="shared" si="87"/>
        <v>1</v>
      </c>
      <c r="AD70" s="255">
        <v>1</v>
      </c>
      <c r="AE70" s="255">
        <v>0</v>
      </c>
      <c r="AF70" s="248">
        <f t="shared" si="88"/>
        <v>0</v>
      </c>
      <c r="AG70" s="248">
        <f t="shared" si="89"/>
        <v>1</v>
      </c>
      <c r="BA70" s="171" t="s">
        <v>1366</v>
      </c>
    </row>
    <row r="71" spans="1:53" s="171" customFormat="1" ht="16" thickBot="1">
      <c r="D71" s="238"/>
      <c r="E71" s="238"/>
    </row>
    <row r="72" spans="1:53" s="171" customFormat="1" ht="66" customHeight="1" thickBot="1">
      <c r="A72" s="240"/>
      <c r="B72" s="241"/>
      <c r="C72" s="256" t="s">
        <v>1367</v>
      </c>
      <c r="D72" s="256"/>
      <c r="E72" s="257"/>
      <c r="G72" s="258" t="s">
        <v>1211</v>
      </c>
      <c r="H72" s="259" t="s">
        <v>1212</v>
      </c>
      <c r="I72" s="259" t="s">
        <v>1213</v>
      </c>
      <c r="J72" s="259" t="s">
        <v>1214</v>
      </c>
      <c r="K72" s="259" t="s">
        <v>1215</v>
      </c>
      <c r="L72" s="259" t="s">
        <v>1216</v>
      </c>
      <c r="M72" s="259" t="s">
        <v>1217</v>
      </c>
      <c r="N72" s="259" t="s">
        <v>1218</v>
      </c>
      <c r="O72" s="67" t="s">
        <v>1219</v>
      </c>
      <c r="P72" s="67" t="s">
        <v>1220</v>
      </c>
      <c r="Q72" s="68" t="s">
        <v>1221</v>
      </c>
      <c r="AD72" s="258" t="s">
        <v>1211</v>
      </c>
      <c r="AE72" s="259" t="s">
        <v>1212</v>
      </c>
      <c r="AF72" s="259" t="s">
        <v>1213</v>
      </c>
      <c r="AG72" s="259" t="s">
        <v>1214</v>
      </c>
      <c r="AH72" s="259" t="s">
        <v>1215</v>
      </c>
      <c r="AI72" s="259" t="s">
        <v>1216</v>
      </c>
      <c r="AJ72" s="259" t="s">
        <v>1217</v>
      </c>
      <c r="AK72" s="259" t="s">
        <v>1218</v>
      </c>
      <c r="AL72" s="67" t="s">
        <v>1219</v>
      </c>
      <c r="AM72" s="67" t="s">
        <v>1220</v>
      </c>
      <c r="AN72" s="68" t="s">
        <v>1221</v>
      </c>
    </row>
    <row r="73" spans="1:53" s="171" customFormat="1" ht="15.5">
      <c r="A73" s="175" t="s">
        <v>1368</v>
      </c>
      <c r="B73" s="179" t="s">
        <v>1224</v>
      </c>
      <c r="C73" s="179" t="s">
        <v>1296</v>
      </c>
      <c r="D73" s="239" t="s">
        <v>1226</v>
      </c>
      <c r="E73" s="249" t="s">
        <v>160</v>
      </c>
      <c r="G73" s="260">
        <f t="shared" ref="G73:N73" si="90">(1-$J57)*G38</f>
        <v>142.30994152046782</v>
      </c>
      <c r="H73" s="260">
        <f t="shared" si="90"/>
        <v>69712.015989654828</v>
      </c>
      <c r="I73" s="260">
        <f t="shared" si="90"/>
        <v>163789.96250645566</v>
      </c>
      <c r="J73" s="260">
        <f t="shared" si="90"/>
        <v>166075.73140197468</v>
      </c>
      <c r="K73" s="260">
        <f t="shared" si="90"/>
        <v>198278.90796044431</v>
      </c>
      <c r="L73" s="260">
        <f t="shared" si="90"/>
        <v>284515.29103881092</v>
      </c>
      <c r="M73" s="260">
        <f t="shared" si="90"/>
        <v>225129.47350079435</v>
      </c>
      <c r="N73" s="260">
        <f t="shared" si="90"/>
        <v>173104.64292947622</v>
      </c>
      <c r="O73" s="260">
        <f t="shared" ref="O73" si="91">(1-$J57)*O38</f>
        <v>20577.434990311085</v>
      </c>
      <c r="P73" s="260">
        <f>SUM(G73:O73)</f>
        <v>1301325.7702594425</v>
      </c>
      <c r="Q73" s="261">
        <f>IFERROR(P73/$P$87, "")</f>
        <v>0.61545598496966769</v>
      </c>
      <c r="AD73" s="260">
        <f>(1-$AG57)*AD38</f>
        <v>143.59073099415204</v>
      </c>
      <c r="AE73" s="260">
        <f>(1-$AG57)*AE38</f>
        <v>70339.424133561712</v>
      </c>
      <c r="AF73" s="260">
        <f t="shared" ref="AF73:AL73" si="92">(1-$AG57)*AF38</f>
        <v>165264.07216901373</v>
      </c>
      <c r="AG73" s="260">
        <f t="shared" si="92"/>
        <v>167570.41298459243</v>
      </c>
      <c r="AH73" s="260">
        <f t="shared" si="92"/>
        <v>200063.41813208829</v>
      </c>
      <c r="AI73" s="260">
        <f t="shared" si="92"/>
        <v>287075.92865816021</v>
      </c>
      <c r="AJ73" s="260">
        <f t="shared" si="92"/>
        <v>227155.63876230145</v>
      </c>
      <c r="AK73" s="260">
        <f t="shared" si="92"/>
        <v>174662.58471584148</v>
      </c>
      <c r="AL73" s="260">
        <f t="shared" si="92"/>
        <v>20762.631905223883</v>
      </c>
      <c r="AM73" s="260">
        <f>SUM(AD73:AL73)</f>
        <v>1313037.7021917775</v>
      </c>
      <c r="AN73" s="261">
        <f t="shared" ref="AN73:AN87" si="93">IFERROR(AM73/$AM$87, "")</f>
        <v>0.61545598496966791</v>
      </c>
      <c r="BA73" s="171" t="s">
        <v>1369</v>
      </c>
    </row>
    <row r="74" spans="1:53" s="171" customFormat="1" ht="15.5">
      <c r="A74" s="175" t="s">
        <v>1370</v>
      </c>
      <c r="B74" s="179" t="s">
        <v>1224</v>
      </c>
      <c r="C74" s="179" t="s">
        <v>1232</v>
      </c>
      <c r="D74" s="239"/>
      <c r="E74" s="249"/>
      <c r="G74" s="260">
        <f>(1-$J58)*G39</f>
        <v>0</v>
      </c>
      <c r="H74" s="260">
        <f t="shared" ref="H74:O74" si="94">(1-$J58)*H39</f>
        <v>1742.7915923081503</v>
      </c>
      <c r="I74" s="260">
        <f t="shared" si="94"/>
        <v>2392.8958954892732</v>
      </c>
      <c r="J74" s="260">
        <f t="shared" si="94"/>
        <v>3054.8957766687063</v>
      </c>
      <c r="K74" s="260">
        <f t="shared" si="94"/>
        <v>3276.4047288028505</v>
      </c>
      <c r="L74" s="260">
        <f t="shared" si="94"/>
        <v>4258.5970050718734</v>
      </c>
      <c r="M74" s="260">
        <f t="shared" si="94"/>
        <v>2822.3475632530781</v>
      </c>
      <c r="N74" s="260">
        <f t="shared" si="94"/>
        <v>2259.206216508142</v>
      </c>
      <c r="O74" s="260">
        <f t="shared" si="94"/>
        <v>583.71404708270154</v>
      </c>
      <c r="P74" s="260">
        <f t="shared" ref="P74:P75" si="95">SUM(G74:O74)</f>
        <v>20390.852825184771</v>
      </c>
      <c r="Q74" s="261">
        <f t="shared" ref="Q74:Q75" si="96">IFERROR(P74/$P$87, "")</f>
        <v>9.6437592313211654E-3</v>
      </c>
      <c r="AD74" s="260">
        <f t="shared" ref="AD74:AD86" si="97">(1-$AG58)*AD39</f>
        <v>0</v>
      </c>
      <c r="AE74" s="260">
        <f t="shared" ref="AE74:AL74" si="98">(1-$AG58)*AE39</f>
        <v>1758.4767166389233</v>
      </c>
      <c r="AF74" s="260">
        <f t="shared" si="98"/>
        <v>2414.4319585486764</v>
      </c>
      <c r="AG74" s="260">
        <f t="shared" si="98"/>
        <v>3082.3898386587248</v>
      </c>
      <c r="AH74" s="260">
        <f t="shared" si="98"/>
        <v>3305.8923713620757</v>
      </c>
      <c r="AI74" s="260">
        <f t="shared" si="98"/>
        <v>4296.9243781175192</v>
      </c>
      <c r="AJ74" s="260">
        <f t="shared" si="98"/>
        <v>2847.7486913223552</v>
      </c>
      <c r="AK74" s="260">
        <f t="shared" si="98"/>
        <v>2279.5390724567151</v>
      </c>
      <c r="AL74" s="260">
        <f t="shared" si="98"/>
        <v>588.9674735064458</v>
      </c>
      <c r="AM74" s="260">
        <f t="shared" ref="AM74" si="99">SUM(AD74:AL74)</f>
        <v>20574.370500611436</v>
      </c>
      <c r="AN74" s="261">
        <f t="shared" si="93"/>
        <v>9.6437592313211688E-3</v>
      </c>
      <c r="BA74" s="171" t="s">
        <v>1371</v>
      </c>
    </row>
    <row r="75" spans="1:53" s="171" customFormat="1" ht="15.5">
      <c r="A75" s="175" t="s">
        <v>1372</v>
      </c>
      <c r="B75" s="179" t="s">
        <v>1224</v>
      </c>
      <c r="C75" s="179" t="s">
        <v>1235</v>
      </c>
      <c r="D75" s="239"/>
      <c r="E75" s="249"/>
      <c r="G75" s="260">
        <f>(1-$J59)*G40</f>
        <v>0.46783625730994149</v>
      </c>
      <c r="H75" s="260">
        <f>(1-$J59)*H40</f>
        <v>6086.7951755731046</v>
      </c>
      <c r="I75" s="260">
        <f t="shared" ref="I75:O75" si="100">(1-$J59)*I40</f>
        <v>6387.7943645124114</v>
      </c>
      <c r="J75" s="260">
        <f t="shared" si="100"/>
        <v>5002.248004910175</v>
      </c>
      <c r="K75" s="260">
        <f t="shared" si="100"/>
        <v>4283.163164519221</v>
      </c>
      <c r="L75" s="260">
        <f t="shared" si="100"/>
        <v>4151.3739588607195</v>
      </c>
      <c r="M75" s="260">
        <f t="shared" si="100"/>
        <v>2296.7109620962942</v>
      </c>
      <c r="N75" s="260">
        <f t="shared" si="100"/>
        <v>1579.4841873489597</v>
      </c>
      <c r="O75" s="260">
        <f t="shared" si="100"/>
        <v>416.8509626062131</v>
      </c>
      <c r="P75" s="260">
        <f t="shared" si="95"/>
        <v>30204.888616684409</v>
      </c>
      <c r="Q75" s="261">
        <f t="shared" si="96"/>
        <v>1.4285261922365835E-2</v>
      </c>
      <c r="AD75" s="260">
        <f t="shared" si="97"/>
        <v>0.47204678362573099</v>
      </c>
      <c r="AE75" s="260">
        <f t="shared" ref="AE75:AL75" si="101">(1-$AG59)*AE40</f>
        <v>6141.5763321532622</v>
      </c>
      <c r="AF75" s="260">
        <f t="shared" si="101"/>
        <v>6445.2845137930226</v>
      </c>
      <c r="AG75" s="260">
        <f t="shared" si="101"/>
        <v>5047.2682369543663</v>
      </c>
      <c r="AH75" s="260">
        <f t="shared" si="101"/>
        <v>4321.7116329998935</v>
      </c>
      <c r="AI75" s="260">
        <f t="shared" si="101"/>
        <v>4188.7363244904654</v>
      </c>
      <c r="AJ75" s="260">
        <f t="shared" si="101"/>
        <v>2317.3813607551606</v>
      </c>
      <c r="AK75" s="260">
        <f t="shared" si="101"/>
        <v>1593.6995450351003</v>
      </c>
      <c r="AL75" s="260">
        <f t="shared" si="101"/>
        <v>420.60262126966899</v>
      </c>
      <c r="AM75" s="260">
        <f>SUM(AD75:AL75)</f>
        <v>30476.732614234566</v>
      </c>
      <c r="AN75" s="261">
        <f t="shared" si="93"/>
        <v>1.428526192236584E-2</v>
      </c>
      <c r="BA75" s="171" t="s">
        <v>1373</v>
      </c>
    </row>
    <row r="76" spans="1:53" s="171" customFormat="1" ht="15.5">
      <c r="A76" s="175" t="s">
        <v>1374</v>
      </c>
      <c r="B76" s="179" t="s">
        <v>1224</v>
      </c>
      <c r="C76" s="175" t="s">
        <v>1304</v>
      </c>
      <c r="D76" s="239" t="s">
        <v>1226</v>
      </c>
      <c r="E76" s="249" t="s">
        <v>160</v>
      </c>
      <c r="G76" s="247">
        <f t="shared" ref="G76:G86" si="102">(1-$J60)*G41</f>
        <v>18.700108932461877</v>
      </c>
      <c r="H76" s="247">
        <f t="shared" ref="H76:O76" si="103">(1-$J60)*H41</f>
        <v>17150.591360782011</v>
      </c>
      <c r="I76" s="247">
        <f t="shared" si="103"/>
        <v>17810.919448165088</v>
      </c>
      <c r="J76" s="247">
        <f t="shared" si="103"/>
        <v>10738.402605815911</v>
      </c>
      <c r="K76" s="247">
        <f t="shared" si="103"/>
        <v>6376.9911654713469</v>
      </c>
      <c r="L76" s="247">
        <f t="shared" si="103"/>
        <v>5473.9782789658802</v>
      </c>
      <c r="M76" s="247">
        <f t="shared" si="103"/>
        <v>2463.0660469224199</v>
      </c>
      <c r="N76" s="247">
        <f t="shared" si="103"/>
        <v>1084.7759576178403</v>
      </c>
      <c r="O76" s="247">
        <f t="shared" si="103"/>
        <v>52.93</v>
      </c>
      <c r="P76" s="247">
        <f t="shared" ref="P76:P78" si="104">SUM(G76:O76)</f>
        <v>61170.354972672962</v>
      </c>
      <c r="Q76" s="248">
        <f t="shared" ref="Q76:Q87" si="105">IFERROR(P76/$P$87, "")</f>
        <v>2.8930235557499882E-2</v>
      </c>
      <c r="AD76" s="247">
        <f t="shared" si="97"/>
        <v>18.86840991285403</v>
      </c>
      <c r="AE76" s="247">
        <f t="shared" ref="AE76:AL76" si="106">(1-$AG60)*AE41</f>
        <v>17304.946683029051</v>
      </c>
      <c r="AF76" s="247">
        <f t="shared" si="106"/>
        <v>17971.21772319857</v>
      </c>
      <c r="AG76" s="247">
        <f t="shared" si="106"/>
        <v>10835.048229268252</v>
      </c>
      <c r="AH76" s="247">
        <f t="shared" si="106"/>
        <v>6434.384085960588</v>
      </c>
      <c r="AI76" s="247">
        <f t="shared" si="106"/>
        <v>5523.244083476573</v>
      </c>
      <c r="AJ76" s="247">
        <f t="shared" si="106"/>
        <v>2485.2336413447215</v>
      </c>
      <c r="AK76" s="247">
        <f t="shared" si="106"/>
        <v>1094.5389412364007</v>
      </c>
      <c r="AL76" s="247">
        <f t="shared" si="106"/>
        <v>53.406369999999995</v>
      </c>
      <c r="AM76" s="247">
        <f t="shared" ref="AM76:AM78" si="107">SUM(AD76:AL76)</f>
        <v>61720.888167427009</v>
      </c>
      <c r="AN76" s="261">
        <f t="shared" si="93"/>
        <v>2.8930235557499889E-2</v>
      </c>
      <c r="BA76" s="171" t="s">
        <v>1375</v>
      </c>
    </row>
    <row r="77" spans="1:53" s="171" customFormat="1" ht="15.5">
      <c r="A77" s="175" t="s">
        <v>1376</v>
      </c>
      <c r="B77" s="179" t="s">
        <v>1224</v>
      </c>
      <c r="C77" s="175" t="s">
        <v>1307</v>
      </c>
      <c r="D77" s="239" t="s">
        <v>1226</v>
      </c>
      <c r="E77" s="249" t="s">
        <v>160</v>
      </c>
      <c r="G77" s="247">
        <f t="shared" si="102"/>
        <v>30.984942346747903</v>
      </c>
      <c r="H77" s="247">
        <f t="shared" ref="H77:O77" si="108">(1-$J61)*H42</f>
        <v>19169.294018236793</v>
      </c>
      <c r="I77" s="247">
        <f t="shared" si="108"/>
        <v>18978.757596450021</v>
      </c>
      <c r="J77" s="247">
        <f t="shared" si="108"/>
        <v>11558.671535491434</v>
      </c>
      <c r="K77" s="247">
        <f t="shared" si="108"/>
        <v>5952.9145280416697</v>
      </c>
      <c r="L77" s="247">
        <f t="shared" si="108"/>
        <v>3202.2350710491705</v>
      </c>
      <c r="M77" s="247">
        <f t="shared" si="108"/>
        <v>1215.2575587806302</v>
      </c>
      <c r="N77" s="247">
        <f t="shared" si="108"/>
        <v>520.08525823859338</v>
      </c>
      <c r="O77" s="247">
        <f t="shared" si="108"/>
        <v>38.855555555555554</v>
      </c>
      <c r="P77" s="247">
        <f t="shared" si="104"/>
        <v>60667.05606419062</v>
      </c>
      <c r="Q77" s="248">
        <f t="shared" si="105"/>
        <v>2.8692202674010299E-2</v>
      </c>
      <c r="AD77" s="247">
        <f t="shared" si="97"/>
        <v>31.263806827868631</v>
      </c>
      <c r="AE77" s="247">
        <f t="shared" ref="AE77:AL77" si="109">(1-$AG61)*AE42</f>
        <v>19341.817664400925</v>
      </c>
      <c r="AF77" s="247">
        <f t="shared" si="109"/>
        <v>19149.566414818066</v>
      </c>
      <c r="AG77" s="247">
        <f t="shared" si="109"/>
        <v>11662.699579310856</v>
      </c>
      <c r="AH77" s="247">
        <f t="shared" si="109"/>
        <v>6006.4907587940443</v>
      </c>
      <c r="AI77" s="247">
        <f t="shared" si="109"/>
        <v>3231.0551866886126</v>
      </c>
      <c r="AJ77" s="247">
        <f t="shared" si="109"/>
        <v>1226.1948768096559</v>
      </c>
      <c r="AK77" s="247">
        <f t="shared" si="109"/>
        <v>524.76602556274065</v>
      </c>
      <c r="AL77" s="247">
        <f t="shared" si="109"/>
        <v>39.205255555555553</v>
      </c>
      <c r="AM77" s="247">
        <f t="shared" si="107"/>
        <v>61213.059568768331</v>
      </c>
      <c r="AN77" s="261">
        <f t="shared" si="93"/>
        <v>2.8692202674010309E-2</v>
      </c>
      <c r="BA77" s="171" t="s">
        <v>1377</v>
      </c>
    </row>
    <row r="78" spans="1:53" s="171" customFormat="1" ht="15.5">
      <c r="A78" s="175" t="s">
        <v>1378</v>
      </c>
      <c r="B78" s="175" t="s">
        <v>1244</v>
      </c>
      <c r="C78" s="175" t="s">
        <v>1266</v>
      </c>
      <c r="D78" s="239" t="s">
        <v>1226</v>
      </c>
      <c r="E78" s="249" t="s">
        <v>160</v>
      </c>
      <c r="G78" s="247">
        <f t="shared" si="102"/>
        <v>55.833333333333329</v>
      </c>
      <c r="H78" s="247">
        <f t="shared" ref="H78:O78" si="110">(1-$J62)*H43</f>
        <v>74193.5</v>
      </c>
      <c r="I78" s="247">
        <f t="shared" si="110"/>
        <v>103535.25</v>
      </c>
      <c r="J78" s="247">
        <f t="shared" si="110"/>
        <v>83751.333333333328</v>
      </c>
      <c r="K78" s="247">
        <f t="shared" si="110"/>
        <v>75615.75</v>
      </c>
      <c r="L78" s="247">
        <f t="shared" si="110"/>
        <v>74192.250000000015</v>
      </c>
      <c r="M78" s="247">
        <f t="shared" si="110"/>
        <v>40083.333333333336</v>
      </c>
      <c r="N78" s="247">
        <f t="shared" si="110"/>
        <v>24316.25</v>
      </c>
      <c r="O78" s="247">
        <f t="shared" si="110"/>
        <v>2149.5</v>
      </c>
      <c r="P78" s="247">
        <f t="shared" si="104"/>
        <v>477892.99999999994</v>
      </c>
      <c r="Q78" s="248">
        <f t="shared" si="105"/>
        <v>0.2260172769547712</v>
      </c>
      <c r="AD78" s="247">
        <f t="shared" si="97"/>
        <v>56.335833333333333</v>
      </c>
      <c r="AE78" s="247">
        <f t="shared" ref="AE78:AL78" si="111">(1-$AG62)*AE43</f>
        <v>74861.241499999975</v>
      </c>
      <c r="AF78" s="247">
        <f t="shared" si="111"/>
        <v>104467.06724999999</v>
      </c>
      <c r="AG78" s="247">
        <f t="shared" si="111"/>
        <v>84505.095333333316</v>
      </c>
      <c r="AH78" s="247">
        <f t="shared" si="111"/>
        <v>76296.291750000004</v>
      </c>
      <c r="AI78" s="247">
        <f t="shared" si="111"/>
        <v>74859.980249999993</v>
      </c>
      <c r="AJ78" s="247">
        <f t="shared" si="111"/>
        <v>40444.083333333321</v>
      </c>
      <c r="AK78" s="247">
        <f t="shared" si="111"/>
        <v>24535.096249999995</v>
      </c>
      <c r="AL78" s="247">
        <f t="shared" si="111"/>
        <v>2168.8454999999999</v>
      </c>
      <c r="AM78" s="247">
        <f t="shared" si="107"/>
        <v>482194.03699999995</v>
      </c>
      <c r="AN78" s="261">
        <f t="shared" si="93"/>
        <v>0.22601727695477128</v>
      </c>
      <c r="BA78" s="171" t="s">
        <v>1379</v>
      </c>
    </row>
    <row r="79" spans="1:53" s="171" customFormat="1" ht="15.5">
      <c r="A79" s="175" t="s">
        <v>1380</v>
      </c>
      <c r="B79" s="175" t="s">
        <v>1244</v>
      </c>
      <c r="C79" s="175" t="s">
        <v>1312</v>
      </c>
      <c r="D79" s="239" t="s">
        <v>1226</v>
      </c>
      <c r="E79" s="249" t="s">
        <v>160</v>
      </c>
      <c r="G79" s="247">
        <f t="shared" si="102"/>
        <v>3.5827790134697723</v>
      </c>
      <c r="H79" s="247">
        <f t="shared" ref="H79:O79" si="112">(1-$J63)*H44</f>
        <v>5015.8909459153974</v>
      </c>
      <c r="I79" s="247">
        <f>(1-$J63)*I44</f>
        <v>4468.5550308070151</v>
      </c>
      <c r="J79" s="247">
        <f t="shared" si="112"/>
        <v>2548.1485725777443</v>
      </c>
      <c r="K79" s="247">
        <f t="shared" si="112"/>
        <v>1355.1323188367564</v>
      </c>
      <c r="L79" s="247">
        <f t="shared" si="112"/>
        <v>854.16427669106781</v>
      </c>
      <c r="M79" s="247">
        <f t="shared" si="112"/>
        <v>334.27547601702912</v>
      </c>
      <c r="N79" s="247">
        <f t="shared" si="112"/>
        <v>98.611235740080119</v>
      </c>
      <c r="O79" s="247">
        <f t="shared" si="112"/>
        <v>2.2725150352089472</v>
      </c>
      <c r="P79" s="247">
        <f>SUM(G79:O79)</f>
        <v>14680.633150633768</v>
      </c>
      <c r="Q79" s="248">
        <f t="shared" si="105"/>
        <v>6.9431373313235132E-3</v>
      </c>
      <c r="AD79" s="247">
        <f t="shared" si="97"/>
        <v>3.6150240245910004</v>
      </c>
      <c r="AE79" s="247">
        <f t="shared" ref="AE79:AL79" si="113">(1-$AG63)*AE44</f>
        <v>5061.033964428635</v>
      </c>
      <c r="AF79" s="247">
        <f t="shared" si="113"/>
        <v>4508.772026084278</v>
      </c>
      <c r="AG79" s="247">
        <f t="shared" si="113"/>
        <v>2571.0819097309441</v>
      </c>
      <c r="AH79" s="247">
        <f t="shared" si="113"/>
        <v>1367.3285097062872</v>
      </c>
      <c r="AI79" s="247">
        <f t="shared" si="113"/>
        <v>861.85175518128744</v>
      </c>
      <c r="AJ79" s="247">
        <f t="shared" si="113"/>
        <v>337.2839553011824</v>
      </c>
      <c r="AK79" s="247">
        <f t="shared" si="113"/>
        <v>99.498736861740838</v>
      </c>
      <c r="AL79" s="247">
        <f t="shared" si="113"/>
        <v>2.2929676705258273</v>
      </c>
      <c r="AM79" s="247">
        <f>SUM(AD79:AL79)</f>
        <v>14812.75884898947</v>
      </c>
      <c r="AN79" s="261">
        <f t="shared" si="93"/>
        <v>6.9431373313235149E-3</v>
      </c>
      <c r="BA79" s="171" t="s">
        <v>1381</v>
      </c>
    </row>
    <row r="80" spans="1:53" s="171" customFormat="1" ht="15.5">
      <c r="A80" s="175" t="s">
        <v>1382</v>
      </c>
      <c r="B80" s="175" t="s">
        <v>1244</v>
      </c>
      <c r="C80" s="175" t="s">
        <v>1315</v>
      </c>
      <c r="D80" s="239" t="s">
        <v>1226</v>
      </c>
      <c r="E80" s="249" t="s">
        <v>160</v>
      </c>
      <c r="G80" s="247">
        <f t="shared" si="102"/>
        <v>3.8383677175758253</v>
      </c>
      <c r="H80" s="247">
        <f t="shared" ref="H80:O80" si="114">(1-$J64)*H45</f>
        <v>7554.6224472508893</v>
      </c>
      <c r="I80" s="247">
        <f t="shared" si="114"/>
        <v>7163.9129630359639</v>
      </c>
      <c r="J80" s="247">
        <f t="shared" si="114"/>
        <v>4228.6896158301452</v>
      </c>
      <c r="K80" s="247">
        <f t="shared" si="114"/>
        <v>2129.5781913657688</v>
      </c>
      <c r="L80" s="247">
        <f t="shared" si="114"/>
        <v>1932.1036278320321</v>
      </c>
      <c r="M80" s="247">
        <f t="shared" si="114"/>
        <v>678.99276208479989</v>
      </c>
      <c r="N80" s="247">
        <f t="shared" si="114"/>
        <v>193.43208203227562</v>
      </c>
      <c r="O80" s="247">
        <f t="shared" si="114"/>
        <v>7.3238273645456076</v>
      </c>
      <c r="P80" s="247">
        <f t="shared" ref="P80:P84" si="115">SUM(G80:O80)</f>
        <v>23892.493884513995</v>
      </c>
      <c r="Q80" s="248">
        <f t="shared" si="105"/>
        <v>1.1299844122923702E-2</v>
      </c>
      <c r="AD80" s="247">
        <f t="shared" si="97"/>
        <v>3.8729130270340075</v>
      </c>
      <c r="AE80" s="247">
        <f t="shared" ref="AE80:AL80" si="116">(1-$AG64)*AE45</f>
        <v>7622.6140492761479</v>
      </c>
      <c r="AF80" s="247">
        <f t="shared" si="116"/>
        <v>7228.3881797032864</v>
      </c>
      <c r="AG80" s="247">
        <f t="shared" si="116"/>
        <v>4266.7478223726157</v>
      </c>
      <c r="AH80" s="247">
        <f t="shared" si="116"/>
        <v>2148.7443950880606</v>
      </c>
      <c r="AI80" s="247">
        <f t="shared" si="116"/>
        <v>1949.4925604825203</v>
      </c>
      <c r="AJ80" s="247">
        <f t="shared" si="116"/>
        <v>685.10369694356302</v>
      </c>
      <c r="AK80" s="247">
        <f t="shared" si="116"/>
        <v>195.17297077056611</v>
      </c>
      <c r="AL80" s="247">
        <f t="shared" si="116"/>
        <v>7.3897418108265178</v>
      </c>
      <c r="AM80" s="247">
        <f t="shared" ref="AM80:AM84" si="117">SUM(AD80:AL80)</f>
        <v>24107.526329474626</v>
      </c>
      <c r="AN80" s="261">
        <f t="shared" si="93"/>
        <v>1.1299844122923709E-2</v>
      </c>
      <c r="BA80" s="171" t="s">
        <v>1383</v>
      </c>
    </row>
    <row r="81" spans="1:53" s="171" customFormat="1" ht="15.5">
      <c r="A81" s="175" t="s">
        <v>1384</v>
      </c>
      <c r="B81" s="175" t="s">
        <v>1244</v>
      </c>
      <c r="C81" s="175" t="s">
        <v>1262</v>
      </c>
      <c r="D81" s="239" t="s">
        <v>1226</v>
      </c>
      <c r="E81" s="249" t="s">
        <v>160</v>
      </c>
      <c r="G81" s="247">
        <f t="shared" si="102"/>
        <v>56.403946542140979</v>
      </c>
      <c r="H81" s="247">
        <f t="shared" ref="H81:O81" si="118">(1-$J65)*H46</f>
        <v>51166.707459507314</v>
      </c>
      <c r="I81" s="247">
        <f t="shared" si="118"/>
        <v>38840.661260500849</v>
      </c>
      <c r="J81" s="247">
        <f t="shared" si="118"/>
        <v>19708.805394149054</v>
      </c>
      <c r="K81" s="247">
        <f t="shared" si="118"/>
        <v>7957.6911841872661</v>
      </c>
      <c r="L81" s="247">
        <f t="shared" si="118"/>
        <v>3670.5464795332155</v>
      </c>
      <c r="M81" s="247">
        <f t="shared" si="118"/>
        <v>1059.2021992572652</v>
      </c>
      <c r="N81" s="247">
        <f t="shared" si="118"/>
        <v>368.41137756387587</v>
      </c>
      <c r="O81" s="247">
        <f t="shared" si="118"/>
        <v>18.344444444444445</v>
      </c>
      <c r="P81" s="247">
        <f t="shared" si="115"/>
        <v>122846.77374568542</v>
      </c>
      <c r="Q81" s="248">
        <f t="shared" si="105"/>
        <v>5.8099811641264258E-2</v>
      </c>
      <c r="AD81" s="247">
        <f t="shared" si="97"/>
        <v>56.911582061020248</v>
      </c>
      <c r="AE81" s="247">
        <f t="shared" ref="AE81:AL81" si="119">(1-$AG65)*AE46</f>
        <v>51627.207826642873</v>
      </c>
      <c r="AF81" s="247">
        <f t="shared" si="119"/>
        <v>39190.227211845355</v>
      </c>
      <c r="AG81" s="247">
        <f t="shared" si="119"/>
        <v>19886.184642696393</v>
      </c>
      <c r="AH81" s="247">
        <f t="shared" si="119"/>
        <v>8029.3104048449513</v>
      </c>
      <c r="AI81" s="247">
        <f t="shared" si="119"/>
        <v>3703.5813978490137</v>
      </c>
      <c r="AJ81" s="247">
        <f t="shared" si="119"/>
        <v>1068.7350190505806</v>
      </c>
      <c r="AK81" s="247">
        <f t="shared" si="119"/>
        <v>371.72707996195072</v>
      </c>
      <c r="AL81" s="247">
        <f t="shared" si="119"/>
        <v>18.509544444444444</v>
      </c>
      <c r="AM81" s="247">
        <f t="shared" si="117"/>
        <v>123952.39470939657</v>
      </c>
      <c r="AN81" s="261">
        <f t="shared" si="93"/>
        <v>5.8099811641264265E-2</v>
      </c>
      <c r="BA81" s="171" t="s">
        <v>1385</v>
      </c>
    </row>
    <row r="82" spans="1:53" s="171" customFormat="1" ht="15.5">
      <c r="A82" s="175" t="s">
        <v>1386</v>
      </c>
      <c r="B82" s="175" t="s">
        <v>1265</v>
      </c>
      <c r="C82" s="175" t="s">
        <v>1266</v>
      </c>
      <c r="D82" s="239" t="s">
        <v>1226</v>
      </c>
      <c r="E82" s="249" t="s">
        <v>160</v>
      </c>
      <c r="G82" s="247">
        <f t="shared" si="102"/>
        <v>0.27777777777777779</v>
      </c>
      <c r="H82" s="247">
        <f t="shared" ref="H82:O82" si="120">(1-$J66)*H47</f>
        <v>329.66666666666663</v>
      </c>
      <c r="I82" s="247">
        <f t="shared" si="120"/>
        <v>231.77777777777777</v>
      </c>
      <c r="J82" s="247">
        <f t="shared" si="120"/>
        <v>194.66666666666666</v>
      </c>
      <c r="K82" s="247">
        <f t="shared" si="120"/>
        <v>162</v>
      </c>
      <c r="L82" s="247">
        <f t="shared" si="120"/>
        <v>163.16666666666669</v>
      </c>
      <c r="M82" s="247">
        <f t="shared" si="120"/>
        <v>96.055555555555557</v>
      </c>
      <c r="N82" s="247">
        <f t="shared" si="120"/>
        <v>48.333333333333336</v>
      </c>
      <c r="O82" s="247">
        <f t="shared" si="120"/>
        <v>12</v>
      </c>
      <c r="P82" s="247">
        <f t="shared" si="115"/>
        <v>1237.9444444444443</v>
      </c>
      <c r="Q82" s="248">
        <f t="shared" si="105"/>
        <v>5.8548008101106394E-4</v>
      </c>
      <c r="AD82" s="247">
        <f t="shared" si="97"/>
        <v>0.28027777777777774</v>
      </c>
      <c r="AE82" s="247">
        <f t="shared" ref="AE82:AL82" si="121">(1-$AG66)*AE47</f>
        <v>332.63366666666661</v>
      </c>
      <c r="AF82" s="247">
        <f t="shared" si="121"/>
        <v>233.86377777777776</v>
      </c>
      <c r="AG82" s="247">
        <f t="shared" si="121"/>
        <v>196.41866666666664</v>
      </c>
      <c r="AH82" s="247">
        <f t="shared" si="121"/>
        <v>163.45799999999997</v>
      </c>
      <c r="AI82" s="247">
        <f t="shared" si="121"/>
        <v>164.63516666666666</v>
      </c>
      <c r="AJ82" s="247">
        <f t="shared" si="121"/>
        <v>96.920055555555535</v>
      </c>
      <c r="AK82" s="247">
        <f t="shared" si="121"/>
        <v>48.768333333333331</v>
      </c>
      <c r="AL82" s="247">
        <f t="shared" si="121"/>
        <v>12.107999999999999</v>
      </c>
      <c r="AM82" s="247">
        <f t="shared" si="117"/>
        <v>1249.0859444444443</v>
      </c>
      <c r="AN82" s="261">
        <f t="shared" si="93"/>
        <v>5.8548008101106416E-4</v>
      </c>
      <c r="BA82" s="171" t="s">
        <v>1387</v>
      </c>
    </row>
    <row r="83" spans="1:53" s="171" customFormat="1" ht="15.5">
      <c r="A83" s="175" t="s">
        <v>1388</v>
      </c>
      <c r="B83" s="175" t="s">
        <v>1265</v>
      </c>
      <c r="C83" s="175" t="s">
        <v>1269</v>
      </c>
      <c r="D83" s="239" t="s">
        <v>1226</v>
      </c>
      <c r="E83" s="249" t="s">
        <v>160</v>
      </c>
      <c r="G83" s="247">
        <f t="shared" si="102"/>
        <v>0</v>
      </c>
      <c r="H83" s="247">
        <f t="shared" ref="H83:O83" si="122">(1-$J67)*H48</f>
        <v>3.6666666666666665</v>
      </c>
      <c r="I83" s="247">
        <f t="shared" si="122"/>
        <v>6.6111111111111116</v>
      </c>
      <c r="J83" s="247">
        <f t="shared" si="122"/>
        <v>4</v>
      </c>
      <c r="K83" s="247">
        <f t="shared" si="122"/>
        <v>3.5</v>
      </c>
      <c r="L83" s="247">
        <f t="shared" si="122"/>
        <v>3.666666666666667</v>
      </c>
      <c r="M83" s="247">
        <f t="shared" si="122"/>
        <v>2.1666666666666665</v>
      </c>
      <c r="N83" s="247">
        <f t="shared" si="122"/>
        <v>0</v>
      </c>
      <c r="O83" s="247">
        <f t="shared" si="122"/>
        <v>0</v>
      </c>
      <c r="P83" s="247">
        <f t="shared" si="115"/>
        <v>23.611111111111114</v>
      </c>
      <c r="Q83" s="248">
        <f t="shared" si="105"/>
        <v>1.1166765445842221E-5</v>
      </c>
      <c r="AD83" s="247">
        <f t="shared" si="97"/>
        <v>0</v>
      </c>
      <c r="AE83" s="247">
        <f t="shared" ref="AE83:AL83" si="123">(1-$AG67)*AE48</f>
        <v>3.699666666666666</v>
      </c>
      <c r="AF83" s="247">
        <f t="shared" si="123"/>
        <v>6.6706111111111106</v>
      </c>
      <c r="AG83" s="247">
        <f t="shared" si="123"/>
        <v>4.0359999999999996</v>
      </c>
      <c r="AH83" s="247">
        <f t="shared" si="123"/>
        <v>3.5314999999999994</v>
      </c>
      <c r="AI83" s="247">
        <f t="shared" si="123"/>
        <v>3.6996666666666664</v>
      </c>
      <c r="AJ83" s="247">
        <f t="shared" si="123"/>
        <v>2.1861666666666664</v>
      </c>
      <c r="AK83" s="247">
        <f t="shared" si="123"/>
        <v>0</v>
      </c>
      <c r="AL83" s="247">
        <f t="shared" si="123"/>
        <v>0</v>
      </c>
      <c r="AM83" s="247">
        <f t="shared" si="117"/>
        <v>23.823611111111106</v>
      </c>
      <c r="AN83" s="261">
        <f t="shared" si="93"/>
        <v>1.1166765445842221E-5</v>
      </c>
      <c r="BA83" s="171" t="s">
        <v>1389</v>
      </c>
    </row>
    <row r="84" spans="1:53" s="171" customFormat="1" ht="15.5">
      <c r="A84" s="175" t="s">
        <v>1390</v>
      </c>
      <c r="B84" s="175" t="s">
        <v>1265</v>
      </c>
      <c r="C84" s="175" t="s">
        <v>1272</v>
      </c>
      <c r="D84" s="239" t="s">
        <v>1226</v>
      </c>
      <c r="E84" s="249" t="s">
        <v>160</v>
      </c>
      <c r="G84" s="247">
        <f t="shared" si="102"/>
        <v>0</v>
      </c>
      <c r="H84" s="247">
        <f t="shared" ref="H84:O84" si="124">(1-$J68)*H49</f>
        <v>6</v>
      </c>
      <c r="I84" s="247">
        <f t="shared" si="124"/>
        <v>22.166666666666668</v>
      </c>
      <c r="J84" s="247">
        <f t="shared" si="124"/>
        <v>17.777777777777779</v>
      </c>
      <c r="K84" s="247">
        <f t="shared" si="124"/>
        <v>15</v>
      </c>
      <c r="L84" s="247">
        <f t="shared" si="124"/>
        <v>9.7777777777777786</v>
      </c>
      <c r="M84" s="247">
        <f t="shared" si="124"/>
        <v>5.0555555555555554</v>
      </c>
      <c r="N84" s="247">
        <f t="shared" si="124"/>
        <v>0</v>
      </c>
      <c r="O84" s="247">
        <f t="shared" si="124"/>
        <v>0</v>
      </c>
      <c r="P84" s="247">
        <f t="shared" si="115"/>
        <v>75.777777777777786</v>
      </c>
      <c r="Q84" s="248">
        <f t="shared" si="105"/>
        <v>3.5838748395597147E-5</v>
      </c>
      <c r="AD84" s="247">
        <f t="shared" si="97"/>
        <v>0</v>
      </c>
      <c r="AE84" s="247">
        <f t="shared" ref="AE84:AL84" si="125">(1-$AG68)*AE49</f>
        <v>6.0539999999999994</v>
      </c>
      <c r="AF84" s="247">
        <f t="shared" si="125"/>
        <v>22.366166666666665</v>
      </c>
      <c r="AG84" s="247">
        <f t="shared" si="125"/>
        <v>17.937777777777775</v>
      </c>
      <c r="AH84" s="247">
        <f t="shared" si="125"/>
        <v>15.134999999999998</v>
      </c>
      <c r="AI84" s="247">
        <f t="shared" si="125"/>
        <v>9.8657777777777778</v>
      </c>
      <c r="AJ84" s="247">
        <f t="shared" si="125"/>
        <v>5.101055555555555</v>
      </c>
      <c r="AK84" s="247">
        <f t="shared" si="125"/>
        <v>0</v>
      </c>
      <c r="AL84" s="247">
        <f t="shared" si="125"/>
        <v>0</v>
      </c>
      <c r="AM84" s="247">
        <f t="shared" si="117"/>
        <v>76.459777777777774</v>
      </c>
      <c r="AN84" s="261">
        <f t="shared" si="93"/>
        <v>3.5838748395597161E-5</v>
      </c>
      <c r="BA84" s="171" t="s">
        <v>1391</v>
      </c>
    </row>
    <row r="85" spans="1:53" s="171" customFormat="1" ht="15.5">
      <c r="A85" s="175" t="s">
        <v>1392</v>
      </c>
      <c r="B85" s="175" t="s">
        <v>1275</v>
      </c>
      <c r="C85" s="175" t="s">
        <v>1275</v>
      </c>
      <c r="D85" s="239" t="s">
        <v>1226</v>
      </c>
      <c r="E85" s="249" t="s">
        <v>160</v>
      </c>
      <c r="G85" s="247">
        <f t="shared" si="102"/>
        <v>0</v>
      </c>
      <c r="H85" s="247">
        <f t="shared" ref="H85:O85" si="126">(1-$J69)*H50</f>
        <v>0</v>
      </c>
      <c r="I85" s="247">
        <f t="shared" si="126"/>
        <v>0</v>
      </c>
      <c r="J85" s="247">
        <f t="shared" si="126"/>
        <v>0</v>
      </c>
      <c r="K85" s="247">
        <f t="shared" si="126"/>
        <v>0</v>
      </c>
      <c r="L85" s="247">
        <f t="shared" si="126"/>
        <v>0</v>
      </c>
      <c r="M85" s="247">
        <f t="shared" si="126"/>
        <v>0</v>
      </c>
      <c r="N85" s="247">
        <f t="shared" si="126"/>
        <v>0</v>
      </c>
      <c r="O85" s="247">
        <f t="shared" si="126"/>
        <v>0</v>
      </c>
      <c r="P85" s="247">
        <f>SUM(G85:O85)</f>
        <v>0</v>
      </c>
      <c r="Q85" s="248">
        <f t="shared" si="105"/>
        <v>0</v>
      </c>
      <c r="AD85" s="247">
        <f t="shared" si="97"/>
        <v>0</v>
      </c>
      <c r="AE85" s="247">
        <f t="shared" ref="AE85:AL85" si="127">(1-$AG69)*AE50</f>
        <v>0</v>
      </c>
      <c r="AF85" s="247">
        <f t="shared" si="127"/>
        <v>0</v>
      </c>
      <c r="AG85" s="247">
        <f t="shared" si="127"/>
        <v>0</v>
      </c>
      <c r="AH85" s="247">
        <f t="shared" si="127"/>
        <v>0</v>
      </c>
      <c r="AI85" s="247">
        <f t="shared" si="127"/>
        <v>0</v>
      </c>
      <c r="AJ85" s="247">
        <f t="shared" si="127"/>
        <v>0</v>
      </c>
      <c r="AK85" s="247">
        <f t="shared" si="127"/>
        <v>0</v>
      </c>
      <c r="AL85" s="247">
        <f t="shared" si="127"/>
        <v>0</v>
      </c>
      <c r="AM85" s="247">
        <f>SUM(AD85:AL85)</f>
        <v>0</v>
      </c>
      <c r="AN85" s="261">
        <f t="shared" si="93"/>
        <v>0</v>
      </c>
      <c r="BA85" s="171" t="s">
        <v>1393</v>
      </c>
    </row>
    <row r="86" spans="1:53" s="171" customFormat="1" ht="15.5">
      <c r="A86" s="175" t="s">
        <v>1394</v>
      </c>
      <c r="B86" s="175" t="s">
        <v>1279</v>
      </c>
      <c r="C86" s="175" t="s">
        <v>1279</v>
      </c>
      <c r="D86" s="239" t="s">
        <v>1226</v>
      </c>
      <c r="E86" s="249" t="s">
        <v>160</v>
      </c>
      <c r="G86" s="247">
        <f t="shared" si="102"/>
        <v>0</v>
      </c>
      <c r="H86" s="247">
        <f t="shared" ref="H86:O86" si="128">(1-$J70)*H51</f>
        <v>0</v>
      </c>
      <c r="I86" s="247">
        <f t="shared" si="128"/>
        <v>0</v>
      </c>
      <c r="J86" s="247">
        <f t="shared" si="128"/>
        <v>0</v>
      </c>
      <c r="K86" s="247">
        <f t="shared" si="128"/>
        <v>0</v>
      </c>
      <c r="L86" s="247">
        <f t="shared" si="128"/>
        <v>0</v>
      </c>
      <c r="M86" s="247">
        <f t="shared" si="128"/>
        <v>0</v>
      </c>
      <c r="N86" s="247">
        <f t="shared" si="128"/>
        <v>0</v>
      </c>
      <c r="O86" s="247">
        <f t="shared" si="128"/>
        <v>0</v>
      </c>
      <c r="P86" s="247">
        <f t="shared" ref="P86" si="129">SUM(G86:O86)</f>
        <v>0</v>
      </c>
      <c r="Q86" s="248">
        <f t="shared" si="105"/>
        <v>0</v>
      </c>
      <c r="AD86" s="247">
        <f t="shared" si="97"/>
        <v>0</v>
      </c>
      <c r="AE86" s="247">
        <f t="shared" ref="AE86:AL86" si="130">(1-$AG70)*AE51</f>
        <v>0</v>
      </c>
      <c r="AF86" s="247">
        <f t="shared" si="130"/>
        <v>0</v>
      </c>
      <c r="AG86" s="247">
        <f t="shared" si="130"/>
        <v>0</v>
      </c>
      <c r="AH86" s="247">
        <f t="shared" si="130"/>
        <v>0</v>
      </c>
      <c r="AI86" s="247">
        <f t="shared" si="130"/>
        <v>0</v>
      </c>
      <c r="AJ86" s="247">
        <f t="shared" si="130"/>
        <v>0</v>
      </c>
      <c r="AK86" s="247">
        <f t="shared" si="130"/>
        <v>0</v>
      </c>
      <c r="AL86" s="247">
        <f t="shared" si="130"/>
        <v>0</v>
      </c>
      <c r="AM86" s="247">
        <f t="shared" ref="AM86" si="131">SUM(AD86:AL86)</f>
        <v>0</v>
      </c>
      <c r="AN86" s="261">
        <f t="shared" si="93"/>
        <v>0</v>
      </c>
      <c r="BA86" s="171" t="s">
        <v>1395</v>
      </c>
    </row>
    <row r="87" spans="1:53" s="171" customFormat="1" ht="15.5">
      <c r="A87" s="175" t="s">
        <v>1396</v>
      </c>
      <c r="B87" s="175"/>
      <c r="C87" s="175" t="s">
        <v>1283</v>
      </c>
      <c r="D87" s="239" t="s">
        <v>1226</v>
      </c>
      <c r="E87" s="249" t="s">
        <v>160</v>
      </c>
      <c r="G87" s="247">
        <f>SUM(G73:G86)</f>
        <v>312.39903344128527</v>
      </c>
      <c r="H87" s="247">
        <f t="shared" ref="H87:P87" si="132">SUM(H73:H86)</f>
        <v>252131.54232256179</v>
      </c>
      <c r="I87" s="247">
        <f t="shared" si="132"/>
        <v>363629.26462097187</v>
      </c>
      <c r="J87" s="247">
        <f t="shared" si="132"/>
        <v>306883.37068519561</v>
      </c>
      <c r="K87" s="247">
        <f t="shared" si="132"/>
        <v>305407.03324166918</v>
      </c>
      <c r="L87" s="247">
        <f t="shared" si="132"/>
        <v>382427.15084792598</v>
      </c>
      <c r="M87" s="247">
        <f t="shared" si="132"/>
        <v>276185.93718031701</v>
      </c>
      <c r="N87" s="247">
        <f t="shared" si="132"/>
        <v>203573.23257785934</v>
      </c>
      <c r="O87" s="247">
        <f t="shared" si="132"/>
        <v>23859.226342399746</v>
      </c>
      <c r="P87" s="247">
        <f t="shared" si="132"/>
        <v>2114409.1568523417</v>
      </c>
      <c r="Q87" s="248">
        <f t="shared" si="105"/>
        <v>1</v>
      </c>
      <c r="AD87" s="247">
        <f>SUM(AD73:AD86)</f>
        <v>315.21062474225675</v>
      </c>
      <c r="AE87" s="247">
        <f t="shared" ref="AE87:AM87" si="133">SUM(AE73:AE86)</f>
        <v>254400.72620346482</v>
      </c>
      <c r="AF87" s="247">
        <f t="shared" si="133"/>
        <v>366901.92800256051</v>
      </c>
      <c r="AG87" s="247">
        <f t="shared" si="133"/>
        <v>309645.32102136244</v>
      </c>
      <c r="AH87" s="247">
        <f t="shared" si="133"/>
        <v>308155.69654084416</v>
      </c>
      <c r="AI87" s="247">
        <f t="shared" si="133"/>
        <v>385868.99520555732</v>
      </c>
      <c r="AJ87" s="247">
        <f t="shared" si="133"/>
        <v>278671.61061493977</v>
      </c>
      <c r="AK87" s="247">
        <f t="shared" si="133"/>
        <v>205405.39167106003</v>
      </c>
      <c r="AL87" s="247">
        <f>SUM(AL73:AL86)</f>
        <v>24073.959379481355</v>
      </c>
      <c r="AM87" s="247">
        <f t="shared" si="133"/>
        <v>2133438.8392640119</v>
      </c>
      <c r="AN87" s="261">
        <f t="shared" si="93"/>
        <v>1</v>
      </c>
      <c r="BA87" s="171" t="s">
        <v>1397</v>
      </c>
    </row>
    <row r="88" spans="1:53" s="171" customFormat="1" ht="15.5">
      <c r="A88" s="175" t="s">
        <v>1398</v>
      </c>
      <c r="B88" s="175"/>
      <c r="C88" s="175" t="s">
        <v>1286</v>
      </c>
      <c r="D88" s="249" t="s">
        <v>1253</v>
      </c>
      <c r="E88" s="249" t="s">
        <v>160</v>
      </c>
      <c r="G88" s="248">
        <f>IFERROR(G87/$P$87, "")</f>
        <v>1.4774767335303467E-4</v>
      </c>
      <c r="H88" s="248">
        <f t="shared" ref="H88:P88" si="134">IFERROR(H87/$P$87, "")</f>
        <v>0.11924444306602537</v>
      </c>
      <c r="I88" s="248">
        <f t="shared" si="134"/>
        <v>0.1719767734842276</v>
      </c>
      <c r="J88" s="248">
        <f t="shared" si="134"/>
        <v>0.14513906624489076</v>
      </c>
      <c r="K88" s="248">
        <f t="shared" si="134"/>
        <v>0.14444083930109325</v>
      </c>
      <c r="L88" s="248">
        <f t="shared" si="134"/>
        <v>0.18086714655418631</v>
      </c>
      <c r="M88" s="248">
        <f t="shared" si="134"/>
        <v>0.13062085750303259</v>
      </c>
      <c r="N88" s="248">
        <f t="shared" si="134"/>
        <v>9.6279015779950919E-2</v>
      </c>
      <c r="O88" s="248">
        <f t="shared" si="134"/>
        <v>1.1284110393240196E-2</v>
      </c>
      <c r="P88" s="248">
        <f t="shared" si="134"/>
        <v>1</v>
      </c>
      <c r="AD88" s="248">
        <f t="shared" ref="AD88:AM88" si="135">IFERROR(AD87/$AM$87, "")</f>
        <v>1.477476733530347E-4</v>
      </c>
      <c r="AE88" s="248">
        <f t="shared" si="135"/>
        <v>0.11924444306602541</v>
      </c>
      <c r="AF88" s="248">
        <f t="shared" si="135"/>
        <v>0.17197677348422763</v>
      </c>
      <c r="AG88" s="248">
        <f t="shared" si="135"/>
        <v>0.14513906624489084</v>
      </c>
      <c r="AH88" s="248">
        <f t="shared" si="135"/>
        <v>0.1444408393010933</v>
      </c>
      <c r="AI88" s="248">
        <f t="shared" si="135"/>
        <v>0.18086714655418637</v>
      </c>
      <c r="AJ88" s="248">
        <f t="shared" si="135"/>
        <v>0.13062085750303259</v>
      </c>
      <c r="AK88" s="248">
        <f t="shared" si="135"/>
        <v>9.6279015779950947E-2</v>
      </c>
      <c r="AL88" s="248">
        <f t="shared" si="135"/>
        <v>1.1284110393240204E-2</v>
      </c>
      <c r="AM88" s="248">
        <f t="shared" si="135"/>
        <v>1</v>
      </c>
      <c r="BA88" s="171" t="s">
        <v>1399</v>
      </c>
    </row>
    <row r="89" spans="1:53" s="171" customFormat="1" ht="16" thickBot="1">
      <c r="D89" s="238"/>
      <c r="E89" s="238"/>
    </row>
    <row r="90" spans="1:53" s="171" customFormat="1" ht="16" thickBot="1">
      <c r="A90" s="240"/>
      <c r="B90" s="241"/>
      <c r="C90" s="241" t="s">
        <v>664</v>
      </c>
      <c r="D90" s="242"/>
      <c r="E90" s="243"/>
      <c r="G90" s="258" t="s">
        <v>1211</v>
      </c>
      <c r="H90" s="259" t="s">
        <v>1212</v>
      </c>
      <c r="I90" s="259" t="s">
        <v>1213</v>
      </c>
      <c r="J90" s="259" t="s">
        <v>1214</v>
      </c>
      <c r="K90" s="259" t="s">
        <v>1215</v>
      </c>
      <c r="L90" s="259" t="s">
        <v>1216</v>
      </c>
      <c r="M90" s="259" t="s">
        <v>1217</v>
      </c>
      <c r="N90" s="259" t="s">
        <v>1218</v>
      </c>
      <c r="O90" s="68" t="s">
        <v>1219</v>
      </c>
      <c r="AD90" s="258" t="s">
        <v>1211</v>
      </c>
      <c r="AE90" s="259" t="s">
        <v>1212</v>
      </c>
      <c r="AF90" s="259" t="s">
        <v>1213</v>
      </c>
      <c r="AG90" s="259" t="s">
        <v>1214</v>
      </c>
      <c r="AH90" s="259" t="s">
        <v>1215</v>
      </c>
      <c r="AI90" s="259" t="s">
        <v>1216</v>
      </c>
      <c r="AJ90" s="259" t="s">
        <v>1217</v>
      </c>
      <c r="AK90" s="259" t="s">
        <v>1218</v>
      </c>
      <c r="AL90" s="68" t="s">
        <v>1219</v>
      </c>
    </row>
    <row r="91" spans="1:53" s="171" customFormat="1" ht="15.5">
      <c r="A91" s="175" t="s">
        <v>1400</v>
      </c>
      <c r="B91" s="179"/>
      <c r="C91" s="179" t="s">
        <v>1401</v>
      </c>
      <c r="D91" s="239" t="s">
        <v>1402</v>
      </c>
      <c r="E91" s="239" t="s">
        <v>1403</v>
      </c>
      <c r="G91" s="262">
        <f>$K$91*G35</f>
        <v>123.00000000000001</v>
      </c>
      <c r="H91" s="262">
        <f>$K$91*H35</f>
        <v>147.6</v>
      </c>
      <c r="I91" s="262">
        <f>$K$91*I35</f>
        <v>172.20000000000002</v>
      </c>
      <c r="J91" s="262">
        <f>$K$91*J35</f>
        <v>196.79999999999998</v>
      </c>
      <c r="K91" s="408">
        <v>221.4</v>
      </c>
      <c r="L91" s="262">
        <f>$K$91*L35</f>
        <v>270.60000000000002</v>
      </c>
      <c r="M91" s="262">
        <f>$K$91*M35</f>
        <v>319.8</v>
      </c>
      <c r="N91" s="262">
        <f>$K$91*N35</f>
        <v>369</v>
      </c>
      <c r="O91" s="262">
        <f>$K$91*O35</f>
        <v>442.8</v>
      </c>
      <c r="AD91" s="262">
        <f>$AH$91*AD35</f>
        <v>129.15</v>
      </c>
      <c r="AE91" s="262">
        <f>$AH$91*AE35</f>
        <v>154.97999999999999</v>
      </c>
      <c r="AF91" s="262">
        <f>$AH$91*AF35</f>
        <v>180.81</v>
      </c>
      <c r="AG91" s="262">
        <f>$AH$91*AG35</f>
        <v>206.64</v>
      </c>
      <c r="AH91" s="263">
        <v>232.47</v>
      </c>
      <c r="AI91" s="262">
        <f>$AH$91*AI35</f>
        <v>284.13</v>
      </c>
      <c r="AJ91" s="262">
        <f>$AH$91*AJ35</f>
        <v>335.79</v>
      </c>
      <c r="AK91" s="262">
        <f>$AH$91*AK35</f>
        <v>387.45</v>
      </c>
      <c r="AL91" s="262">
        <f>$AH$91*AL35</f>
        <v>464.94</v>
      </c>
      <c r="BA91" s="171" t="s">
        <v>1404</v>
      </c>
    </row>
    <row r="92" spans="1:53" s="171" customFormat="1" ht="16" thickBot="1">
      <c r="D92" s="238"/>
      <c r="E92" s="238"/>
    </row>
    <row r="93" spans="1:53" s="171" customFormat="1" ht="40.5" customHeight="1" thickBot="1">
      <c r="A93" s="240"/>
      <c r="B93" s="241"/>
      <c r="C93" s="256" t="s">
        <v>1405</v>
      </c>
      <c r="D93" s="256"/>
      <c r="E93" s="257"/>
      <c r="G93" s="258" t="s">
        <v>1211</v>
      </c>
      <c r="H93" s="259" t="s">
        <v>1212</v>
      </c>
      <c r="I93" s="259" t="s">
        <v>1213</v>
      </c>
      <c r="J93" s="259" t="s">
        <v>1214</v>
      </c>
      <c r="K93" s="259" t="s">
        <v>1215</v>
      </c>
      <c r="L93" s="259" t="s">
        <v>1216</v>
      </c>
      <c r="M93" s="259" t="s">
        <v>1217</v>
      </c>
      <c r="N93" s="259" t="s">
        <v>1218</v>
      </c>
      <c r="O93" s="67" t="s">
        <v>1219</v>
      </c>
      <c r="P93" s="67" t="s">
        <v>1220</v>
      </c>
      <c r="Q93" s="68" t="s">
        <v>1221</v>
      </c>
      <c r="AD93" s="258" t="s">
        <v>1211</v>
      </c>
      <c r="AE93" s="259" t="s">
        <v>1212</v>
      </c>
      <c r="AF93" s="259" t="s">
        <v>1213</v>
      </c>
      <c r="AG93" s="259" t="s">
        <v>1214</v>
      </c>
      <c r="AH93" s="259" t="s">
        <v>1215</v>
      </c>
      <c r="AI93" s="259" t="s">
        <v>1216</v>
      </c>
      <c r="AJ93" s="259" t="s">
        <v>1217</v>
      </c>
      <c r="AK93" s="259" t="s">
        <v>1218</v>
      </c>
      <c r="AL93" s="67" t="s">
        <v>1219</v>
      </c>
      <c r="AM93" s="67" t="s">
        <v>1220</v>
      </c>
      <c r="AN93" s="68" t="s">
        <v>1221</v>
      </c>
    </row>
    <row r="94" spans="1:53" s="171" customFormat="1" ht="15.5">
      <c r="A94" s="175" t="s">
        <v>1406</v>
      </c>
      <c r="B94" s="179" t="s">
        <v>1407</v>
      </c>
      <c r="C94" s="179" t="s">
        <v>1296</v>
      </c>
      <c r="D94" s="239" t="s">
        <v>1408</v>
      </c>
      <c r="E94" s="249" t="s">
        <v>160</v>
      </c>
      <c r="G94" s="260">
        <f>$K$91*G73</f>
        <v>31507.421052631576</v>
      </c>
      <c r="H94" s="260">
        <f>$K$91*H73</f>
        <v>15434240.340109579</v>
      </c>
      <c r="I94" s="260">
        <f t="shared" ref="I94:O94" si="136">$K$91*I73</f>
        <v>36263097.698929287</v>
      </c>
      <c r="J94" s="260">
        <f t="shared" si="136"/>
        <v>36769166.932397194</v>
      </c>
      <c r="K94" s="260">
        <f t="shared" si="136"/>
        <v>43898950.222442374</v>
      </c>
      <c r="L94" s="260">
        <f t="shared" si="136"/>
        <v>62991685.43599274</v>
      </c>
      <c r="M94" s="260">
        <f t="shared" si="136"/>
        <v>49843665.433075868</v>
      </c>
      <c r="N94" s="260">
        <f t="shared" si="136"/>
        <v>38325367.944586039</v>
      </c>
      <c r="O94" s="260">
        <f t="shared" si="136"/>
        <v>4555844.1068548746</v>
      </c>
      <c r="P94" s="260">
        <f>SUM(G94:O94)</f>
        <v>288113525.53544056</v>
      </c>
      <c r="Q94" s="261">
        <f>IFERROR(P94/$P$108, "")</f>
        <v>0.6154559849696678</v>
      </c>
      <c r="AD94" s="260">
        <f>$AH$91*AD73</f>
        <v>33380.537234210526</v>
      </c>
      <c r="AE94" s="260">
        <f>$AH$91*AE73</f>
        <v>16351805.928329092</v>
      </c>
      <c r="AF94" s="260">
        <f t="shared" ref="AF94:AL94" si="137">$AH$91*AF73</f>
        <v>38418938.857130624</v>
      </c>
      <c r="AG94" s="260">
        <f t="shared" si="137"/>
        <v>38955093.906528205</v>
      </c>
      <c r="AH94" s="260">
        <f t="shared" si="137"/>
        <v>46508742.813166566</v>
      </c>
      <c r="AI94" s="260">
        <f t="shared" si="137"/>
        <v>66736541.135162503</v>
      </c>
      <c r="AJ94" s="260">
        <f t="shared" si="137"/>
        <v>52806871.343072213</v>
      </c>
      <c r="AK94" s="260">
        <f t="shared" si="137"/>
        <v>40603811.068891667</v>
      </c>
      <c r="AL94" s="260">
        <f t="shared" si="137"/>
        <v>4826689.0390073964</v>
      </c>
      <c r="AM94" s="260">
        <f>SUM(AD94:AL94)</f>
        <v>305241874.62852252</v>
      </c>
      <c r="AN94" s="261">
        <f t="shared" ref="AN94:AN108" si="138">IFERROR(AM94/$AM$108, "")</f>
        <v>0.6154559849696678</v>
      </c>
      <c r="BA94" s="171" t="s">
        <v>1409</v>
      </c>
    </row>
    <row r="95" spans="1:53" s="171" customFormat="1" ht="15.5">
      <c r="A95" s="175" t="s">
        <v>1410</v>
      </c>
      <c r="B95" s="179" t="s">
        <v>1224</v>
      </c>
      <c r="C95" s="179" t="s">
        <v>1232</v>
      </c>
      <c r="D95" s="239"/>
      <c r="E95" s="249"/>
      <c r="G95" s="260">
        <f t="shared" ref="G95:O95" si="139">$K$91*G74</f>
        <v>0</v>
      </c>
      <c r="H95" s="260">
        <f t="shared" si="139"/>
        <v>385854.05853702448</v>
      </c>
      <c r="I95" s="260">
        <f t="shared" si="139"/>
        <v>529787.15126132511</v>
      </c>
      <c r="J95" s="260">
        <f t="shared" si="139"/>
        <v>676353.92495445162</v>
      </c>
      <c r="K95" s="260">
        <f t="shared" si="139"/>
        <v>725396.00695695111</v>
      </c>
      <c r="L95" s="260">
        <f t="shared" si="139"/>
        <v>942853.37692291278</v>
      </c>
      <c r="M95" s="260">
        <f t="shared" si="139"/>
        <v>624867.75050423155</v>
      </c>
      <c r="N95" s="260">
        <f t="shared" si="139"/>
        <v>500188.25633490266</v>
      </c>
      <c r="O95" s="260">
        <f t="shared" si="139"/>
        <v>129234.29002411013</v>
      </c>
      <c r="P95" s="260">
        <f t="shared" ref="P95:P96" si="140">SUM(G95:O95)</f>
        <v>4514534.8154959092</v>
      </c>
      <c r="Q95" s="261">
        <f t="shared" ref="Q95:Q96" si="141">IFERROR(P95/$P$108, "")</f>
        <v>9.6437592313211688E-3</v>
      </c>
      <c r="AD95" s="260">
        <f t="shared" ref="AD95:AL95" si="142">$AH$91*AD74</f>
        <v>0</v>
      </c>
      <c r="AE95" s="260">
        <f t="shared" si="142"/>
        <v>408793.08231705049</v>
      </c>
      <c r="AF95" s="260">
        <f t="shared" si="142"/>
        <v>561282.99740381085</v>
      </c>
      <c r="AG95" s="260">
        <f t="shared" si="142"/>
        <v>716563.16579299374</v>
      </c>
      <c r="AH95" s="260">
        <f t="shared" si="142"/>
        <v>768520.79957054171</v>
      </c>
      <c r="AI95" s="260">
        <f t="shared" si="142"/>
        <v>998906.01018097962</v>
      </c>
      <c r="AJ95" s="260">
        <f t="shared" si="142"/>
        <v>662016.13827170793</v>
      </c>
      <c r="AK95" s="260">
        <f t="shared" si="142"/>
        <v>529924.44817401259</v>
      </c>
      <c r="AL95" s="260">
        <f t="shared" si="142"/>
        <v>136917.26856604347</v>
      </c>
      <c r="AM95" s="260">
        <f t="shared" ref="AM95:AM96" si="143">SUM(AD95:AL95)</f>
        <v>4782923.9102771403</v>
      </c>
      <c r="AN95" s="261">
        <f t="shared" si="138"/>
        <v>9.6437592313211671E-3</v>
      </c>
      <c r="BA95" s="171" t="s">
        <v>1411</v>
      </c>
    </row>
    <row r="96" spans="1:53" s="171" customFormat="1" ht="15.5">
      <c r="A96" s="175" t="s">
        <v>1412</v>
      </c>
      <c r="B96" s="179" t="s">
        <v>1224</v>
      </c>
      <c r="C96" s="179" t="s">
        <v>1235</v>
      </c>
      <c r="D96" s="239"/>
      <c r="E96" s="249"/>
      <c r="G96" s="260">
        <f t="shared" ref="G96:O96" si="144">$K$91*G75</f>
        <v>103.57894736842105</v>
      </c>
      <c r="H96" s="260">
        <f t="shared" si="144"/>
        <v>1347616.4518718855</v>
      </c>
      <c r="I96" s="260">
        <f t="shared" si="144"/>
        <v>1414257.672303048</v>
      </c>
      <c r="J96" s="260">
        <f t="shared" si="144"/>
        <v>1107497.7082871129</v>
      </c>
      <c r="K96" s="260">
        <f t="shared" si="144"/>
        <v>948292.32462455553</v>
      </c>
      <c r="L96" s="260">
        <f t="shared" si="144"/>
        <v>919114.19449176337</v>
      </c>
      <c r="M96" s="260">
        <f t="shared" si="144"/>
        <v>508491.80700811953</v>
      </c>
      <c r="N96" s="260">
        <f t="shared" si="144"/>
        <v>349697.79907905968</v>
      </c>
      <c r="O96" s="260">
        <f t="shared" si="144"/>
        <v>92290.80312101559</v>
      </c>
      <c r="P96" s="260">
        <f t="shared" si="140"/>
        <v>6687362.3397339284</v>
      </c>
      <c r="Q96" s="261">
        <f t="shared" si="141"/>
        <v>1.428526192236584E-2</v>
      </c>
      <c r="AD96" s="260">
        <f t="shared" ref="AD96:AL96" si="145">$AH$91*AD75</f>
        <v>109.73671578947368</v>
      </c>
      <c r="AE96" s="260">
        <f t="shared" si="145"/>
        <v>1427732.2499356689</v>
      </c>
      <c r="AF96" s="260">
        <f t="shared" si="145"/>
        <v>1498335.2909214639</v>
      </c>
      <c r="AG96" s="260">
        <f t="shared" si="145"/>
        <v>1173338.4470447816</v>
      </c>
      <c r="AH96" s="260">
        <f t="shared" si="145"/>
        <v>1004668.3033234852</v>
      </c>
      <c r="AI96" s="260">
        <f t="shared" si="145"/>
        <v>973755.53335429844</v>
      </c>
      <c r="AJ96" s="260">
        <f t="shared" si="145"/>
        <v>538721.64493475214</v>
      </c>
      <c r="AK96" s="260">
        <f t="shared" si="145"/>
        <v>370487.33323430974</v>
      </c>
      <c r="AL96" s="260">
        <f t="shared" si="145"/>
        <v>97777.491366559945</v>
      </c>
      <c r="AM96" s="260">
        <f t="shared" si="143"/>
        <v>7084926.0308311088</v>
      </c>
      <c r="AN96" s="261">
        <f t="shared" si="138"/>
        <v>1.4285261922365837E-2</v>
      </c>
      <c r="BA96" s="171" t="s">
        <v>1413</v>
      </c>
    </row>
    <row r="97" spans="1:53" s="171" customFormat="1" ht="15.5">
      <c r="A97" s="175" t="s">
        <v>1414</v>
      </c>
      <c r="B97" s="175" t="s">
        <v>1407</v>
      </c>
      <c r="C97" s="175" t="s">
        <v>1304</v>
      </c>
      <c r="D97" s="249" t="s">
        <v>1408</v>
      </c>
      <c r="E97" s="249" t="s">
        <v>160</v>
      </c>
      <c r="G97" s="247">
        <f t="shared" ref="G97:O97" si="146">$K$91*G76</f>
        <v>4140.2041176470593</v>
      </c>
      <c r="H97" s="247">
        <f t="shared" si="146"/>
        <v>3797140.9272771375</v>
      </c>
      <c r="I97" s="247">
        <f t="shared" si="146"/>
        <v>3943337.5658237506</v>
      </c>
      <c r="J97" s="247">
        <f t="shared" si="146"/>
        <v>2377482.3369276426</v>
      </c>
      <c r="K97" s="247">
        <f t="shared" si="146"/>
        <v>1411865.8440353563</v>
      </c>
      <c r="L97" s="247">
        <f t="shared" si="146"/>
        <v>1211938.790963046</v>
      </c>
      <c r="M97" s="247">
        <f t="shared" si="146"/>
        <v>545322.82278862374</v>
      </c>
      <c r="N97" s="247">
        <f t="shared" si="146"/>
        <v>240169.39701658985</v>
      </c>
      <c r="O97" s="247">
        <f t="shared" si="146"/>
        <v>11718.702000000001</v>
      </c>
      <c r="P97" s="247">
        <f>SUM(G97:O97)</f>
        <v>13543116.590949796</v>
      </c>
      <c r="Q97" s="261">
        <f t="shared" ref="Q97:Q108" si="147">IFERROR(P97/$P$108, "")</f>
        <v>2.8930235557499896E-2</v>
      </c>
      <c r="AD97" s="260">
        <f t="shared" ref="AD97:AL97" si="148">$AH$91*AD76</f>
        <v>4386.3392524411765</v>
      </c>
      <c r="AE97" s="260">
        <f t="shared" si="148"/>
        <v>4022880.9554037633</v>
      </c>
      <c r="AF97" s="260">
        <f t="shared" si="148"/>
        <v>4177768.9841119717</v>
      </c>
      <c r="AG97" s="260">
        <f t="shared" si="148"/>
        <v>2518823.6618579905</v>
      </c>
      <c r="AH97" s="260">
        <f t="shared" si="148"/>
        <v>1495801.2684632579</v>
      </c>
      <c r="AI97" s="260">
        <f t="shared" si="148"/>
        <v>1283988.5520857989</v>
      </c>
      <c r="AJ97" s="260">
        <f t="shared" si="148"/>
        <v>577742.26460340736</v>
      </c>
      <c r="AK97" s="260">
        <f t="shared" si="148"/>
        <v>254447.46766922605</v>
      </c>
      <c r="AL97" s="260">
        <f t="shared" si="148"/>
        <v>12415.378833899998</v>
      </c>
      <c r="AM97" s="247">
        <f>SUM(AD97:AL97)</f>
        <v>14348254.872281756</v>
      </c>
      <c r="AN97" s="261">
        <f t="shared" si="138"/>
        <v>2.8930235557499882E-2</v>
      </c>
      <c r="BA97" s="171" t="s">
        <v>1415</v>
      </c>
    </row>
    <row r="98" spans="1:53" s="171" customFormat="1" ht="15.5">
      <c r="A98" s="175" t="s">
        <v>1416</v>
      </c>
      <c r="B98" s="175" t="s">
        <v>1407</v>
      </c>
      <c r="C98" s="175" t="s">
        <v>1307</v>
      </c>
      <c r="D98" s="249" t="s">
        <v>1408</v>
      </c>
      <c r="E98" s="249" t="s">
        <v>160</v>
      </c>
      <c r="G98" s="247">
        <f t="shared" ref="G98:O98" si="149">$K$91*G77</f>
        <v>6860.066235569986</v>
      </c>
      <c r="H98" s="247">
        <f t="shared" si="149"/>
        <v>4244081.6956376256</v>
      </c>
      <c r="I98" s="247">
        <f t="shared" si="149"/>
        <v>4201896.9318540348</v>
      </c>
      <c r="J98" s="247">
        <f t="shared" si="149"/>
        <v>2559089.8779578037</v>
      </c>
      <c r="K98" s="247">
        <f t="shared" si="149"/>
        <v>1317975.2765084256</v>
      </c>
      <c r="L98" s="247">
        <f t="shared" si="149"/>
        <v>708974.84473028639</v>
      </c>
      <c r="M98" s="247">
        <f t="shared" si="149"/>
        <v>269058.02351403155</v>
      </c>
      <c r="N98" s="247">
        <f t="shared" si="149"/>
        <v>115146.87617402458</v>
      </c>
      <c r="O98" s="247">
        <f t="shared" si="149"/>
        <v>8602.6200000000008</v>
      </c>
      <c r="P98" s="247">
        <f t="shared" ref="P98:P99" si="150">SUM(G98:O98)</f>
        <v>13431686.212611804</v>
      </c>
      <c r="Q98" s="261">
        <f t="shared" si="147"/>
        <v>2.8692202674010309E-2</v>
      </c>
      <c r="AD98" s="260">
        <f>$AH$91*AD77</f>
        <v>7267.8971732746204</v>
      </c>
      <c r="AE98" s="260">
        <f t="shared" ref="AE98:AL98" si="151">$AH$91*AE77</f>
        <v>4496392.3524432834</v>
      </c>
      <c r="AF98" s="260">
        <f t="shared" si="151"/>
        <v>4451699.7044527559</v>
      </c>
      <c r="AG98" s="260">
        <f t="shared" si="151"/>
        <v>2711227.7712023947</v>
      </c>
      <c r="AH98" s="260">
        <f t="shared" si="151"/>
        <v>1396328.9066968514</v>
      </c>
      <c r="AI98" s="260">
        <f t="shared" si="151"/>
        <v>751123.39924950176</v>
      </c>
      <c r="AJ98" s="260">
        <f t="shared" si="151"/>
        <v>285053.52301194071</v>
      </c>
      <c r="AK98" s="260">
        <f t="shared" si="151"/>
        <v>121992.35796257031</v>
      </c>
      <c r="AL98" s="260">
        <f t="shared" si="151"/>
        <v>9114.0457589999987</v>
      </c>
      <c r="AM98" s="247">
        <f t="shared" ref="AM98:AM99" si="152">SUM(AD98:AL98)</f>
        <v>14230199.957951572</v>
      </c>
      <c r="AN98" s="261">
        <f t="shared" si="138"/>
        <v>2.8692202674010299E-2</v>
      </c>
      <c r="BA98" s="171" t="s">
        <v>1417</v>
      </c>
    </row>
    <row r="99" spans="1:53" s="171" customFormat="1" ht="15.5">
      <c r="A99" s="175" t="s">
        <v>1418</v>
      </c>
      <c r="B99" s="175" t="s">
        <v>1244</v>
      </c>
      <c r="C99" s="175" t="s">
        <v>1266</v>
      </c>
      <c r="D99" s="249" t="s">
        <v>1408</v>
      </c>
      <c r="E99" s="249" t="s">
        <v>160</v>
      </c>
      <c r="G99" s="247">
        <f t="shared" ref="G99:O99" si="153">$K$91*G78</f>
        <v>12361.5</v>
      </c>
      <c r="H99" s="247">
        <f t="shared" si="153"/>
        <v>16426440.9</v>
      </c>
      <c r="I99" s="247">
        <f t="shared" si="153"/>
        <v>22922704.350000001</v>
      </c>
      <c r="J99" s="247">
        <f t="shared" si="153"/>
        <v>18542545.199999999</v>
      </c>
      <c r="K99" s="247">
        <f t="shared" si="153"/>
        <v>16741327.050000001</v>
      </c>
      <c r="L99" s="247">
        <f t="shared" si="153"/>
        <v>16426164.150000004</v>
      </c>
      <c r="M99" s="247">
        <f t="shared" si="153"/>
        <v>8874450</v>
      </c>
      <c r="N99" s="247">
        <f t="shared" si="153"/>
        <v>5383617.75</v>
      </c>
      <c r="O99" s="247">
        <f t="shared" si="153"/>
        <v>475899.3</v>
      </c>
      <c r="P99" s="247">
        <f t="shared" si="150"/>
        <v>105805510.2</v>
      </c>
      <c r="Q99" s="261">
        <f t="shared" si="147"/>
        <v>0.22601727695477128</v>
      </c>
      <c r="AD99" s="260">
        <f t="shared" ref="AD99:AL99" si="154">$AH$91*AD78</f>
        <v>13096.391175000001</v>
      </c>
      <c r="AE99" s="260">
        <f t="shared" si="154"/>
        <v>17402992.811504994</v>
      </c>
      <c r="AF99" s="260">
        <f t="shared" si="154"/>
        <v>24285459.123607498</v>
      </c>
      <c r="AG99" s="260">
        <f>$AH$91*AG78</f>
        <v>19644899.512139995</v>
      </c>
      <c r="AH99" s="260">
        <f t="shared" si="154"/>
        <v>17736598.943122502</v>
      </c>
      <c r="AI99" s="260">
        <f t="shared" si="154"/>
        <v>17402699.608717497</v>
      </c>
      <c r="AJ99" s="260">
        <f t="shared" si="154"/>
        <v>9402036.0524999965</v>
      </c>
      <c r="AK99" s="260">
        <f>$AH$91*AK78</f>
        <v>5703673.8252374986</v>
      </c>
      <c r="AL99" s="260">
        <f t="shared" si="154"/>
        <v>504191.513385</v>
      </c>
      <c r="AM99" s="247">
        <f t="shared" si="152"/>
        <v>112095647.78138998</v>
      </c>
      <c r="AN99" s="261">
        <f t="shared" si="138"/>
        <v>0.22601727695477122</v>
      </c>
      <c r="BA99" s="171" t="s">
        <v>1419</v>
      </c>
    </row>
    <row r="100" spans="1:53" s="171" customFormat="1" ht="15.5">
      <c r="A100" s="175" t="s">
        <v>1420</v>
      </c>
      <c r="B100" s="175" t="s">
        <v>1244</v>
      </c>
      <c r="C100" s="175" t="s">
        <v>1312</v>
      </c>
      <c r="D100" s="249" t="s">
        <v>1408</v>
      </c>
      <c r="E100" s="249" t="s">
        <v>160</v>
      </c>
      <c r="G100" s="247">
        <f>$K$91*G79</f>
        <v>793.22727358220766</v>
      </c>
      <c r="H100" s="247">
        <f t="shared" ref="H100:O100" si="155">$K$91*H79</f>
        <v>1110518.255425669</v>
      </c>
      <c r="I100" s="247">
        <f t="shared" si="155"/>
        <v>989338.08382067317</v>
      </c>
      <c r="J100" s="247">
        <f t="shared" si="155"/>
        <v>564160.09396871261</v>
      </c>
      <c r="K100" s="247">
        <f t="shared" si="155"/>
        <v>300026.2953904579</v>
      </c>
      <c r="L100" s="247">
        <f t="shared" si="155"/>
        <v>189111.97085940241</v>
      </c>
      <c r="M100" s="247">
        <f t="shared" si="155"/>
        <v>74008.590390170255</v>
      </c>
      <c r="N100" s="247">
        <f t="shared" si="155"/>
        <v>21832.527592853738</v>
      </c>
      <c r="O100" s="247">
        <f t="shared" si="155"/>
        <v>503.13482879526089</v>
      </c>
      <c r="P100" s="247">
        <f>SUM(G100:O100)</f>
        <v>3250292.1795503167</v>
      </c>
      <c r="Q100" s="261">
        <f t="shared" si="147"/>
        <v>6.9431373313235166E-3</v>
      </c>
      <c r="AD100" s="260">
        <f t="shared" ref="AD100:AL100" si="156">$AH$91*AD79</f>
        <v>840.38463499666989</v>
      </c>
      <c r="AE100" s="260">
        <f t="shared" si="156"/>
        <v>1176538.5657107248</v>
      </c>
      <c r="AF100" s="260">
        <f t="shared" si="156"/>
        <v>1048154.2329038121</v>
      </c>
      <c r="AG100" s="260">
        <f t="shared" si="156"/>
        <v>597699.41155515262</v>
      </c>
      <c r="AH100" s="260">
        <f t="shared" si="156"/>
        <v>317862.85865142057</v>
      </c>
      <c r="AI100" s="260">
        <f t="shared" si="156"/>
        <v>200354.67752699388</v>
      </c>
      <c r="AJ100" s="260">
        <f t="shared" si="156"/>
        <v>78408.401088865867</v>
      </c>
      <c r="AK100" s="260">
        <f t="shared" si="156"/>
        <v>23130.471358248891</v>
      </c>
      <c r="AL100" s="260">
        <f t="shared" si="156"/>
        <v>533.04619436713904</v>
      </c>
      <c r="AM100" s="247">
        <f>SUM(AD100:AL100)</f>
        <v>3443522.0496245828</v>
      </c>
      <c r="AN100" s="261">
        <f t="shared" si="138"/>
        <v>6.9431373313235158E-3</v>
      </c>
      <c r="BA100" s="171" t="s">
        <v>1421</v>
      </c>
    </row>
    <row r="101" spans="1:53" s="171" customFormat="1" ht="15.5">
      <c r="A101" s="175" t="s">
        <v>1422</v>
      </c>
      <c r="B101" s="175" t="s">
        <v>1244</v>
      </c>
      <c r="C101" s="175" t="s">
        <v>1315</v>
      </c>
      <c r="D101" s="249" t="s">
        <v>1408</v>
      </c>
      <c r="E101" s="249" t="s">
        <v>160</v>
      </c>
      <c r="G101" s="247">
        <f t="shared" ref="G101:O101" si="157">$K$91*G80</f>
        <v>849.8146126712877</v>
      </c>
      <c r="H101" s="247">
        <f t="shared" si="157"/>
        <v>1672593.4098213469</v>
      </c>
      <c r="I101" s="247">
        <f t="shared" si="157"/>
        <v>1586090.3300161625</v>
      </c>
      <c r="J101" s="247">
        <f t="shared" si="157"/>
        <v>936231.88094479416</v>
      </c>
      <c r="K101" s="247">
        <f t="shared" si="157"/>
        <v>471488.61156838125</v>
      </c>
      <c r="L101" s="247">
        <f t="shared" si="157"/>
        <v>427767.74320201192</v>
      </c>
      <c r="M101" s="247">
        <f t="shared" si="157"/>
        <v>150328.9975255747</v>
      </c>
      <c r="N101" s="247">
        <f t="shared" si="157"/>
        <v>42825.862961945822</v>
      </c>
      <c r="O101" s="247">
        <f t="shared" si="157"/>
        <v>1621.4953785103976</v>
      </c>
      <c r="P101" s="247">
        <f t="shared" ref="P101:P105" si="158">SUM(G101:O101)</f>
        <v>5289798.1460313983</v>
      </c>
      <c r="Q101" s="261">
        <f t="shared" si="147"/>
        <v>1.1299844122923706E-2</v>
      </c>
      <c r="AD101" s="260">
        <f t="shared" ref="AD101:AL101" si="159">$AH$91*AD80</f>
        <v>900.33609139459577</v>
      </c>
      <c r="AE101" s="260">
        <f t="shared" si="159"/>
        <v>1772029.0880352261</v>
      </c>
      <c r="AF101" s="260">
        <f t="shared" si="159"/>
        <v>1680383.4001356231</v>
      </c>
      <c r="AG101" s="260">
        <f t="shared" si="159"/>
        <v>991890.86626696202</v>
      </c>
      <c r="AH101" s="260">
        <f t="shared" si="159"/>
        <v>499518.60952612147</v>
      </c>
      <c r="AI101" s="260">
        <f t="shared" si="159"/>
        <v>453198.53553537151</v>
      </c>
      <c r="AJ101" s="260">
        <f t="shared" si="159"/>
        <v>159266.0564284701</v>
      </c>
      <c r="AK101" s="260">
        <f t="shared" si="159"/>
        <v>45371.860515033506</v>
      </c>
      <c r="AL101" s="260">
        <f t="shared" si="159"/>
        <v>1717.8932787628405</v>
      </c>
      <c r="AM101" s="247">
        <f t="shared" ref="AM101:AM105" si="160">SUM(AD101:AL101)</f>
        <v>5604276.645812965</v>
      </c>
      <c r="AN101" s="261">
        <f t="shared" si="138"/>
        <v>1.1299844122923704E-2</v>
      </c>
      <c r="BA101" s="171" t="s">
        <v>1423</v>
      </c>
    </row>
    <row r="102" spans="1:53" s="171" customFormat="1" ht="15.5">
      <c r="A102" s="175" t="s">
        <v>1424</v>
      </c>
      <c r="B102" s="175" t="s">
        <v>1244</v>
      </c>
      <c r="C102" s="175" t="s">
        <v>1262</v>
      </c>
      <c r="D102" s="249" t="s">
        <v>1408</v>
      </c>
      <c r="E102" s="249" t="s">
        <v>160</v>
      </c>
      <c r="G102" s="247">
        <f t="shared" ref="G102:O102" si="161">$K$91*G81</f>
        <v>12487.833764430014</v>
      </c>
      <c r="H102" s="247">
        <f t="shared" si="161"/>
        <v>11328309.03153492</v>
      </c>
      <c r="I102" s="247">
        <f t="shared" si="161"/>
        <v>8599322.4030748885</v>
      </c>
      <c r="J102" s="247">
        <f t="shared" si="161"/>
        <v>4363529.5142646004</v>
      </c>
      <c r="K102" s="247">
        <f t="shared" si="161"/>
        <v>1761832.8281790607</v>
      </c>
      <c r="L102" s="247">
        <f t="shared" si="161"/>
        <v>812658.99056865391</v>
      </c>
      <c r="M102" s="247">
        <f t="shared" si="161"/>
        <v>234507.36691555852</v>
      </c>
      <c r="N102" s="247">
        <f t="shared" si="161"/>
        <v>81566.278992642125</v>
      </c>
      <c r="O102" s="247">
        <f t="shared" si="161"/>
        <v>4061.46</v>
      </c>
      <c r="P102" s="247">
        <f t="shared" si="158"/>
        <v>27198275.707294755</v>
      </c>
      <c r="Q102" s="261">
        <f t="shared" si="147"/>
        <v>5.8099811641264279E-2</v>
      </c>
      <c r="AD102" s="260">
        <f t="shared" ref="AD102:AL102" si="162">$AH$91*AD81</f>
        <v>13230.235481725376</v>
      </c>
      <c r="AE102" s="260">
        <f t="shared" si="162"/>
        <v>12001777.003459668</v>
      </c>
      <c r="AF102" s="260">
        <f t="shared" si="162"/>
        <v>9110552.11993769</v>
      </c>
      <c r="AG102" s="260">
        <f t="shared" si="162"/>
        <v>4622941.3438876309</v>
      </c>
      <c r="AH102" s="260">
        <f t="shared" si="162"/>
        <v>1866573.7898143057</v>
      </c>
      <c r="AI102" s="260">
        <f t="shared" si="162"/>
        <v>860971.56755796017</v>
      </c>
      <c r="AJ102" s="260">
        <f t="shared" si="162"/>
        <v>248448.82987868847</v>
      </c>
      <c r="AK102" s="260">
        <f t="shared" si="162"/>
        <v>86415.394278754684</v>
      </c>
      <c r="AL102" s="260">
        <f t="shared" si="162"/>
        <v>4302.9137970000002</v>
      </c>
      <c r="AM102" s="247">
        <f t="shared" si="160"/>
        <v>28815213.198093418</v>
      </c>
      <c r="AN102" s="261">
        <f t="shared" si="138"/>
        <v>5.8099811641264251E-2</v>
      </c>
      <c r="BA102" s="171" t="s">
        <v>1425</v>
      </c>
    </row>
    <row r="103" spans="1:53" s="171" customFormat="1" ht="15.5">
      <c r="A103" s="175" t="s">
        <v>1426</v>
      </c>
      <c r="B103" s="175" t="s">
        <v>1265</v>
      </c>
      <c r="C103" s="175" t="s">
        <v>1266</v>
      </c>
      <c r="D103" s="249" t="s">
        <v>1408</v>
      </c>
      <c r="E103" s="249" t="s">
        <v>160</v>
      </c>
      <c r="G103" s="247">
        <f t="shared" ref="G103:O103" si="163">$K$91*G82</f>
        <v>61.500000000000007</v>
      </c>
      <c r="H103" s="247">
        <f t="shared" si="163"/>
        <v>72988.2</v>
      </c>
      <c r="I103" s="247">
        <f t="shared" si="163"/>
        <v>51315.6</v>
      </c>
      <c r="J103" s="247">
        <f t="shared" si="163"/>
        <v>43099.199999999997</v>
      </c>
      <c r="K103" s="247">
        <f t="shared" si="163"/>
        <v>35866.800000000003</v>
      </c>
      <c r="L103" s="247">
        <f t="shared" si="163"/>
        <v>36125.100000000006</v>
      </c>
      <c r="M103" s="247">
        <f t="shared" si="163"/>
        <v>21266.7</v>
      </c>
      <c r="N103" s="247">
        <f t="shared" si="163"/>
        <v>10701</v>
      </c>
      <c r="O103" s="247">
        <f t="shared" si="163"/>
        <v>2656.8</v>
      </c>
      <c r="P103" s="247">
        <f t="shared" si="158"/>
        <v>274080.89999999997</v>
      </c>
      <c r="Q103" s="261">
        <f t="shared" si="147"/>
        <v>5.8548008101106405E-4</v>
      </c>
      <c r="AD103" s="260">
        <f t="shared" ref="AD103:AL103" si="164">$AH$91*AD82</f>
        <v>65.15617499999999</v>
      </c>
      <c r="AE103" s="260">
        <f t="shared" si="164"/>
        <v>77327.348489999989</v>
      </c>
      <c r="AF103" s="260">
        <f t="shared" si="164"/>
        <v>54366.312419999995</v>
      </c>
      <c r="AG103" s="260">
        <f t="shared" si="164"/>
        <v>45661.447439999996</v>
      </c>
      <c r="AH103" s="260">
        <f t="shared" si="164"/>
        <v>37999.081259999992</v>
      </c>
      <c r="AI103" s="260">
        <f t="shared" si="164"/>
        <v>38272.737195000002</v>
      </c>
      <c r="AJ103" s="260">
        <f t="shared" si="164"/>
        <v>22531.005314999995</v>
      </c>
      <c r="AK103" s="260">
        <f t="shared" si="164"/>
        <v>11337.174449999999</v>
      </c>
      <c r="AL103" s="260">
        <f t="shared" si="164"/>
        <v>2814.7467599999995</v>
      </c>
      <c r="AM103" s="247">
        <f t="shared" si="160"/>
        <v>290375.00950499997</v>
      </c>
      <c r="AN103" s="261">
        <f t="shared" si="138"/>
        <v>5.8548008101106405E-4</v>
      </c>
      <c r="BA103" s="171" t="s">
        <v>1427</v>
      </c>
    </row>
    <row r="104" spans="1:53" s="171" customFormat="1" ht="15.5">
      <c r="A104" s="175" t="s">
        <v>1428</v>
      </c>
      <c r="B104" s="175" t="s">
        <v>1265</v>
      </c>
      <c r="C104" s="175" t="s">
        <v>1269</v>
      </c>
      <c r="D104" s="249" t="s">
        <v>1408</v>
      </c>
      <c r="E104" s="249" t="s">
        <v>160</v>
      </c>
      <c r="G104" s="247">
        <f t="shared" ref="G104:O104" si="165">$K$91*G83</f>
        <v>0</v>
      </c>
      <c r="H104" s="247">
        <f t="shared" si="165"/>
        <v>811.8</v>
      </c>
      <c r="I104" s="247">
        <f t="shared" si="165"/>
        <v>1463.7</v>
      </c>
      <c r="J104" s="247">
        <f t="shared" si="165"/>
        <v>885.6</v>
      </c>
      <c r="K104" s="247">
        <f t="shared" si="165"/>
        <v>774.9</v>
      </c>
      <c r="L104" s="247">
        <f t="shared" si="165"/>
        <v>811.80000000000007</v>
      </c>
      <c r="M104" s="247">
        <f t="shared" si="165"/>
        <v>479.7</v>
      </c>
      <c r="N104" s="247">
        <f t="shared" si="165"/>
        <v>0</v>
      </c>
      <c r="O104" s="247">
        <f t="shared" si="165"/>
        <v>0</v>
      </c>
      <c r="P104" s="247">
        <f t="shared" si="158"/>
        <v>5227.5</v>
      </c>
      <c r="Q104" s="261">
        <f t="shared" si="147"/>
        <v>1.1166765445842223E-5</v>
      </c>
      <c r="AD104" s="260">
        <f t="shared" ref="AD104:AL104" si="166">$AH$91*AD83</f>
        <v>0</v>
      </c>
      <c r="AE104" s="260">
        <f t="shared" si="166"/>
        <v>860.06150999999988</v>
      </c>
      <c r="AF104" s="260">
        <f t="shared" si="166"/>
        <v>1550.7169649999998</v>
      </c>
      <c r="AG104" s="260">
        <f t="shared" si="166"/>
        <v>938.24891999999988</v>
      </c>
      <c r="AH104" s="260">
        <f t="shared" si="166"/>
        <v>820.96780499999988</v>
      </c>
      <c r="AI104" s="260">
        <f>$AH$91*AI83</f>
        <v>860.06151</v>
      </c>
      <c r="AJ104" s="260">
        <f t="shared" si="166"/>
        <v>508.21816499999994</v>
      </c>
      <c r="AK104" s="260">
        <f t="shared" si="166"/>
        <v>0</v>
      </c>
      <c r="AL104" s="260">
        <f t="shared" si="166"/>
        <v>0</v>
      </c>
      <c r="AM104" s="247">
        <f t="shared" si="160"/>
        <v>5538.2748749999992</v>
      </c>
      <c r="AN104" s="261">
        <f t="shared" si="138"/>
        <v>1.116676544584222E-5</v>
      </c>
      <c r="BA104" s="171" t="s">
        <v>1429</v>
      </c>
    </row>
    <row r="105" spans="1:53" s="171" customFormat="1" ht="15.5">
      <c r="A105" s="175" t="s">
        <v>1430</v>
      </c>
      <c r="B105" s="175" t="s">
        <v>1265</v>
      </c>
      <c r="C105" s="175" t="s">
        <v>1272</v>
      </c>
      <c r="D105" s="249" t="s">
        <v>1408</v>
      </c>
      <c r="E105" s="249" t="s">
        <v>160</v>
      </c>
      <c r="G105" s="247">
        <f t="shared" ref="G105:O105" si="167">$K$91*G84</f>
        <v>0</v>
      </c>
      <c r="H105" s="247">
        <f t="shared" si="167"/>
        <v>1328.4</v>
      </c>
      <c r="I105" s="247">
        <f t="shared" si="167"/>
        <v>4907.7000000000007</v>
      </c>
      <c r="J105" s="247">
        <f t="shared" si="167"/>
        <v>3936.0000000000005</v>
      </c>
      <c r="K105" s="247">
        <f t="shared" si="167"/>
        <v>3321</v>
      </c>
      <c r="L105" s="247">
        <f t="shared" si="167"/>
        <v>2164.8000000000002</v>
      </c>
      <c r="M105" s="247">
        <f t="shared" si="167"/>
        <v>1119.3</v>
      </c>
      <c r="N105" s="247">
        <f t="shared" si="167"/>
        <v>0</v>
      </c>
      <c r="O105" s="247">
        <f t="shared" si="167"/>
        <v>0</v>
      </c>
      <c r="P105" s="247">
        <f t="shared" si="158"/>
        <v>16777.2</v>
      </c>
      <c r="Q105" s="261">
        <f t="shared" si="147"/>
        <v>3.5838748395597161E-5</v>
      </c>
      <c r="AD105" s="260">
        <f t="shared" ref="AD105:AL105" si="168">$AH$91*AD84</f>
        <v>0</v>
      </c>
      <c r="AE105" s="260">
        <f t="shared" si="168"/>
        <v>1407.3733799999998</v>
      </c>
      <c r="AF105" s="260">
        <f t="shared" si="168"/>
        <v>5199.4627649999993</v>
      </c>
      <c r="AG105" s="260">
        <f t="shared" si="168"/>
        <v>4169.9951999999994</v>
      </c>
      <c r="AH105" s="260">
        <f t="shared" si="168"/>
        <v>3518.4334499999995</v>
      </c>
      <c r="AI105" s="260">
        <f t="shared" si="168"/>
        <v>2293.4973599999998</v>
      </c>
      <c r="AJ105" s="260">
        <f t="shared" si="168"/>
        <v>1185.8423849999999</v>
      </c>
      <c r="AK105" s="260">
        <f t="shared" si="168"/>
        <v>0</v>
      </c>
      <c r="AL105" s="260">
        <f t="shared" si="168"/>
        <v>0</v>
      </c>
      <c r="AM105" s="247">
        <f t="shared" si="160"/>
        <v>17774.60454</v>
      </c>
      <c r="AN105" s="261">
        <f t="shared" si="138"/>
        <v>3.5838748395597154E-5</v>
      </c>
      <c r="BA105" s="171" t="s">
        <v>1431</v>
      </c>
    </row>
    <row r="106" spans="1:53" s="171" customFormat="1" ht="15.5">
      <c r="A106" s="175" t="s">
        <v>1432</v>
      </c>
      <c r="B106" s="175" t="s">
        <v>1275</v>
      </c>
      <c r="C106" s="175" t="s">
        <v>1275</v>
      </c>
      <c r="D106" s="249" t="s">
        <v>1408</v>
      </c>
      <c r="E106" s="249" t="s">
        <v>160</v>
      </c>
      <c r="G106" s="247">
        <f t="shared" ref="G106:O106" si="169">$K$91*G85</f>
        <v>0</v>
      </c>
      <c r="H106" s="247">
        <f t="shared" si="169"/>
        <v>0</v>
      </c>
      <c r="I106" s="247">
        <f t="shared" si="169"/>
        <v>0</v>
      </c>
      <c r="J106" s="247">
        <f t="shared" si="169"/>
        <v>0</v>
      </c>
      <c r="K106" s="247">
        <f t="shared" si="169"/>
        <v>0</v>
      </c>
      <c r="L106" s="247">
        <f t="shared" si="169"/>
        <v>0</v>
      </c>
      <c r="M106" s="247">
        <f t="shared" si="169"/>
        <v>0</v>
      </c>
      <c r="N106" s="247">
        <f t="shared" si="169"/>
        <v>0</v>
      </c>
      <c r="O106" s="247">
        <f t="shared" si="169"/>
        <v>0</v>
      </c>
      <c r="P106" s="247">
        <f>SUM(G106:O106)</f>
        <v>0</v>
      </c>
      <c r="Q106" s="261">
        <f t="shared" si="147"/>
        <v>0</v>
      </c>
      <c r="AD106" s="260">
        <f t="shared" ref="AD106:AL106" si="170">$AH$91*AD85</f>
        <v>0</v>
      </c>
      <c r="AE106" s="260">
        <f t="shared" si="170"/>
        <v>0</v>
      </c>
      <c r="AF106" s="260">
        <f t="shared" si="170"/>
        <v>0</v>
      </c>
      <c r="AG106" s="260">
        <f t="shared" si="170"/>
        <v>0</v>
      </c>
      <c r="AH106" s="260">
        <f t="shared" si="170"/>
        <v>0</v>
      </c>
      <c r="AI106" s="260">
        <f t="shared" si="170"/>
        <v>0</v>
      </c>
      <c r="AJ106" s="260">
        <f t="shared" si="170"/>
        <v>0</v>
      </c>
      <c r="AK106" s="260">
        <f t="shared" si="170"/>
        <v>0</v>
      </c>
      <c r="AL106" s="260">
        <f t="shared" si="170"/>
        <v>0</v>
      </c>
      <c r="AM106" s="247">
        <f>SUM(AD106:AL106)</f>
        <v>0</v>
      </c>
      <c r="AN106" s="261">
        <f t="shared" si="138"/>
        <v>0</v>
      </c>
      <c r="BA106" s="171" t="s">
        <v>1433</v>
      </c>
    </row>
    <row r="107" spans="1:53" s="171" customFormat="1" ht="15.5">
      <c r="A107" s="175" t="s">
        <v>1434</v>
      </c>
      <c r="B107" s="175" t="s">
        <v>1279</v>
      </c>
      <c r="C107" s="175" t="s">
        <v>1279</v>
      </c>
      <c r="D107" s="249" t="s">
        <v>1408</v>
      </c>
      <c r="E107" s="249" t="s">
        <v>160</v>
      </c>
      <c r="G107" s="247">
        <f t="shared" ref="G107:O107" si="171">$K$91*G86</f>
        <v>0</v>
      </c>
      <c r="H107" s="247">
        <f t="shared" si="171"/>
        <v>0</v>
      </c>
      <c r="I107" s="247">
        <f t="shared" si="171"/>
        <v>0</v>
      </c>
      <c r="J107" s="247">
        <f t="shared" si="171"/>
        <v>0</v>
      </c>
      <c r="K107" s="247">
        <f t="shared" si="171"/>
        <v>0</v>
      </c>
      <c r="L107" s="247">
        <f t="shared" si="171"/>
        <v>0</v>
      </c>
      <c r="M107" s="247">
        <f t="shared" si="171"/>
        <v>0</v>
      </c>
      <c r="N107" s="247">
        <f t="shared" si="171"/>
        <v>0</v>
      </c>
      <c r="O107" s="247">
        <f t="shared" si="171"/>
        <v>0</v>
      </c>
      <c r="P107" s="247">
        <f t="shared" ref="P107" si="172">SUM(G107:O107)</f>
        <v>0</v>
      </c>
      <c r="Q107" s="261">
        <f t="shared" si="147"/>
        <v>0</v>
      </c>
      <c r="AD107" s="260">
        <f t="shared" ref="AD107:AL107" si="173">$AH$91*AD86</f>
        <v>0</v>
      </c>
      <c r="AE107" s="260">
        <f t="shared" si="173"/>
        <v>0</v>
      </c>
      <c r="AF107" s="260">
        <f t="shared" si="173"/>
        <v>0</v>
      </c>
      <c r="AG107" s="260">
        <f t="shared" si="173"/>
        <v>0</v>
      </c>
      <c r="AH107" s="260">
        <f t="shared" si="173"/>
        <v>0</v>
      </c>
      <c r="AI107" s="260">
        <f t="shared" si="173"/>
        <v>0</v>
      </c>
      <c r="AJ107" s="260">
        <f t="shared" si="173"/>
        <v>0</v>
      </c>
      <c r="AK107" s="260">
        <f t="shared" si="173"/>
        <v>0</v>
      </c>
      <c r="AL107" s="260">
        <f t="shared" si="173"/>
        <v>0</v>
      </c>
      <c r="AM107" s="247">
        <f t="shared" ref="AM107" si="174">SUM(AD107:AL107)</f>
        <v>0</v>
      </c>
      <c r="AN107" s="261">
        <f t="shared" si="138"/>
        <v>0</v>
      </c>
      <c r="BA107" s="171" t="s">
        <v>1435</v>
      </c>
    </row>
    <row r="108" spans="1:53" s="171" customFormat="1" ht="15.5">
      <c r="A108" s="175" t="s">
        <v>1436</v>
      </c>
      <c r="B108" s="175"/>
      <c r="C108" s="175" t="s">
        <v>1437</v>
      </c>
      <c r="D108" s="249" t="s">
        <v>1408</v>
      </c>
      <c r="E108" s="249" t="s">
        <v>160</v>
      </c>
      <c r="G108" s="247">
        <f t="shared" ref="G108:P108" si="175">SUM(G94:G107)</f>
        <v>69165.146003900547</v>
      </c>
      <c r="H108" s="247">
        <f t="shared" si="175"/>
        <v>55821923.470215186</v>
      </c>
      <c r="I108" s="247">
        <f t="shared" si="175"/>
        <v>80507519.18708317</v>
      </c>
      <c r="J108" s="247">
        <f t="shared" si="175"/>
        <v>67943978.269702315</v>
      </c>
      <c r="K108" s="247">
        <f t="shared" si="175"/>
        <v>67617117.159705564</v>
      </c>
      <c r="L108" s="247">
        <f t="shared" si="175"/>
        <v>84669371.197730824</v>
      </c>
      <c r="M108" s="247">
        <f t="shared" si="175"/>
        <v>61147566.491722181</v>
      </c>
      <c r="N108" s="247">
        <f t="shared" si="175"/>
        <v>45071113.692738064</v>
      </c>
      <c r="O108" s="247">
        <f t="shared" si="175"/>
        <v>5282432.7122073052</v>
      </c>
      <c r="P108" s="247">
        <f t="shared" si="175"/>
        <v>468130187.32710832</v>
      </c>
      <c r="Q108" s="261">
        <f t="shared" si="147"/>
        <v>1</v>
      </c>
      <c r="AD108" s="247">
        <f t="shared" ref="AD108:AM108" si="176">SUM(AD94:AD107)</f>
        <v>73277.013933832437</v>
      </c>
      <c r="AE108" s="247">
        <f t="shared" si="176"/>
        <v>59140536.820519462</v>
      </c>
      <c r="AF108" s="247">
        <f t="shared" si="176"/>
        <v>85293691.202755228</v>
      </c>
      <c r="AG108" s="247">
        <f t="shared" si="176"/>
        <v>71983247.777836099</v>
      </c>
      <c r="AH108" s="247">
        <f t="shared" si="176"/>
        <v>71636954.774850041</v>
      </c>
      <c r="AI108" s="247">
        <f t="shared" si="176"/>
        <v>89702965.315435916</v>
      </c>
      <c r="AJ108" s="247">
        <f t="shared" si="176"/>
        <v>64782789.319655031</v>
      </c>
      <c r="AK108" s="247">
        <f t="shared" si="176"/>
        <v>47750591.401771329</v>
      </c>
      <c r="AL108" s="247">
        <f t="shared" si="176"/>
        <v>5596473.3369480288</v>
      </c>
      <c r="AM108" s="247">
        <f t="shared" si="176"/>
        <v>495960526.96370494</v>
      </c>
      <c r="AN108" s="261">
        <f t="shared" si="138"/>
        <v>1</v>
      </c>
      <c r="BA108" s="171" t="s">
        <v>1438</v>
      </c>
    </row>
    <row r="109" spans="1:53" s="171" customFormat="1" ht="15.5">
      <c r="A109" s="175" t="s">
        <v>1439</v>
      </c>
      <c r="B109" s="175"/>
      <c r="C109" s="175" t="s">
        <v>1286</v>
      </c>
      <c r="D109" s="249" t="s">
        <v>1253</v>
      </c>
      <c r="E109" s="249" t="s">
        <v>160</v>
      </c>
      <c r="G109" s="248">
        <f t="shared" ref="G109:P109" si="177">IFERROR(G108/$P$108, "")</f>
        <v>1.477476733530347E-4</v>
      </c>
      <c r="H109" s="248">
        <f t="shared" si="177"/>
        <v>0.11924444306602543</v>
      </c>
      <c r="I109" s="248">
        <f t="shared" si="177"/>
        <v>0.17197677348422766</v>
      </c>
      <c r="J109" s="248">
        <f t="shared" si="177"/>
        <v>0.14513906624489081</v>
      </c>
      <c r="K109" s="248">
        <f t="shared" si="177"/>
        <v>0.1444408393010933</v>
      </c>
      <c r="L109" s="248">
        <f t="shared" si="177"/>
        <v>0.18086714655418637</v>
      </c>
      <c r="M109" s="248">
        <f t="shared" si="177"/>
        <v>0.13062085750303262</v>
      </c>
      <c r="N109" s="248">
        <f t="shared" si="177"/>
        <v>9.627901577995096E-2</v>
      </c>
      <c r="O109" s="248">
        <f t="shared" si="177"/>
        <v>1.1284110393240201E-2</v>
      </c>
      <c r="P109" s="248">
        <f t="shared" si="177"/>
        <v>1</v>
      </c>
      <c r="AD109" s="248">
        <f t="shared" ref="AD109:AM109" si="178">IFERROR(AD108/$AM$108, "")</f>
        <v>1.477476733530347E-4</v>
      </c>
      <c r="AE109" s="248">
        <f t="shared" si="178"/>
        <v>0.11924444306602539</v>
      </c>
      <c r="AF109" s="248">
        <f t="shared" si="178"/>
        <v>0.17197677348422757</v>
      </c>
      <c r="AG109" s="248">
        <f t="shared" si="178"/>
        <v>0.14513906624489076</v>
      </c>
      <c r="AH109" s="248">
        <f t="shared" si="178"/>
        <v>0.14444083930109328</v>
      </c>
      <c r="AI109" s="248">
        <f t="shared" si="178"/>
        <v>0.18086714655418637</v>
      </c>
      <c r="AJ109" s="248">
        <f t="shared" si="178"/>
        <v>0.13062085750303254</v>
      </c>
      <c r="AK109" s="248">
        <f t="shared" si="178"/>
        <v>9.6279015779950933E-2</v>
      </c>
      <c r="AL109" s="248">
        <f t="shared" si="178"/>
        <v>1.1284110393240199E-2</v>
      </c>
      <c r="AM109" s="248">
        <f t="shared" si="178"/>
        <v>1</v>
      </c>
      <c r="BA109" s="171" t="s">
        <v>1440</v>
      </c>
    </row>
    <row r="110" spans="1:53" s="171" customFormat="1" ht="15.5">
      <c r="A110" s="175" t="s">
        <v>1441</v>
      </c>
      <c r="B110" s="175"/>
      <c r="C110" s="175" t="s">
        <v>1442</v>
      </c>
      <c r="D110" s="249" t="s">
        <v>1402</v>
      </c>
      <c r="E110" s="249" t="s">
        <v>160</v>
      </c>
      <c r="G110" s="264">
        <f>(G52-G87)*$K$91</f>
        <v>17303.853996099439</v>
      </c>
      <c r="H110" s="264">
        <f t="shared" ref="H110:O110" si="179">(H52-H87)*$K$91</f>
        <v>24190855.729784813</v>
      </c>
      <c r="I110" s="264">
        <f t="shared" si="179"/>
        <v>22278488.612916838</v>
      </c>
      <c r="J110" s="264">
        <f t="shared" si="179"/>
        <v>15388226.530297682</v>
      </c>
      <c r="K110" s="264">
        <f t="shared" si="179"/>
        <v>11641868.840294443</v>
      </c>
      <c r="L110" s="264">
        <f t="shared" si="179"/>
        <v>10985022.802269198</v>
      </c>
      <c r="M110" s="264">
        <f t="shared" si="179"/>
        <v>5501631.7082778076</v>
      </c>
      <c r="N110" s="264">
        <f t="shared" si="179"/>
        <v>3071209.3072619298</v>
      </c>
      <c r="O110" s="264">
        <f t="shared" si="179"/>
        <v>427916.08779269533</v>
      </c>
      <c r="P110" s="264">
        <f>(P52-P87)*$K$91</f>
        <v>93502523.47289142</v>
      </c>
      <c r="AD110" s="264">
        <f>(AD52-AD87)*$AH$91</f>
        <v>18332.568116167553</v>
      </c>
      <c r="AE110" s="264">
        <f t="shared" ref="AE110:AK110" si="180">(AE52-AE87)*$AH$91</f>
        <v>25629002.102920502</v>
      </c>
      <c r="AF110" s="264">
        <f t="shared" si="180"/>
        <v>23602944.760954738</v>
      </c>
      <c r="AG110" s="264">
        <f t="shared" si="180"/>
        <v>16303056.597523851</v>
      </c>
      <c r="AH110" s="264">
        <f t="shared" si="180"/>
        <v>12333977.942849953</v>
      </c>
      <c r="AI110" s="264">
        <f t="shared" si="180"/>
        <v>11638082.407864075</v>
      </c>
      <c r="AJ110" s="264">
        <f t="shared" si="180"/>
        <v>5828703.7133349404</v>
      </c>
      <c r="AK110" s="264">
        <f t="shared" si="180"/>
        <v>3253792.7005786621</v>
      </c>
      <c r="AL110" s="264">
        <f>(AL52-AL87)*$AH$91</f>
        <v>453355.69921196945</v>
      </c>
      <c r="AM110" s="264">
        <f>(AM52-AM87)*$AH$91</f>
        <v>99061248.493354961</v>
      </c>
      <c r="BA110" s="171" t="s">
        <v>1443</v>
      </c>
    </row>
    <row r="111" spans="1:53" s="171" customFormat="1" ht="15.5">
      <c r="D111" s="238"/>
      <c r="E111" s="238"/>
    </row>
    <row r="112" spans="1:53" s="171" customFormat="1" ht="15.5">
      <c r="D112" s="238"/>
      <c r="E112" s="238"/>
    </row>
    <row r="113" spans="2:7" s="171" customFormat="1" ht="16" thickBot="1">
      <c r="D113" s="238"/>
      <c r="E113" s="238"/>
    </row>
    <row r="114" spans="2:7" s="171" customFormat="1" ht="15.5">
      <c r="B114" s="459"/>
      <c r="C114" s="460"/>
      <c r="D114" s="460"/>
      <c r="E114" s="461"/>
      <c r="F114" s="461"/>
      <c r="G114" s="462"/>
    </row>
    <row r="115" spans="2:7" s="171" customFormat="1" ht="15.5">
      <c r="B115" s="463" t="s">
        <v>142</v>
      </c>
      <c r="C115" s="464"/>
      <c r="D115" s="464"/>
      <c r="E115" s="465"/>
      <c r="F115" s="384"/>
      <c r="G115" s="466"/>
    </row>
    <row r="116" spans="2:7" s="171" customFormat="1" ht="15.5">
      <c r="B116" s="455"/>
      <c r="C116" s="464"/>
      <c r="D116" s="464"/>
      <c r="E116" s="467"/>
      <c r="F116" s="384"/>
      <c r="G116" s="466"/>
    </row>
    <row r="117" spans="2:7" s="171" customFormat="1" ht="15.5">
      <c r="B117" s="463" t="s">
        <v>143</v>
      </c>
      <c r="C117" s="464"/>
      <c r="D117" s="464"/>
      <c r="E117" s="465"/>
      <c r="F117" s="384"/>
      <c r="G117" s="466"/>
    </row>
    <row r="118" spans="2:7" s="171" customFormat="1" ht="15.5">
      <c r="B118" s="468"/>
      <c r="C118" s="464"/>
      <c r="D118" s="464"/>
      <c r="E118" s="467"/>
      <c r="F118" s="384"/>
      <c r="G118" s="466"/>
    </row>
    <row r="119" spans="2:7" s="171" customFormat="1" ht="15.5">
      <c r="B119" s="463" t="s">
        <v>144</v>
      </c>
      <c r="C119" s="464"/>
      <c r="D119" s="464"/>
      <c r="E119" s="465" t="s">
        <v>145</v>
      </c>
      <c r="F119" s="384"/>
      <c r="G119" s="469"/>
    </row>
    <row r="120" spans="2:7" s="171" customFormat="1" ht="15.5">
      <c r="B120" s="470"/>
      <c r="C120" s="471"/>
      <c r="D120" s="471"/>
      <c r="E120" s="472"/>
      <c r="F120" s="472"/>
      <c r="G120" s="473"/>
    </row>
    <row r="121" spans="2:7" s="171" customFormat="1" ht="15.5">
      <c r="D121" s="238"/>
      <c r="E121" s="238"/>
    </row>
    <row r="122" spans="2:7" s="171" customFormat="1" ht="15.5">
      <c r="D122" s="238"/>
      <c r="E122" s="238"/>
    </row>
    <row r="123" spans="2:7" s="171" customFormat="1" ht="15.5">
      <c r="C123"/>
      <c r="D123" s="238"/>
      <c r="E123" s="238"/>
    </row>
    <row r="124" spans="2:7" s="171" customFormat="1" ht="15.5">
      <c r="D124" s="238"/>
      <c r="E124" s="238"/>
    </row>
    <row r="125" spans="2:7" s="171" customFormat="1" ht="15.5">
      <c r="D125" s="238"/>
      <c r="E125" s="238"/>
    </row>
    <row r="126" spans="2:7" s="171" customFormat="1" ht="15.5">
      <c r="D126" s="238"/>
      <c r="E126" s="238"/>
    </row>
    <row r="127" spans="2:7" s="171" customFormat="1" ht="15.5">
      <c r="D127" s="238"/>
      <c r="E127" s="238"/>
    </row>
    <row r="128" spans="2:7" s="171" customFormat="1" ht="15.5">
      <c r="D128" s="238"/>
      <c r="E128" s="238"/>
    </row>
    <row r="129" spans="4:5" s="171" customFormat="1" ht="15.5">
      <c r="D129" s="238"/>
      <c r="E129" s="238"/>
    </row>
    <row r="130" spans="4:5" s="171" customFormat="1" ht="15.5">
      <c r="D130" s="238"/>
      <c r="E130" s="238"/>
    </row>
    <row r="131" spans="4:5" s="171" customFormat="1" ht="15.5">
      <c r="D131" s="238"/>
      <c r="E131" s="238"/>
    </row>
    <row r="132" spans="4:5" s="171" customFormat="1" ht="15.5">
      <c r="D132" s="238"/>
      <c r="E132" s="238"/>
    </row>
    <row r="133" spans="4:5" s="171" customFormat="1" ht="15.5">
      <c r="D133" s="238"/>
      <c r="E133" s="238"/>
    </row>
  </sheetData>
  <mergeCells count="11">
    <mergeCell ref="B9:B11"/>
    <mergeCell ref="A9:A11"/>
    <mergeCell ref="E9:E11"/>
    <mergeCell ref="D9:D11"/>
    <mergeCell ref="C9:C11"/>
    <mergeCell ref="S10:AB10"/>
    <mergeCell ref="G9:AB9"/>
    <mergeCell ref="G10:Q10"/>
    <mergeCell ref="AD9:AY9"/>
    <mergeCell ref="AD10:AN10"/>
    <mergeCell ref="AP10:AY10"/>
  </mergeCells>
  <phoneticPr fontId="136" type="noConversion"/>
  <pageMargins left="0.7" right="0.7" top="0.75" bottom="0.75" header="0.3" footer="0.3"/>
  <pageSetup paperSize="8" orientation="landscape" r:id="rId1"/>
  <headerFooter>
    <oddFooter>&amp;L&amp;1#&amp;"Arial"&amp;11&amp;K000000SW Internal Commercial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E4F74-64D1-44A5-A9B4-CC9DE94D61BF}">
  <sheetPr>
    <pageSetUpPr fitToPage="1"/>
  </sheetPr>
  <dimension ref="A1:AJ135"/>
  <sheetViews>
    <sheetView zoomScaleNormal="100" workbookViewId="0">
      <selection sqref="A1:XFD1048576"/>
    </sheetView>
  </sheetViews>
  <sheetFormatPr defaultColWidth="9.1796875" defaultRowHeight="12.5"/>
  <cols>
    <col min="1" max="1" width="8.1796875" style="69" customWidth="1"/>
    <col min="2" max="2" width="70.81640625" style="69" bestFit="1" customWidth="1"/>
    <col min="3" max="3" width="12.26953125" style="69" customWidth="1"/>
    <col min="4" max="4" width="15" style="69" customWidth="1"/>
    <col min="5" max="5" width="2.1796875" style="69" customWidth="1"/>
    <col min="6" max="6" width="15.7265625" style="69" customWidth="1"/>
    <col min="7" max="7" width="5.1796875" style="69" customWidth="1"/>
    <col min="8" max="8" width="2.1796875" style="69" customWidth="1"/>
    <col min="9" max="9" width="17.26953125" style="69" bestFit="1" customWidth="1"/>
    <col min="10" max="10" width="5.26953125" style="69" customWidth="1"/>
    <col min="11" max="12" width="15.1796875" style="69" customWidth="1"/>
    <col min="13" max="24" width="9.1796875" style="69" customWidth="1"/>
    <col min="25" max="16384" width="9.1796875" style="69"/>
  </cols>
  <sheetData>
    <row r="1" spans="1:36" s="50" customFormat="1" ht="20">
      <c r="A1" s="28" t="s">
        <v>0</v>
      </c>
      <c r="B1" s="134"/>
      <c r="C1" s="134"/>
      <c r="D1" s="133"/>
      <c r="E1" s="133"/>
      <c r="F1" s="133"/>
      <c r="G1" s="133"/>
      <c r="H1" s="133"/>
      <c r="I1" s="133"/>
      <c r="J1" s="133"/>
      <c r="X1" s="51"/>
    </row>
    <row r="2" spans="1:36" s="50" customFormat="1" ht="20">
      <c r="A2" s="133"/>
      <c r="B2" s="133"/>
      <c r="C2" s="133"/>
      <c r="D2" s="133"/>
      <c r="E2" s="133"/>
      <c r="F2" s="133"/>
      <c r="G2" s="133"/>
      <c r="H2" s="133"/>
      <c r="I2" s="133"/>
      <c r="J2" s="133"/>
      <c r="X2" s="51"/>
    </row>
    <row r="3" spans="1:36" s="50" customFormat="1" ht="20">
      <c r="A3" s="29" t="s">
        <v>1</v>
      </c>
      <c r="B3" s="132"/>
      <c r="C3" s="132"/>
      <c r="D3" s="131"/>
      <c r="E3" s="131"/>
      <c r="F3" s="131"/>
      <c r="G3" s="131"/>
      <c r="H3" s="131"/>
      <c r="I3" s="131"/>
      <c r="J3" s="131"/>
      <c r="X3" s="52"/>
      <c r="AF3" s="53"/>
      <c r="AG3" s="53"/>
    </row>
    <row r="4" spans="1:36" s="50" customFormat="1" ht="15.65" customHeight="1">
      <c r="A4" s="28"/>
      <c r="B4" s="134"/>
      <c r="C4" s="134"/>
      <c r="D4" s="133"/>
      <c r="E4" s="133"/>
      <c r="F4" s="133"/>
      <c r="G4" s="133"/>
      <c r="H4" s="133"/>
      <c r="I4" s="133"/>
      <c r="J4" s="133"/>
      <c r="X4" s="52"/>
      <c r="AF4" s="53"/>
      <c r="AG4" s="53"/>
    </row>
    <row r="5" spans="1:36" s="50" customFormat="1" ht="15.65" customHeight="1" thickBot="1">
      <c r="A5" s="130"/>
      <c r="B5" s="129"/>
      <c r="C5" s="129"/>
      <c r="D5" s="128"/>
      <c r="E5" s="128"/>
      <c r="F5" s="128"/>
      <c r="G5" s="128"/>
      <c r="H5" s="128"/>
      <c r="I5" s="128"/>
      <c r="J5" s="128"/>
      <c r="K5" s="54"/>
      <c r="L5" s="54"/>
      <c r="M5" s="54"/>
      <c r="N5" s="54"/>
      <c r="O5" s="54"/>
      <c r="P5" s="54"/>
      <c r="Q5" s="54"/>
      <c r="R5" s="54"/>
      <c r="S5" s="54"/>
      <c r="T5" s="54"/>
      <c r="U5" s="54"/>
      <c r="X5" s="52"/>
      <c r="AF5" s="55"/>
      <c r="AG5" s="55"/>
    </row>
    <row r="6" spans="1:36" s="50" customFormat="1" ht="20">
      <c r="A6" s="187" t="s">
        <v>2</v>
      </c>
      <c r="B6" s="188"/>
      <c r="C6" s="188"/>
      <c r="D6" s="189"/>
      <c r="E6" s="128"/>
      <c r="F6" s="128"/>
      <c r="G6" s="128"/>
      <c r="H6" s="128"/>
      <c r="I6" s="128"/>
      <c r="J6" s="128"/>
      <c r="K6" s="54"/>
      <c r="L6" s="54"/>
      <c r="M6" s="54"/>
      <c r="N6" s="54"/>
      <c r="O6" s="54"/>
      <c r="P6" s="54"/>
      <c r="Q6" s="54"/>
      <c r="R6" s="54"/>
      <c r="S6" s="54"/>
      <c r="T6" s="54"/>
      <c r="U6" s="54"/>
      <c r="V6" s="54"/>
      <c r="W6" s="54"/>
      <c r="X6" s="54"/>
      <c r="AA6" s="52"/>
      <c r="AI6" s="55"/>
      <c r="AJ6" s="55"/>
    </row>
    <row r="7" spans="1:36" s="50" customFormat="1" ht="20.5" customHeight="1" thickBot="1">
      <c r="A7" s="190" t="s">
        <v>1444</v>
      </c>
      <c r="B7" s="191"/>
      <c r="C7" s="191"/>
      <c r="D7" s="192"/>
      <c r="E7" s="128"/>
      <c r="F7" s="128"/>
      <c r="G7" s="128"/>
      <c r="H7" s="128"/>
      <c r="I7" s="128"/>
      <c r="J7" s="128"/>
      <c r="K7" s="54"/>
      <c r="L7" s="54"/>
      <c r="M7" s="54"/>
      <c r="N7" s="54"/>
      <c r="O7" s="54"/>
      <c r="P7" s="54"/>
      <c r="Q7" s="54"/>
      <c r="R7" s="54"/>
      <c r="S7" s="54"/>
      <c r="T7" s="54"/>
      <c r="U7" s="54"/>
      <c r="V7" s="54"/>
      <c r="W7" s="54"/>
      <c r="X7" s="54"/>
      <c r="AA7" s="52"/>
      <c r="AI7" s="55"/>
      <c r="AJ7" s="55"/>
    </row>
    <row r="8" spans="1:36" s="50" customFormat="1" ht="20">
      <c r="A8" s="130"/>
      <c r="B8" s="129"/>
      <c r="C8" s="129"/>
      <c r="D8" s="128"/>
      <c r="E8" s="128"/>
      <c r="F8" s="128"/>
      <c r="G8" s="128"/>
      <c r="H8" s="128"/>
      <c r="I8" s="128"/>
      <c r="J8" s="128"/>
      <c r="K8" s="54"/>
      <c r="L8" s="54"/>
      <c r="M8" s="54"/>
      <c r="N8" s="54"/>
      <c r="O8" s="54"/>
      <c r="P8" s="54"/>
      <c r="Q8" s="54"/>
      <c r="R8" s="54"/>
      <c r="S8" s="54"/>
      <c r="T8" s="54"/>
      <c r="U8" s="54"/>
      <c r="V8" s="54"/>
      <c r="W8" s="54"/>
      <c r="X8" s="54"/>
      <c r="AA8" s="52"/>
      <c r="AI8" s="55"/>
      <c r="AJ8" s="55"/>
    </row>
    <row r="9" spans="1:36" s="50" customFormat="1" ht="20.5" thickBot="1">
      <c r="A9" s="38"/>
      <c r="B9" s="38"/>
      <c r="C9" s="38"/>
      <c r="D9" s="38"/>
      <c r="E9" s="38"/>
      <c r="F9" s="127">
        <v>10</v>
      </c>
      <c r="G9" s="126"/>
      <c r="H9" s="109"/>
      <c r="I9" s="127">
        <v>20</v>
      </c>
      <c r="J9" s="126"/>
      <c r="K9" s="54"/>
      <c r="L9" s="54"/>
      <c r="M9" s="54"/>
      <c r="N9" s="54"/>
      <c r="O9" s="54"/>
      <c r="P9" s="54"/>
      <c r="Q9" s="54"/>
      <c r="R9" s="54"/>
      <c r="S9" s="54"/>
      <c r="T9" s="54"/>
      <c r="U9" s="54"/>
      <c r="V9" s="54"/>
      <c r="W9" s="54"/>
      <c r="X9" s="54"/>
      <c r="AA9" s="52"/>
      <c r="AI9" s="55"/>
      <c r="AJ9" s="55"/>
    </row>
    <row r="10" spans="1:36" s="50" customFormat="1" ht="16" thickBot="1">
      <c r="A10" s="125" t="s">
        <v>1445</v>
      </c>
      <c r="B10" s="124" t="s">
        <v>1205</v>
      </c>
      <c r="C10" s="123" t="s">
        <v>1206</v>
      </c>
      <c r="D10" s="122" t="s">
        <v>1446</v>
      </c>
      <c r="E10" s="38"/>
      <c r="F10" s="121"/>
      <c r="G10" s="120"/>
      <c r="H10" s="109"/>
      <c r="I10" s="121"/>
      <c r="J10" s="120"/>
      <c r="L10" s="314" t="s">
        <v>157</v>
      </c>
    </row>
    <row r="11" spans="1:36" s="50" customFormat="1" ht="18" customHeight="1">
      <c r="A11" s="119" t="s">
        <v>1447</v>
      </c>
      <c r="B11" s="118"/>
      <c r="C11" s="117"/>
      <c r="D11" s="116" t="s">
        <v>1448</v>
      </c>
      <c r="E11" s="38"/>
      <c r="F11" s="115" t="s">
        <v>1449</v>
      </c>
      <c r="G11" s="114"/>
      <c r="H11" s="109"/>
      <c r="I11" s="115" t="s">
        <v>1450</v>
      </c>
      <c r="J11" s="114"/>
    </row>
    <row r="12" spans="1:36" s="106" customFormat="1" ht="19.5" customHeight="1" thickBot="1">
      <c r="A12" s="113"/>
      <c r="B12" s="112"/>
      <c r="C12" s="111"/>
      <c r="D12" s="110"/>
      <c r="E12" s="38"/>
      <c r="F12" s="108" t="s">
        <v>1451</v>
      </c>
      <c r="G12" s="107" t="s">
        <v>1452</v>
      </c>
      <c r="H12" s="109"/>
      <c r="I12" s="108" t="s">
        <v>1453</v>
      </c>
      <c r="J12" s="107" t="s">
        <v>1452</v>
      </c>
    </row>
    <row r="13" spans="1:36" ht="13" thickBot="1">
      <c r="A13" s="105"/>
      <c r="B13" s="105"/>
      <c r="C13" s="105"/>
      <c r="D13" s="105"/>
      <c r="F13" s="105"/>
      <c r="G13" s="105"/>
      <c r="H13" s="105"/>
      <c r="I13" s="105"/>
      <c r="J13" s="105"/>
      <c r="K13" s="105"/>
      <c r="L13" s="105"/>
      <c r="M13" s="105"/>
      <c r="N13" s="105"/>
      <c r="O13" s="105"/>
    </row>
    <row r="14" spans="1:36" ht="16" thickBot="1">
      <c r="A14" s="318"/>
      <c r="B14" s="319" t="s">
        <v>1454</v>
      </c>
      <c r="C14" s="194"/>
      <c r="D14" s="196"/>
      <c r="E14" s="320"/>
      <c r="F14" s="321"/>
      <c r="G14" s="321"/>
      <c r="H14" s="321"/>
      <c r="I14" s="321"/>
      <c r="J14" s="321"/>
      <c r="K14" s="105"/>
      <c r="L14" s="105"/>
      <c r="M14" s="105"/>
      <c r="N14" s="105"/>
      <c r="O14" s="105"/>
    </row>
    <row r="15" spans="1:36" ht="15.5">
      <c r="A15" s="322" t="s">
        <v>1455</v>
      </c>
      <c r="B15" s="323" t="s">
        <v>209</v>
      </c>
      <c r="C15" s="324" t="s">
        <v>1456</v>
      </c>
      <c r="D15" s="325" t="s">
        <v>210</v>
      </c>
      <c r="E15" s="320"/>
      <c r="F15" s="326">
        <v>321</v>
      </c>
      <c r="G15" s="327" t="s">
        <v>1228</v>
      </c>
      <c r="H15" s="320"/>
      <c r="I15" s="326">
        <v>299</v>
      </c>
      <c r="J15" s="327" t="s">
        <v>1229</v>
      </c>
      <c r="L15" s="69" t="s">
        <v>1457</v>
      </c>
    </row>
    <row r="16" spans="1:36" ht="15.5">
      <c r="A16" s="328" t="s">
        <v>1458</v>
      </c>
      <c r="B16" s="329" t="s">
        <v>213</v>
      </c>
      <c r="C16" s="324" t="s">
        <v>1456</v>
      </c>
      <c r="D16" s="330" t="s">
        <v>210</v>
      </c>
      <c r="E16" s="320"/>
      <c r="F16" s="331">
        <v>0</v>
      </c>
      <c r="G16" s="332" t="s">
        <v>1228</v>
      </c>
      <c r="H16" s="320"/>
      <c r="I16" s="331">
        <v>0</v>
      </c>
      <c r="J16" s="332" t="s">
        <v>1229</v>
      </c>
      <c r="L16" s="315" t="s">
        <v>1459</v>
      </c>
    </row>
    <row r="17" spans="1:12" ht="15.5">
      <c r="A17" s="328" t="s">
        <v>1460</v>
      </c>
      <c r="B17" s="329" t="s">
        <v>216</v>
      </c>
      <c r="C17" s="324" t="s">
        <v>1456</v>
      </c>
      <c r="D17" s="330" t="s">
        <v>210</v>
      </c>
      <c r="E17" s="320"/>
      <c r="F17" s="331">
        <v>0</v>
      </c>
      <c r="G17" s="332" t="s">
        <v>1228</v>
      </c>
      <c r="H17" s="320"/>
      <c r="I17" s="331">
        <v>0</v>
      </c>
      <c r="J17" s="332" t="s">
        <v>1229</v>
      </c>
      <c r="L17" s="315" t="s">
        <v>1461</v>
      </c>
    </row>
    <row r="18" spans="1:12" ht="15.5">
      <c r="A18" s="328" t="s">
        <v>1462</v>
      </c>
      <c r="B18" s="329" t="s">
        <v>219</v>
      </c>
      <c r="C18" s="324" t="s">
        <v>1456</v>
      </c>
      <c r="D18" s="330" t="s">
        <v>210</v>
      </c>
      <c r="E18" s="320"/>
      <c r="F18" s="331">
        <v>0</v>
      </c>
      <c r="G18" s="332" t="s">
        <v>1228</v>
      </c>
      <c r="H18" s="320"/>
      <c r="I18" s="331">
        <v>0</v>
      </c>
      <c r="J18" s="332" t="s">
        <v>1229</v>
      </c>
      <c r="L18" s="315" t="s">
        <v>1463</v>
      </c>
    </row>
    <row r="19" spans="1:12" ht="16" thickBot="1">
      <c r="A19" s="333" t="s">
        <v>1464</v>
      </c>
      <c r="B19" s="334" t="s">
        <v>1465</v>
      </c>
      <c r="C19" s="335" t="s">
        <v>1456</v>
      </c>
      <c r="D19" s="336" t="s">
        <v>160</v>
      </c>
      <c r="E19" s="320"/>
      <c r="F19" s="337">
        <f>SUM(F15:F18)</f>
        <v>321</v>
      </c>
      <c r="G19" s="338" t="s">
        <v>1228</v>
      </c>
      <c r="H19" s="320"/>
      <c r="I19" s="337">
        <f>SUM(I15:I18)</f>
        <v>299</v>
      </c>
      <c r="J19" s="338" t="s">
        <v>1229</v>
      </c>
      <c r="L19" s="69" t="s">
        <v>1466</v>
      </c>
    </row>
    <row r="20" spans="1:12" ht="16" thickBot="1">
      <c r="A20" s="339"/>
      <c r="B20" s="340"/>
      <c r="C20" s="341"/>
      <c r="D20" s="341"/>
      <c r="E20" s="320"/>
      <c r="F20" s="342"/>
      <c r="G20" s="320"/>
      <c r="H20" s="320"/>
      <c r="I20" s="342"/>
      <c r="J20" s="320"/>
    </row>
    <row r="21" spans="1:12" ht="16" thickBot="1">
      <c r="A21" s="318"/>
      <c r="B21" s="319" t="s">
        <v>1467</v>
      </c>
      <c r="C21" s="343"/>
      <c r="D21" s="344"/>
      <c r="E21" s="320"/>
      <c r="F21" s="342"/>
      <c r="G21" s="320"/>
      <c r="H21" s="320"/>
      <c r="I21" s="342"/>
      <c r="J21" s="320"/>
    </row>
    <row r="22" spans="1:12" ht="18.5">
      <c r="A22" s="322" t="s">
        <v>1468</v>
      </c>
      <c r="B22" s="345" t="s">
        <v>1469</v>
      </c>
      <c r="C22" s="324" t="s">
        <v>1470</v>
      </c>
      <c r="D22" s="325" t="s">
        <v>210</v>
      </c>
      <c r="E22" s="320"/>
      <c r="F22" s="326">
        <v>7349</v>
      </c>
      <c r="G22" s="327" t="s">
        <v>1228</v>
      </c>
      <c r="H22" s="320"/>
      <c r="I22" s="326">
        <v>6845.330218068535</v>
      </c>
      <c r="J22" s="327" t="s">
        <v>1229</v>
      </c>
      <c r="L22" s="69" t="s">
        <v>1471</v>
      </c>
    </row>
    <row r="23" spans="1:12" ht="18.5">
      <c r="A23" s="328" t="s">
        <v>1472</v>
      </c>
      <c r="B23" s="346" t="s">
        <v>1473</v>
      </c>
      <c r="C23" s="347" t="s">
        <v>1470</v>
      </c>
      <c r="D23" s="330" t="s">
        <v>210</v>
      </c>
      <c r="E23" s="320"/>
      <c r="F23" s="331">
        <v>79441.5</v>
      </c>
      <c r="G23" s="332" t="s">
        <v>1228</v>
      </c>
      <c r="H23" s="320"/>
      <c r="I23" s="331">
        <v>73996.91</v>
      </c>
      <c r="J23" s="332" t="s">
        <v>1229</v>
      </c>
      <c r="L23" s="69" t="s">
        <v>1474</v>
      </c>
    </row>
    <row r="24" spans="1:12" ht="15.5">
      <c r="A24" s="328" t="s">
        <v>1475</v>
      </c>
      <c r="B24" s="348" t="s">
        <v>1476</v>
      </c>
      <c r="C24" s="347" t="s">
        <v>1470</v>
      </c>
      <c r="D24" s="330" t="s">
        <v>210</v>
      </c>
      <c r="E24" s="320"/>
      <c r="F24" s="331">
        <v>0</v>
      </c>
      <c r="G24" s="332" t="s">
        <v>1228</v>
      </c>
      <c r="H24" s="320"/>
      <c r="I24" s="331">
        <v>0</v>
      </c>
      <c r="J24" s="332" t="s">
        <v>1229</v>
      </c>
      <c r="L24" s="69" t="s">
        <v>1477</v>
      </c>
    </row>
    <row r="25" spans="1:12" ht="16" thickBot="1">
      <c r="A25" s="333" t="s">
        <v>1478</v>
      </c>
      <c r="B25" s="349" t="s">
        <v>225</v>
      </c>
      <c r="C25" s="335" t="s">
        <v>1470</v>
      </c>
      <c r="D25" s="336" t="s">
        <v>160</v>
      </c>
      <c r="E25" s="320"/>
      <c r="F25" s="337">
        <f>SUM(F22:F24)</f>
        <v>86790.5</v>
      </c>
      <c r="G25" s="338" t="s">
        <v>1228</v>
      </c>
      <c r="H25" s="320"/>
      <c r="I25" s="337">
        <f>SUM(I22:I24)</f>
        <v>80842.240218068531</v>
      </c>
      <c r="J25" s="338" t="s">
        <v>1229</v>
      </c>
      <c r="L25" s="69" t="s">
        <v>1479</v>
      </c>
    </row>
    <row r="26" spans="1:12" ht="16" thickBot="1">
      <c r="A26" s="339"/>
      <c r="B26" s="340"/>
      <c r="C26" s="341"/>
      <c r="D26" s="341"/>
      <c r="E26" s="320"/>
      <c r="F26" s="342"/>
      <c r="G26" s="320"/>
      <c r="H26" s="320"/>
      <c r="I26" s="342"/>
      <c r="J26" s="320"/>
    </row>
    <row r="27" spans="1:12" ht="16" thickBot="1">
      <c r="A27" s="318"/>
      <c r="B27" s="319" t="s">
        <v>1480</v>
      </c>
      <c r="C27" s="343"/>
      <c r="D27" s="344"/>
      <c r="E27" s="320"/>
      <c r="F27" s="342"/>
      <c r="G27" s="320"/>
      <c r="H27" s="320"/>
      <c r="I27" s="342"/>
      <c r="J27" s="320"/>
    </row>
    <row r="28" spans="1:12" ht="15.5">
      <c r="A28" s="322" t="s">
        <v>1481</v>
      </c>
      <c r="B28" s="323" t="s">
        <v>209</v>
      </c>
      <c r="C28" s="324" t="s">
        <v>1402</v>
      </c>
      <c r="D28" s="325" t="s">
        <v>210</v>
      </c>
      <c r="E28" s="320"/>
      <c r="F28" s="350">
        <v>166.23</v>
      </c>
      <c r="G28" s="327" t="s">
        <v>1482</v>
      </c>
      <c r="H28" s="320"/>
      <c r="I28" s="350">
        <v>174.54</v>
      </c>
      <c r="J28" s="327" t="s">
        <v>1482</v>
      </c>
      <c r="L28" s="69" t="s">
        <v>1483</v>
      </c>
    </row>
    <row r="29" spans="1:12" ht="15.5">
      <c r="A29" s="328" t="s">
        <v>1484</v>
      </c>
      <c r="B29" s="329" t="s">
        <v>213</v>
      </c>
      <c r="C29" s="347" t="s">
        <v>1402</v>
      </c>
      <c r="D29" s="330" t="s">
        <v>210</v>
      </c>
      <c r="E29" s="320"/>
      <c r="F29" s="351">
        <v>494</v>
      </c>
      <c r="G29" s="332" t="s">
        <v>1482</v>
      </c>
      <c r="H29" s="320"/>
      <c r="I29" s="351">
        <v>519</v>
      </c>
      <c r="J29" s="332" t="s">
        <v>1482</v>
      </c>
      <c r="L29" s="69" t="s">
        <v>1485</v>
      </c>
    </row>
    <row r="30" spans="1:12" ht="15.5">
      <c r="A30" s="328" t="s">
        <v>1486</v>
      </c>
      <c r="B30" s="329" t="s">
        <v>216</v>
      </c>
      <c r="C30" s="347" t="s">
        <v>1402</v>
      </c>
      <c r="D30" s="330" t="s">
        <v>210</v>
      </c>
      <c r="E30" s="320"/>
      <c r="F30" s="351">
        <v>1398</v>
      </c>
      <c r="G30" s="332" t="s">
        <v>1482</v>
      </c>
      <c r="H30" s="320"/>
      <c r="I30" s="351">
        <v>1468</v>
      </c>
      <c r="J30" s="332" t="s">
        <v>1482</v>
      </c>
      <c r="L30" s="69" t="s">
        <v>1487</v>
      </c>
    </row>
    <row r="31" spans="1:12" ht="16" thickBot="1">
      <c r="A31" s="333" t="s">
        <v>1488</v>
      </c>
      <c r="B31" s="334" t="s">
        <v>219</v>
      </c>
      <c r="C31" s="335" t="s">
        <v>1402</v>
      </c>
      <c r="D31" s="336" t="s">
        <v>210</v>
      </c>
      <c r="E31" s="320"/>
      <c r="F31" s="352">
        <v>3108</v>
      </c>
      <c r="G31" s="338" t="s">
        <v>1482</v>
      </c>
      <c r="H31" s="320"/>
      <c r="I31" s="352">
        <v>3263</v>
      </c>
      <c r="J31" s="338" t="s">
        <v>1482</v>
      </c>
      <c r="L31" s="69" t="s">
        <v>1489</v>
      </c>
    </row>
    <row r="32" spans="1:12" ht="16" thickBot="1">
      <c r="A32" s="339"/>
      <c r="B32" s="340"/>
      <c r="C32" s="341"/>
      <c r="D32" s="341"/>
      <c r="E32" s="320"/>
      <c r="F32" s="342"/>
      <c r="G32" s="320"/>
      <c r="H32" s="320"/>
      <c r="I32" s="342"/>
      <c r="J32" s="320"/>
    </row>
    <row r="33" spans="1:12" ht="16" thickBot="1">
      <c r="A33" s="318"/>
      <c r="B33" s="319" t="s">
        <v>1490</v>
      </c>
      <c r="C33" s="343"/>
      <c r="D33" s="344"/>
      <c r="E33" s="320"/>
      <c r="F33" s="342"/>
      <c r="G33" s="320"/>
      <c r="H33" s="320"/>
      <c r="I33" s="342"/>
      <c r="J33" s="320"/>
    </row>
    <row r="34" spans="1:12" ht="18.5">
      <c r="A34" s="322" t="s">
        <v>1491</v>
      </c>
      <c r="B34" s="345" t="s">
        <v>1492</v>
      </c>
      <c r="C34" s="324" t="s">
        <v>1493</v>
      </c>
      <c r="D34" s="325" t="s">
        <v>210</v>
      </c>
      <c r="E34" s="320"/>
      <c r="F34" s="353">
        <v>2.6101000000000001</v>
      </c>
      <c r="G34" s="327" t="s">
        <v>1482</v>
      </c>
      <c r="H34" s="320"/>
      <c r="I34" s="354">
        <v>2.7406000000000001</v>
      </c>
      <c r="J34" s="327" t="s">
        <v>1482</v>
      </c>
      <c r="L34" s="69" t="s">
        <v>1494</v>
      </c>
    </row>
    <row r="35" spans="1:12" ht="18.5">
      <c r="A35" s="328" t="s">
        <v>1495</v>
      </c>
      <c r="B35" s="346" t="s">
        <v>1496</v>
      </c>
      <c r="C35" s="347" t="s">
        <v>1493</v>
      </c>
      <c r="D35" s="330" t="s">
        <v>210</v>
      </c>
      <c r="E35" s="320"/>
      <c r="F35" s="355">
        <v>0.94569999999999999</v>
      </c>
      <c r="G35" s="332" t="s">
        <v>1482</v>
      </c>
      <c r="H35" s="320"/>
      <c r="I35" s="356">
        <v>0.99299999999999999</v>
      </c>
      <c r="J35" s="332" t="s">
        <v>1482</v>
      </c>
      <c r="L35" s="69" t="s">
        <v>1497</v>
      </c>
    </row>
    <row r="36" spans="1:12" ht="16" thickBot="1">
      <c r="A36" s="333" t="s">
        <v>1498</v>
      </c>
      <c r="B36" s="357" t="s">
        <v>1476</v>
      </c>
      <c r="C36" s="335" t="s">
        <v>1493</v>
      </c>
      <c r="D36" s="336" t="s">
        <v>210</v>
      </c>
      <c r="E36" s="320"/>
      <c r="F36" s="358">
        <v>0.94569999999999999</v>
      </c>
      <c r="G36" s="338" t="s">
        <v>1482</v>
      </c>
      <c r="H36" s="320"/>
      <c r="I36" s="359">
        <v>0.99299999999999999</v>
      </c>
      <c r="J36" s="338" t="s">
        <v>1482</v>
      </c>
      <c r="L36" s="69" t="s">
        <v>1499</v>
      </c>
    </row>
    <row r="37" spans="1:12" ht="16" thickBot="1">
      <c r="A37" s="339"/>
      <c r="B37" s="340"/>
      <c r="C37" s="341"/>
      <c r="D37" s="341"/>
      <c r="E37" s="320"/>
      <c r="F37" s="342"/>
      <c r="G37" s="320"/>
      <c r="H37" s="320"/>
      <c r="I37" s="342"/>
      <c r="J37" s="320"/>
    </row>
    <row r="38" spans="1:12" ht="16" thickBot="1">
      <c r="A38" s="318"/>
      <c r="B38" s="319" t="s">
        <v>1500</v>
      </c>
      <c r="C38" s="343"/>
      <c r="D38" s="344"/>
      <c r="E38" s="320"/>
      <c r="F38" s="342"/>
      <c r="G38" s="320"/>
      <c r="H38" s="320"/>
      <c r="I38" s="342"/>
      <c r="J38" s="320"/>
    </row>
    <row r="39" spans="1:12" ht="15.5">
      <c r="A39" s="322" t="s">
        <v>1501</v>
      </c>
      <c r="B39" s="345" t="s">
        <v>1502</v>
      </c>
      <c r="C39" s="324" t="s">
        <v>1402</v>
      </c>
      <c r="D39" s="325" t="s">
        <v>160</v>
      </c>
      <c r="E39" s="320"/>
      <c r="F39" s="360">
        <f>SUMPRODUCT(F15:F18,F28:F31)</f>
        <v>53359.829999999994</v>
      </c>
      <c r="G39" s="327" t="s">
        <v>1228</v>
      </c>
      <c r="H39" s="320"/>
      <c r="I39" s="361">
        <f>SUMPRODUCT(I15:I18,I28:I31)</f>
        <v>52187.46</v>
      </c>
      <c r="J39" s="327" t="s">
        <v>1229</v>
      </c>
      <c r="L39" s="69" t="s">
        <v>1503</v>
      </c>
    </row>
    <row r="40" spans="1:12" ht="18.5">
      <c r="A40" s="328" t="s">
        <v>1504</v>
      </c>
      <c r="B40" s="346" t="s">
        <v>1505</v>
      </c>
      <c r="C40" s="347" t="s">
        <v>1402</v>
      </c>
      <c r="D40" s="330" t="s">
        <v>160</v>
      </c>
      <c r="E40" s="320"/>
      <c r="F40" s="362">
        <f>F22*F34</f>
        <v>19181.624899999999</v>
      </c>
      <c r="G40" s="332" t="s">
        <v>1228</v>
      </c>
      <c r="H40" s="320"/>
      <c r="I40" s="363">
        <f>I22*I34</f>
        <v>18760.311995638629</v>
      </c>
      <c r="J40" s="332" t="s">
        <v>1229</v>
      </c>
      <c r="L40" s="69" t="s">
        <v>1506</v>
      </c>
    </row>
    <row r="41" spans="1:12" ht="18.5">
      <c r="A41" s="328" t="s">
        <v>1507</v>
      </c>
      <c r="B41" s="346" t="s">
        <v>1508</v>
      </c>
      <c r="C41" s="347" t="s">
        <v>1402</v>
      </c>
      <c r="D41" s="330" t="s">
        <v>160</v>
      </c>
      <c r="E41" s="320"/>
      <c r="F41" s="364">
        <f>F23*F35</f>
        <v>75127.826549999998</v>
      </c>
      <c r="G41" s="332" t="s">
        <v>1228</v>
      </c>
      <c r="H41" s="320"/>
      <c r="I41" s="365">
        <f>I23*I35</f>
        <v>73478.931630000006</v>
      </c>
      <c r="J41" s="332" t="s">
        <v>1229</v>
      </c>
      <c r="L41" s="69" t="s">
        <v>1509</v>
      </c>
    </row>
    <row r="42" spans="1:12" ht="15.5">
      <c r="A42" s="328" t="s">
        <v>1510</v>
      </c>
      <c r="B42" s="346" t="s">
        <v>1476</v>
      </c>
      <c r="C42" s="347" t="s">
        <v>1402</v>
      </c>
      <c r="D42" s="330" t="s">
        <v>160</v>
      </c>
      <c r="E42" s="320"/>
      <c r="F42" s="364">
        <f>F24*F36</f>
        <v>0</v>
      </c>
      <c r="G42" s="332" t="s">
        <v>1228</v>
      </c>
      <c r="H42" s="320"/>
      <c r="I42" s="365">
        <f>I24*I36</f>
        <v>0</v>
      </c>
      <c r="J42" s="332" t="s">
        <v>1229</v>
      </c>
      <c r="L42" s="69" t="s">
        <v>1511</v>
      </c>
    </row>
    <row r="43" spans="1:12" ht="16" thickBot="1">
      <c r="A43" s="333" t="s">
        <v>1512</v>
      </c>
      <c r="B43" s="366" t="s">
        <v>176</v>
      </c>
      <c r="C43" s="335" t="s">
        <v>1402</v>
      </c>
      <c r="D43" s="336" t="s">
        <v>160</v>
      </c>
      <c r="E43" s="320"/>
      <c r="F43" s="337">
        <f>SUM(F39:F42)</f>
        <v>147669.28145000001</v>
      </c>
      <c r="G43" s="338" t="s">
        <v>1228</v>
      </c>
      <c r="H43" s="320"/>
      <c r="I43" s="367">
        <f>SUM(I39:I42)</f>
        <v>144426.70362563862</v>
      </c>
      <c r="J43" s="338" t="s">
        <v>1229</v>
      </c>
      <c r="L43" s="69" t="s">
        <v>1513</v>
      </c>
    </row>
    <row r="44" spans="1:12" ht="13">
      <c r="B44" s="50"/>
    </row>
    <row r="45" spans="1:12" ht="13">
      <c r="B45" s="50"/>
    </row>
    <row r="46" spans="1:12" ht="14">
      <c r="A46" s="71"/>
      <c r="B46" s="459"/>
      <c r="C46" s="460"/>
      <c r="D46" s="460"/>
      <c r="E46" s="461"/>
      <c r="F46" s="461"/>
      <c r="G46" s="462"/>
    </row>
    <row r="47" spans="1:12" ht="14">
      <c r="A47" s="71"/>
      <c r="B47" s="463" t="s">
        <v>142</v>
      </c>
      <c r="C47" s="464"/>
      <c r="D47" s="464"/>
      <c r="E47" s="465"/>
      <c r="F47" s="384"/>
      <c r="G47" s="466"/>
    </row>
    <row r="48" spans="1:12" ht="14.5">
      <c r="A48" s="71"/>
      <c r="B48" s="455"/>
      <c r="C48" s="464"/>
      <c r="D48" s="464"/>
      <c r="E48" s="467"/>
      <c r="F48" s="384"/>
      <c r="G48" s="466"/>
    </row>
    <row r="49" spans="1:7" ht="14">
      <c r="A49" s="71"/>
      <c r="B49" s="463" t="s">
        <v>143</v>
      </c>
      <c r="C49" s="464"/>
      <c r="D49" s="464"/>
      <c r="E49" s="465"/>
      <c r="F49" s="384"/>
      <c r="G49" s="466"/>
    </row>
    <row r="50" spans="1:7" ht="14">
      <c r="A50" s="71"/>
      <c r="B50" s="468"/>
      <c r="C50" s="464"/>
      <c r="D50" s="464"/>
      <c r="E50" s="467"/>
      <c r="F50" s="384"/>
      <c r="G50" s="466"/>
    </row>
    <row r="51" spans="1:7" ht="14">
      <c r="A51" s="71"/>
      <c r="B51" s="463" t="s">
        <v>144</v>
      </c>
      <c r="C51" s="464"/>
      <c r="D51" s="464"/>
      <c r="E51" s="465" t="s">
        <v>145</v>
      </c>
      <c r="F51" s="384"/>
      <c r="G51" s="469"/>
    </row>
    <row r="52" spans="1:7" ht="14">
      <c r="A52" s="71"/>
      <c r="B52" s="470"/>
      <c r="C52" s="471"/>
      <c r="D52" s="471"/>
      <c r="E52" s="472"/>
      <c r="F52" s="472"/>
      <c r="G52" s="473"/>
    </row>
    <row r="53" spans="1:7" ht="13">
      <c r="A53" s="71"/>
      <c r="B53" s="70"/>
      <c r="C53" s="70"/>
    </row>
    <row r="54" spans="1:7" ht="13">
      <c r="B54" s="50"/>
    </row>
    <row r="55" spans="1:7" ht="14.5">
      <c r="B55"/>
    </row>
    <row r="56" spans="1:7" ht="13">
      <c r="B56" s="50"/>
    </row>
    <row r="57" spans="1:7" ht="13">
      <c r="B57" s="50"/>
    </row>
    <row r="58" spans="1:7" ht="13">
      <c r="B58" s="50"/>
    </row>
    <row r="59" spans="1:7" ht="14.5">
      <c r="B59"/>
    </row>
    <row r="60" spans="1:7" ht="13">
      <c r="B60" s="50"/>
    </row>
    <row r="61" spans="1:7" ht="13">
      <c r="B61" s="50"/>
    </row>
    <row r="62" spans="1:7" ht="13">
      <c r="B62" s="50"/>
    </row>
    <row r="63" spans="1:7" ht="13">
      <c r="B63" s="50"/>
    </row>
    <row r="64" spans="1:7" ht="13">
      <c r="B64" s="50"/>
    </row>
    <row r="65" spans="2:2" ht="13">
      <c r="B65" s="50"/>
    </row>
    <row r="66" spans="2:2" ht="13">
      <c r="B66" s="50"/>
    </row>
    <row r="67" spans="2:2" ht="13">
      <c r="B67" s="50"/>
    </row>
    <row r="68" spans="2:2" ht="13">
      <c r="B68" s="50"/>
    </row>
    <row r="69" spans="2:2" ht="13">
      <c r="B69" s="50"/>
    </row>
    <row r="70" spans="2:2" ht="13">
      <c r="B70" s="50"/>
    </row>
    <row r="71" spans="2:2" ht="13">
      <c r="B71" s="50"/>
    </row>
    <row r="72" spans="2:2" ht="13">
      <c r="B72" s="50"/>
    </row>
    <row r="73" spans="2:2" ht="13">
      <c r="B73" s="50"/>
    </row>
    <row r="74" spans="2:2" ht="13">
      <c r="B74" s="50"/>
    </row>
    <row r="75" spans="2:2" ht="13">
      <c r="B75" s="50"/>
    </row>
    <row r="76" spans="2:2" ht="13">
      <c r="B76" s="50"/>
    </row>
    <row r="77" spans="2:2" ht="13">
      <c r="B77" s="50"/>
    </row>
    <row r="78" spans="2:2" ht="13">
      <c r="B78" s="50"/>
    </row>
    <row r="79" spans="2:2" ht="13">
      <c r="B79" s="50"/>
    </row>
    <row r="80" spans="2:2" ht="13">
      <c r="B80" s="50"/>
    </row>
    <row r="81" spans="2:2" ht="13">
      <c r="B81" s="50"/>
    </row>
    <row r="82" spans="2:2" ht="13">
      <c r="B82" s="50"/>
    </row>
    <row r="83" spans="2:2" ht="13">
      <c r="B83" s="50"/>
    </row>
    <row r="84" spans="2:2" ht="13">
      <c r="B84" s="50"/>
    </row>
    <row r="85" spans="2:2" ht="13">
      <c r="B85" s="50"/>
    </row>
    <row r="86" spans="2:2" ht="13">
      <c r="B86" s="50"/>
    </row>
    <row r="87" spans="2:2" ht="13">
      <c r="B87" s="50"/>
    </row>
    <row r="88" spans="2:2" ht="13">
      <c r="B88" s="50"/>
    </row>
    <row r="89" spans="2:2" ht="13">
      <c r="B89" s="50"/>
    </row>
    <row r="90" spans="2:2" ht="13">
      <c r="B90" s="50"/>
    </row>
    <row r="91" spans="2:2" ht="13">
      <c r="B91" s="50"/>
    </row>
    <row r="92" spans="2:2" ht="13">
      <c r="B92" s="50"/>
    </row>
    <row r="93" spans="2:2" ht="13">
      <c r="B93" s="50"/>
    </row>
    <row r="94" spans="2:2" ht="13">
      <c r="B94" s="50"/>
    </row>
    <row r="95" spans="2:2" ht="13">
      <c r="B95" s="50"/>
    </row>
    <row r="96" spans="2:2" ht="13">
      <c r="B96" s="50"/>
    </row>
    <row r="97" spans="2:2" ht="13">
      <c r="B97" s="50"/>
    </row>
    <row r="98" spans="2:2" ht="13">
      <c r="B98" s="50"/>
    </row>
    <row r="99" spans="2:2" ht="13">
      <c r="B99" s="50"/>
    </row>
    <row r="100" spans="2:2" ht="13">
      <c r="B100" s="50"/>
    </row>
    <row r="101" spans="2:2" ht="13">
      <c r="B101" s="50"/>
    </row>
    <row r="102" spans="2:2" ht="13">
      <c r="B102" s="50"/>
    </row>
    <row r="103" spans="2:2" ht="13">
      <c r="B103" s="50"/>
    </row>
    <row r="104" spans="2:2" ht="13">
      <c r="B104" s="50"/>
    </row>
    <row r="105" spans="2:2" ht="13">
      <c r="B105" s="50"/>
    </row>
    <row r="106" spans="2:2" ht="13">
      <c r="B106" s="50"/>
    </row>
    <row r="107" spans="2:2" ht="13">
      <c r="B107" s="50"/>
    </row>
    <row r="108" spans="2:2" ht="13">
      <c r="B108" s="50"/>
    </row>
    <row r="109" spans="2:2" ht="13">
      <c r="B109" s="50"/>
    </row>
    <row r="110" spans="2:2" ht="13">
      <c r="B110" s="50"/>
    </row>
    <row r="111" spans="2:2" ht="13">
      <c r="B111" s="50"/>
    </row>
    <row r="112" spans="2:2" ht="13">
      <c r="B112" s="50"/>
    </row>
    <row r="113" spans="2:2" ht="13">
      <c r="B113" s="50"/>
    </row>
    <row r="114" spans="2:2" ht="13">
      <c r="B114" s="50"/>
    </row>
    <row r="115" spans="2:2" ht="13">
      <c r="B115" s="50"/>
    </row>
    <row r="116" spans="2:2" ht="13">
      <c r="B116" s="50"/>
    </row>
    <row r="117" spans="2:2" ht="13">
      <c r="B117" s="50"/>
    </row>
    <row r="118" spans="2:2" ht="13">
      <c r="B118" s="50"/>
    </row>
    <row r="119" spans="2:2" ht="13">
      <c r="B119" s="50"/>
    </row>
    <row r="120" spans="2:2" ht="13">
      <c r="B120" s="50"/>
    </row>
    <row r="121" spans="2:2" ht="13">
      <c r="B121" s="50"/>
    </row>
    <row r="122" spans="2:2" ht="13">
      <c r="B122" s="50"/>
    </row>
    <row r="123" spans="2:2" ht="13">
      <c r="B123" s="50"/>
    </row>
    <row r="124" spans="2:2" ht="13">
      <c r="B124" s="50"/>
    </row>
    <row r="125" spans="2:2" ht="13">
      <c r="B125" s="50"/>
    </row>
    <row r="126" spans="2:2" ht="13">
      <c r="B126" s="50"/>
    </row>
    <row r="127" spans="2:2" ht="13">
      <c r="B127" s="50"/>
    </row>
    <row r="128" spans="2:2" ht="13">
      <c r="B128" s="50"/>
    </row>
    <row r="129" spans="2:2" ht="13">
      <c r="B129" s="50"/>
    </row>
    <row r="130" spans="2:2" ht="13">
      <c r="B130" s="50"/>
    </row>
    <row r="131" spans="2:2" ht="13">
      <c r="B131" s="50"/>
    </row>
    <row r="132" spans="2:2" ht="13">
      <c r="B132" s="50"/>
    </row>
    <row r="133" spans="2:2" ht="13">
      <c r="B133" s="50"/>
    </row>
    <row r="134" spans="2:2" ht="13">
      <c r="B134" s="50"/>
    </row>
    <row r="135" spans="2:2" ht="13">
      <c r="B135" s="50"/>
    </row>
  </sheetData>
  <pageMargins left="0.35433070866141736" right="0.35433070866141736" top="0.59055118110236227" bottom="0.59055118110236227" header="0.51181102362204722" footer="0.51181102362204722"/>
  <pageSetup paperSize="9" scale="56" fitToHeight="0" orientation="portrait" r:id="rId1"/>
  <headerFooter alignWithMargins="0">
    <oddFooter>&amp;R&amp;"cg omega,Regular"&amp;10Date: Feb 2009
Version: 12.0 &amp;"-,Regular"&amp;11 &amp;L&amp;"Calibri"&amp;11&amp;K000000&amp;"cg omega,Regular"&amp;10Table 4 of 31_x000D_&amp;1#&amp;"Arial"&amp;11&amp;K000000SW Internal Commercial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A2527-713D-4FA3-AB78-2B75B9F5B4DF}">
  <dimension ref="A1:BA133"/>
  <sheetViews>
    <sheetView zoomScaleNormal="100" workbookViewId="0">
      <selection sqref="A1:XFD1048576"/>
    </sheetView>
  </sheetViews>
  <sheetFormatPr defaultColWidth="8.7265625" defaultRowHeight="14"/>
  <cols>
    <col min="1" max="1" width="10.54296875" style="25" customWidth="1"/>
    <col min="2" max="2" width="20.81640625" style="25" customWidth="1"/>
    <col min="3" max="3" width="69.81640625" style="25" customWidth="1"/>
    <col min="4" max="4" width="8.7265625" style="265"/>
    <col min="5" max="5" width="11.81640625" style="265" bestFit="1" customWidth="1"/>
    <col min="6" max="6" width="8.7265625" style="25"/>
    <col min="7" max="7" width="11.1796875" style="25" bestFit="1" customWidth="1"/>
    <col min="8" max="14" width="14.26953125" style="25" bestFit="1" customWidth="1"/>
    <col min="15" max="15" width="12.81640625" style="25" bestFit="1" customWidth="1"/>
    <col min="16" max="16" width="15.54296875" style="25" bestFit="1" customWidth="1"/>
    <col min="17" max="17" width="7.7265625" style="25" bestFit="1" customWidth="1"/>
    <col min="18" max="18" width="2.54296875" style="25" customWidth="1"/>
    <col min="19" max="19" width="10.453125" style="25" customWidth="1"/>
    <col min="20" max="29" width="8.7265625" style="25"/>
    <col min="30" max="30" width="11.1796875" style="25" bestFit="1" customWidth="1"/>
    <col min="31" max="37" width="14.26953125" style="25" bestFit="1" customWidth="1"/>
    <col min="38" max="38" width="12.81640625" style="25" bestFit="1" customWidth="1"/>
    <col min="39" max="39" width="15.54296875" style="25" bestFit="1" customWidth="1"/>
    <col min="40" max="40" width="7.81640625" style="25" bestFit="1" customWidth="1"/>
    <col min="41" max="41" width="2.54296875" style="25" customWidth="1"/>
    <col min="42" max="42" width="10.453125" style="25" customWidth="1"/>
    <col min="43" max="52" width="8.7265625" style="25"/>
    <col min="53" max="53" width="22.453125" style="25" customWidth="1"/>
    <col min="54" max="16384" width="8.7265625" style="25"/>
  </cols>
  <sheetData>
    <row r="1" spans="1:53" s="50" customFormat="1" ht="20">
      <c r="A1" s="56" t="s">
        <v>0</v>
      </c>
      <c r="B1" s="56"/>
      <c r="C1" s="56"/>
      <c r="D1" s="226"/>
      <c r="E1" s="65"/>
      <c r="F1" s="57"/>
      <c r="G1" s="25"/>
      <c r="H1" s="25"/>
      <c r="I1" s="25"/>
      <c r="J1" s="25"/>
      <c r="K1" s="25"/>
      <c r="L1" s="25"/>
      <c r="M1" s="25"/>
      <c r="N1" s="25"/>
      <c r="Y1" s="51"/>
      <c r="AD1" s="25"/>
      <c r="AE1" s="25"/>
      <c r="AF1" s="25"/>
      <c r="AG1" s="25"/>
      <c r="AH1" s="25"/>
      <c r="AI1" s="25"/>
      <c r="AJ1" s="25"/>
      <c r="AK1" s="25"/>
      <c r="AV1" s="51"/>
    </row>
    <row r="2" spans="1:53" s="50" customFormat="1" ht="20">
      <c r="A2" s="57"/>
      <c r="B2" s="57"/>
      <c r="C2" s="57"/>
      <c r="D2" s="65"/>
      <c r="E2" s="65"/>
      <c r="F2" s="57"/>
      <c r="G2" s="25"/>
      <c r="H2" s="25"/>
      <c r="I2" s="25"/>
      <c r="J2" s="25"/>
      <c r="K2" s="25"/>
      <c r="L2" s="25"/>
      <c r="M2" s="25"/>
      <c r="N2" s="25"/>
      <c r="Y2" s="51"/>
      <c r="AD2" s="25"/>
      <c r="AE2" s="25"/>
      <c r="AF2" s="25"/>
      <c r="AG2" s="25"/>
      <c r="AH2" s="25"/>
      <c r="AI2" s="25"/>
      <c r="AJ2" s="25"/>
      <c r="AK2" s="25"/>
      <c r="AV2" s="51"/>
    </row>
    <row r="3" spans="1:53" s="50" customFormat="1" ht="20">
      <c r="A3" s="58" t="s">
        <v>1</v>
      </c>
      <c r="B3" s="58"/>
      <c r="C3" s="58"/>
      <c r="D3" s="227"/>
      <c r="E3" s="66"/>
      <c r="F3" s="57"/>
      <c r="G3" s="25"/>
      <c r="H3" s="25"/>
      <c r="I3" s="25"/>
      <c r="J3" s="25"/>
      <c r="K3" s="25"/>
      <c r="L3" s="25"/>
      <c r="M3" s="25"/>
      <c r="N3" s="25"/>
      <c r="Y3" s="52"/>
      <c r="AD3" s="25"/>
      <c r="AE3" s="409"/>
      <c r="AF3" s="409"/>
      <c r="AG3" s="25"/>
      <c r="AH3" s="25"/>
      <c r="AI3" s="25"/>
      <c r="AJ3" s="25"/>
      <c r="AK3" s="25"/>
      <c r="AV3" s="52"/>
    </row>
    <row r="4" spans="1:53" s="50" customFormat="1" ht="15" customHeight="1">
      <c r="A4" s="56"/>
      <c r="B4" s="56"/>
      <c r="C4" s="56"/>
      <c r="D4" s="226"/>
      <c r="E4" s="65"/>
      <c r="F4" s="57"/>
      <c r="G4" s="25"/>
      <c r="H4" s="25"/>
      <c r="I4" s="25"/>
      <c r="J4" s="25"/>
      <c r="K4" s="25"/>
      <c r="L4" s="25"/>
      <c r="M4" s="25"/>
      <c r="N4" s="25"/>
      <c r="Y4" s="52"/>
      <c r="AD4" s="25"/>
      <c r="AE4" s="25"/>
      <c r="AF4" s="25"/>
      <c r="AG4" s="25"/>
      <c r="AH4" s="25"/>
      <c r="AI4" s="25"/>
      <c r="AJ4" s="25"/>
      <c r="AK4" s="25"/>
      <c r="AV4" s="52"/>
    </row>
    <row r="5" spans="1:53" s="50" customFormat="1" ht="15" customHeight="1" thickBot="1">
      <c r="A5" s="56"/>
      <c r="B5" s="56"/>
      <c r="C5" s="56"/>
      <c r="D5" s="226"/>
      <c r="E5" s="65"/>
      <c r="F5" s="57"/>
      <c r="G5" s="25"/>
      <c r="H5" s="25"/>
      <c r="I5" s="25"/>
      <c r="J5" s="25"/>
      <c r="K5" s="25"/>
      <c r="L5" s="25"/>
      <c r="M5" s="25"/>
      <c r="N5" s="25"/>
      <c r="AC5" s="25"/>
      <c r="AD5" s="25"/>
      <c r="AE5" s="25"/>
      <c r="AF5" s="25"/>
      <c r="AG5" s="25"/>
      <c r="AH5" s="25"/>
      <c r="AI5" s="25"/>
      <c r="AJ5" s="25"/>
      <c r="AK5" s="25"/>
    </row>
    <row r="6" spans="1:53" s="50" customFormat="1" ht="20">
      <c r="A6" s="59" t="s">
        <v>2</v>
      </c>
      <c r="B6" s="60"/>
      <c r="C6" s="228"/>
      <c r="D6" s="229"/>
      <c r="E6" s="230"/>
      <c r="F6" s="57"/>
      <c r="G6" s="171"/>
      <c r="H6" s="25"/>
      <c r="I6" s="25"/>
      <c r="J6" s="25"/>
      <c r="K6" s="25"/>
      <c r="L6" s="25"/>
      <c r="M6" s="25"/>
      <c r="N6" s="25"/>
      <c r="AC6" s="25"/>
      <c r="AD6" s="25"/>
      <c r="AE6" s="25"/>
      <c r="AF6" s="25"/>
      <c r="AG6" s="25"/>
      <c r="AH6" s="25"/>
      <c r="AI6" s="25"/>
      <c r="AJ6" s="25"/>
      <c r="AK6" s="25"/>
    </row>
    <row r="7" spans="1:53" s="50" customFormat="1" ht="20.5" thickBot="1">
      <c r="A7" s="61" t="s">
        <v>1514</v>
      </c>
      <c r="B7" s="62"/>
      <c r="C7" s="231"/>
      <c r="D7" s="232"/>
      <c r="E7" s="233"/>
      <c r="F7" s="57"/>
      <c r="G7" s="25"/>
      <c r="H7" s="25"/>
      <c r="I7" s="25"/>
      <c r="J7" s="25"/>
      <c r="K7" s="25"/>
      <c r="L7" s="25"/>
      <c r="M7" s="25"/>
      <c r="N7" s="25"/>
      <c r="AC7" s="25"/>
      <c r="AD7" s="25"/>
      <c r="AE7" s="25"/>
      <c r="AF7" s="25"/>
      <c r="AG7" s="25"/>
      <c r="AH7" s="25"/>
      <c r="AI7" s="25"/>
      <c r="AJ7" s="25"/>
      <c r="AK7" s="25"/>
    </row>
    <row r="8" spans="1:53" s="50" customFormat="1" ht="16" thickBot="1">
      <c r="A8" s="52"/>
      <c r="B8" s="52"/>
      <c r="D8" s="53"/>
      <c r="E8" s="53"/>
      <c r="G8" s="25"/>
      <c r="H8" s="25"/>
      <c r="I8" s="25"/>
      <c r="J8" s="25"/>
      <c r="K8" s="25"/>
      <c r="L8" s="25"/>
      <c r="M8" s="25"/>
      <c r="N8" s="25"/>
      <c r="O8" s="54"/>
      <c r="P8" s="54"/>
      <c r="Q8" s="54"/>
      <c r="R8" s="54"/>
      <c r="S8" s="54"/>
      <c r="T8" s="54"/>
      <c r="U8" s="54"/>
      <c r="V8" s="54"/>
      <c r="W8" s="54"/>
      <c r="X8" s="54"/>
      <c r="Y8" s="54"/>
      <c r="Z8" s="54"/>
      <c r="AC8" s="52"/>
      <c r="AD8" s="25"/>
      <c r="AE8" s="25"/>
      <c r="AF8" s="25"/>
      <c r="AG8" s="25"/>
      <c r="AH8" s="25"/>
      <c r="AI8" s="25"/>
      <c r="AJ8" s="25"/>
      <c r="AK8" s="25"/>
      <c r="AL8" s="54"/>
      <c r="AM8" s="54"/>
      <c r="AN8" s="54"/>
      <c r="AO8" s="54"/>
      <c r="AP8" s="54"/>
      <c r="AQ8" s="54"/>
      <c r="AR8" s="54"/>
      <c r="AS8" s="54"/>
      <c r="AT8" s="54"/>
      <c r="AU8" s="54"/>
      <c r="AV8" s="54"/>
      <c r="AW8" s="54"/>
    </row>
    <row r="9" spans="1:53" s="50" customFormat="1" ht="16" thickBot="1">
      <c r="A9" s="500" t="s">
        <v>4</v>
      </c>
      <c r="B9" s="497" t="s">
        <v>1204</v>
      </c>
      <c r="C9" s="506" t="s">
        <v>1205</v>
      </c>
      <c r="D9" s="497" t="s">
        <v>1206</v>
      </c>
      <c r="E9" s="503" t="s">
        <v>152</v>
      </c>
      <c r="F9" s="234"/>
      <c r="G9" s="494" t="s">
        <v>1207</v>
      </c>
      <c r="H9" s="495"/>
      <c r="I9" s="495"/>
      <c r="J9" s="495"/>
      <c r="K9" s="495"/>
      <c r="L9" s="495"/>
      <c r="M9" s="495"/>
      <c r="N9" s="495"/>
      <c r="O9" s="495"/>
      <c r="P9" s="495"/>
      <c r="Q9" s="495"/>
      <c r="R9" s="495"/>
      <c r="S9" s="495"/>
      <c r="T9" s="495"/>
      <c r="U9" s="495"/>
      <c r="V9" s="495"/>
      <c r="W9" s="495"/>
      <c r="X9" s="495"/>
      <c r="Y9" s="495"/>
      <c r="Z9" s="495"/>
      <c r="AA9" s="495"/>
      <c r="AB9" s="496"/>
      <c r="AD9" s="494" t="s">
        <v>1208</v>
      </c>
      <c r="AE9" s="495"/>
      <c r="AF9" s="495"/>
      <c r="AG9" s="495"/>
      <c r="AH9" s="495"/>
      <c r="AI9" s="495"/>
      <c r="AJ9" s="495"/>
      <c r="AK9" s="495"/>
      <c r="AL9" s="495"/>
      <c r="AM9" s="495"/>
      <c r="AN9" s="495"/>
      <c r="AO9" s="495"/>
      <c r="AP9" s="495"/>
      <c r="AQ9" s="495"/>
      <c r="AR9" s="495"/>
      <c r="AS9" s="495"/>
      <c r="AT9" s="495"/>
      <c r="AU9" s="495"/>
      <c r="AV9" s="495"/>
      <c r="AW9" s="495"/>
      <c r="AX9" s="495"/>
      <c r="AY9" s="496"/>
      <c r="BA9" s="314" t="s">
        <v>157</v>
      </c>
    </row>
    <row r="10" spans="1:53" s="50" customFormat="1" ht="16" thickBot="1">
      <c r="A10" s="501"/>
      <c r="B10" s="498"/>
      <c r="C10" s="507"/>
      <c r="D10" s="498"/>
      <c r="E10" s="504"/>
      <c r="F10" s="234"/>
      <c r="G10" s="494" t="s">
        <v>1209</v>
      </c>
      <c r="H10" s="495"/>
      <c r="I10" s="495"/>
      <c r="J10" s="495"/>
      <c r="K10" s="495"/>
      <c r="L10" s="495"/>
      <c r="M10" s="495"/>
      <c r="N10" s="495"/>
      <c r="O10" s="495"/>
      <c r="P10" s="495"/>
      <c r="Q10" s="496"/>
      <c r="S10" s="491" t="s">
        <v>1210</v>
      </c>
      <c r="T10" s="492"/>
      <c r="U10" s="492"/>
      <c r="V10" s="492"/>
      <c r="W10" s="492"/>
      <c r="X10" s="492"/>
      <c r="Y10" s="492"/>
      <c r="Z10" s="492"/>
      <c r="AA10" s="492"/>
      <c r="AB10" s="493"/>
      <c r="AD10" s="494" t="s">
        <v>1209</v>
      </c>
      <c r="AE10" s="495"/>
      <c r="AF10" s="495"/>
      <c r="AG10" s="495"/>
      <c r="AH10" s="495"/>
      <c r="AI10" s="495"/>
      <c r="AJ10" s="495"/>
      <c r="AK10" s="495"/>
      <c r="AL10" s="495"/>
      <c r="AM10" s="495"/>
      <c r="AN10" s="496"/>
      <c r="AP10" s="491" t="s">
        <v>1210</v>
      </c>
      <c r="AQ10" s="492"/>
      <c r="AR10" s="492"/>
      <c r="AS10" s="492"/>
      <c r="AT10" s="492"/>
      <c r="AU10" s="492"/>
      <c r="AV10" s="492"/>
      <c r="AW10" s="492"/>
      <c r="AX10" s="492"/>
      <c r="AY10" s="493"/>
    </row>
    <row r="11" spans="1:53" s="52" customFormat="1" ht="16" thickBot="1">
      <c r="A11" s="502"/>
      <c r="B11" s="499"/>
      <c r="C11" s="508"/>
      <c r="D11" s="499"/>
      <c r="E11" s="505"/>
      <c r="F11" s="235"/>
      <c r="G11" s="236" t="s">
        <v>1211</v>
      </c>
      <c r="H11" s="237" t="s">
        <v>1212</v>
      </c>
      <c r="I11" s="237" t="s">
        <v>1213</v>
      </c>
      <c r="J11" s="237" t="s">
        <v>1214</v>
      </c>
      <c r="K11" s="237" t="s">
        <v>1215</v>
      </c>
      <c r="L11" s="237" t="s">
        <v>1216</v>
      </c>
      <c r="M11" s="237" t="s">
        <v>1217</v>
      </c>
      <c r="N11" s="237" t="s">
        <v>1218</v>
      </c>
      <c r="O11" s="63" t="s">
        <v>1219</v>
      </c>
      <c r="P11" s="63" t="s">
        <v>1220</v>
      </c>
      <c r="Q11" s="64" t="s">
        <v>1221</v>
      </c>
      <c r="S11" s="236" t="s">
        <v>1211</v>
      </c>
      <c r="T11" s="237" t="s">
        <v>1212</v>
      </c>
      <c r="U11" s="237" t="s">
        <v>1213</v>
      </c>
      <c r="V11" s="237" t="s">
        <v>1214</v>
      </c>
      <c r="W11" s="237" t="s">
        <v>1215</v>
      </c>
      <c r="X11" s="237" t="s">
        <v>1216</v>
      </c>
      <c r="Y11" s="237" t="s">
        <v>1217</v>
      </c>
      <c r="Z11" s="237" t="s">
        <v>1218</v>
      </c>
      <c r="AA11" s="63" t="s">
        <v>1219</v>
      </c>
      <c r="AB11" s="64" t="s">
        <v>1220</v>
      </c>
      <c r="AD11" s="236" t="s">
        <v>1211</v>
      </c>
      <c r="AE11" s="237" t="s">
        <v>1212</v>
      </c>
      <c r="AF11" s="237" t="s">
        <v>1213</v>
      </c>
      <c r="AG11" s="237" t="s">
        <v>1214</v>
      </c>
      <c r="AH11" s="237" t="s">
        <v>1215</v>
      </c>
      <c r="AI11" s="237" t="s">
        <v>1216</v>
      </c>
      <c r="AJ11" s="237" t="s">
        <v>1217</v>
      </c>
      <c r="AK11" s="237" t="s">
        <v>1218</v>
      </c>
      <c r="AL11" s="63" t="s">
        <v>1219</v>
      </c>
      <c r="AM11" s="63" t="s">
        <v>1220</v>
      </c>
      <c r="AN11" s="64" t="s">
        <v>1221</v>
      </c>
      <c r="AP11" s="236" t="s">
        <v>1211</v>
      </c>
      <c r="AQ11" s="237" t="s">
        <v>1212</v>
      </c>
      <c r="AR11" s="237" t="s">
        <v>1213</v>
      </c>
      <c r="AS11" s="237" t="s">
        <v>1214</v>
      </c>
      <c r="AT11" s="237" t="s">
        <v>1215</v>
      </c>
      <c r="AU11" s="237" t="s">
        <v>1216</v>
      </c>
      <c r="AV11" s="237" t="s">
        <v>1217</v>
      </c>
      <c r="AW11" s="237" t="s">
        <v>1218</v>
      </c>
      <c r="AX11" s="63" t="s">
        <v>1219</v>
      </c>
      <c r="AY11" s="64" t="s">
        <v>1220</v>
      </c>
    </row>
    <row r="12" spans="1:53" s="171" customFormat="1" ht="16" thickBot="1">
      <c r="D12" s="238"/>
      <c r="E12" s="238"/>
      <c r="G12" s="239">
        <v>1</v>
      </c>
      <c r="H12" s="239">
        <v>2</v>
      </c>
      <c r="I12" s="239">
        <v>3</v>
      </c>
      <c r="J12" s="239">
        <v>4</v>
      </c>
      <c r="K12" s="239">
        <v>5</v>
      </c>
      <c r="L12" s="239">
        <v>6</v>
      </c>
      <c r="M12" s="239">
        <v>7</v>
      </c>
      <c r="N12" s="239">
        <v>8</v>
      </c>
      <c r="O12" s="239">
        <v>9</v>
      </c>
      <c r="P12" s="239">
        <v>10</v>
      </c>
      <c r="Q12" s="239">
        <v>11</v>
      </c>
      <c r="S12" s="239">
        <v>12</v>
      </c>
      <c r="T12" s="239">
        <v>13</v>
      </c>
      <c r="U12" s="239">
        <v>14</v>
      </c>
      <c r="V12" s="239">
        <v>15</v>
      </c>
      <c r="W12" s="239">
        <v>16</v>
      </c>
      <c r="X12" s="239">
        <v>17</v>
      </c>
      <c r="Y12" s="239">
        <v>18</v>
      </c>
      <c r="Z12" s="239">
        <v>19</v>
      </c>
      <c r="AA12" s="239">
        <v>20</v>
      </c>
      <c r="AB12" s="239">
        <v>21</v>
      </c>
      <c r="AD12" s="239">
        <v>22</v>
      </c>
      <c r="AE12" s="239">
        <v>23</v>
      </c>
      <c r="AF12" s="239">
        <v>24</v>
      </c>
      <c r="AG12" s="239">
        <v>25</v>
      </c>
      <c r="AH12" s="239">
        <v>26</v>
      </c>
      <c r="AI12" s="239">
        <v>27</v>
      </c>
      <c r="AJ12" s="239">
        <v>28</v>
      </c>
      <c r="AK12" s="239">
        <v>29</v>
      </c>
      <c r="AL12" s="239">
        <v>30</v>
      </c>
      <c r="AM12" s="239">
        <v>31</v>
      </c>
      <c r="AN12" s="239">
        <v>32</v>
      </c>
      <c r="AP12" s="239">
        <v>33</v>
      </c>
      <c r="AQ12" s="239">
        <v>34</v>
      </c>
      <c r="AR12" s="239">
        <v>35</v>
      </c>
      <c r="AS12" s="239">
        <v>36</v>
      </c>
      <c r="AT12" s="239">
        <v>37</v>
      </c>
      <c r="AU12" s="239">
        <v>38</v>
      </c>
      <c r="AV12" s="239">
        <v>39</v>
      </c>
      <c r="AW12" s="239">
        <v>40</v>
      </c>
      <c r="AX12" s="239">
        <v>41</v>
      </c>
      <c r="AY12" s="239">
        <v>42</v>
      </c>
    </row>
    <row r="13" spans="1:53" s="171" customFormat="1" ht="16" thickBot="1">
      <c r="A13" s="240"/>
      <c r="B13" s="241"/>
      <c r="C13" s="241" t="s">
        <v>1515</v>
      </c>
      <c r="D13" s="242"/>
      <c r="E13" s="243"/>
    </row>
    <row r="14" spans="1:53" s="171" customFormat="1" ht="15.5">
      <c r="A14" s="175" t="s">
        <v>1516</v>
      </c>
      <c r="B14" s="179" t="s">
        <v>1224</v>
      </c>
      <c r="C14" s="179" t="s">
        <v>1296</v>
      </c>
      <c r="D14" s="239" t="s">
        <v>1226</v>
      </c>
      <c r="E14" s="244" t="s">
        <v>1227</v>
      </c>
      <c r="G14" s="245">
        <v>247.15789473684211</v>
      </c>
      <c r="H14" s="245">
        <v>101414.44217041571</v>
      </c>
      <c r="I14" s="245">
        <v>205888.30315118929</v>
      </c>
      <c r="J14" s="245">
        <v>178883.30323284533</v>
      </c>
      <c r="K14" s="245">
        <v>187069.96132598346</v>
      </c>
      <c r="L14" s="245">
        <v>216284.58697605753</v>
      </c>
      <c r="M14" s="245">
        <v>142931.16031868162</v>
      </c>
      <c r="N14" s="245">
        <v>91095.444066464712</v>
      </c>
      <c r="O14" s="246">
        <v>8630.5326679618101</v>
      </c>
      <c r="P14" s="247">
        <f t="shared" ref="P14:P20" si="0">SUM(G14:O14)</f>
        <v>1132444.8918043363</v>
      </c>
      <c r="Q14" s="248">
        <f>IFERROR(P14/$P$30, "")</f>
        <v>0.44934990558404891</v>
      </c>
      <c r="S14" s="245" t="s">
        <v>1228</v>
      </c>
      <c r="T14" s="245" t="s">
        <v>1228</v>
      </c>
      <c r="U14" s="245" t="s">
        <v>1228</v>
      </c>
      <c r="V14" s="245" t="s">
        <v>1228</v>
      </c>
      <c r="W14" s="245" t="s">
        <v>1228</v>
      </c>
      <c r="X14" s="245" t="s">
        <v>1228</v>
      </c>
      <c r="Y14" s="245" t="s">
        <v>1228</v>
      </c>
      <c r="Z14" s="245" t="s">
        <v>1228</v>
      </c>
      <c r="AA14" s="245" t="s">
        <v>1228</v>
      </c>
      <c r="AB14" s="245" t="s">
        <v>1228</v>
      </c>
      <c r="AD14" s="245">
        <v>249.38231578947367</v>
      </c>
      <c r="AE14" s="245">
        <v>102327.17214994945</v>
      </c>
      <c r="AF14" s="245">
        <v>207741.29787954997</v>
      </c>
      <c r="AG14" s="245">
        <v>180493.25296194092</v>
      </c>
      <c r="AH14" s="245">
        <v>188753.59097791728</v>
      </c>
      <c r="AI14" s="245">
        <v>218231.14825884203</v>
      </c>
      <c r="AJ14" s="245">
        <v>144217.54076154975</v>
      </c>
      <c r="AK14" s="245">
        <v>91915.303063062878</v>
      </c>
      <c r="AL14" s="245">
        <v>8708.2074619734649</v>
      </c>
      <c r="AM14" s="247">
        <f t="shared" ref="AM14:AM20" si="1">SUM(AD14:AL14)</f>
        <v>1142636.8958305751</v>
      </c>
      <c r="AN14" s="248">
        <f t="shared" ref="AN14:AN20" si="2">IFERROR(AM14/$AM$30, "")</f>
        <v>0.44934990558404891</v>
      </c>
      <c r="AP14" s="245" t="s">
        <v>1229</v>
      </c>
      <c r="AQ14" s="245" t="s">
        <v>1229</v>
      </c>
      <c r="AR14" s="245" t="s">
        <v>1229</v>
      </c>
      <c r="AS14" s="245" t="s">
        <v>1229</v>
      </c>
      <c r="AT14" s="245" t="s">
        <v>1229</v>
      </c>
      <c r="AU14" s="245" t="s">
        <v>1229</v>
      </c>
      <c r="AV14" s="245" t="s">
        <v>1229</v>
      </c>
      <c r="AW14" s="245" t="s">
        <v>1229</v>
      </c>
      <c r="AX14" s="245" t="s">
        <v>1229</v>
      </c>
      <c r="AY14" s="245" t="s">
        <v>1229</v>
      </c>
      <c r="BA14" s="171" t="s">
        <v>1230</v>
      </c>
    </row>
    <row r="15" spans="1:53" s="171" customFormat="1" ht="15.5">
      <c r="A15" s="175" t="s">
        <v>1517</v>
      </c>
      <c r="B15" s="179" t="s">
        <v>1224</v>
      </c>
      <c r="C15" s="179" t="s">
        <v>1232</v>
      </c>
      <c r="D15" s="239"/>
      <c r="E15" s="244"/>
      <c r="G15" s="245">
        <v>0</v>
      </c>
      <c r="H15" s="245">
        <v>2333.0870147985374</v>
      </c>
      <c r="I15" s="245">
        <v>2813.9001091661294</v>
      </c>
      <c r="J15" s="245">
        <v>3069.8707834450452</v>
      </c>
      <c r="K15" s="245">
        <v>2858.904669686096</v>
      </c>
      <c r="L15" s="245">
        <v>3004.0002894907248</v>
      </c>
      <c r="M15" s="245">
        <v>1671.9480067536028</v>
      </c>
      <c r="N15" s="245">
        <v>1080.8868794431673</v>
      </c>
      <c r="O15" s="246">
        <v>187.86733207397947</v>
      </c>
      <c r="P15" s="247">
        <f t="shared" si="0"/>
        <v>17020.465084857282</v>
      </c>
      <c r="Q15" s="248">
        <f>IFERROR(P15/$P$30, "")</f>
        <v>6.7536570072662455E-3</v>
      </c>
      <c r="S15" s="245" t="s">
        <v>1228</v>
      </c>
      <c r="T15" s="245" t="s">
        <v>1228</v>
      </c>
      <c r="U15" s="245" t="s">
        <v>1228</v>
      </c>
      <c r="V15" s="245" t="s">
        <v>1228</v>
      </c>
      <c r="W15" s="245" t="s">
        <v>1228</v>
      </c>
      <c r="X15" s="245" t="s">
        <v>1228</v>
      </c>
      <c r="Y15" s="245" t="s">
        <v>1228</v>
      </c>
      <c r="Z15" s="245" t="s">
        <v>1228</v>
      </c>
      <c r="AA15" s="245" t="s">
        <v>1228</v>
      </c>
      <c r="AB15" s="245" t="s">
        <v>1228</v>
      </c>
      <c r="AD15" s="245">
        <v>0</v>
      </c>
      <c r="AE15" s="245">
        <v>2354.0847979317241</v>
      </c>
      <c r="AF15" s="245">
        <v>2839.2252101486242</v>
      </c>
      <c r="AG15" s="245">
        <v>3097.4996204960503</v>
      </c>
      <c r="AH15" s="245">
        <v>2884.6348117132707</v>
      </c>
      <c r="AI15" s="245">
        <v>3031.0362920961411</v>
      </c>
      <c r="AJ15" s="245">
        <v>1686.9955388143851</v>
      </c>
      <c r="AK15" s="245">
        <v>1090.6148613581558</v>
      </c>
      <c r="AL15" s="245">
        <v>189.55813806264527</v>
      </c>
      <c r="AM15" s="247">
        <f t="shared" si="1"/>
        <v>17173.649270620997</v>
      </c>
      <c r="AN15" s="248">
        <f t="shared" si="2"/>
        <v>6.7536570072662463E-3</v>
      </c>
      <c r="AP15" s="245" t="s">
        <v>1229</v>
      </c>
      <c r="AQ15" s="245" t="s">
        <v>1229</v>
      </c>
      <c r="AR15" s="245" t="s">
        <v>1229</v>
      </c>
      <c r="AS15" s="245" t="s">
        <v>1229</v>
      </c>
      <c r="AT15" s="245" t="s">
        <v>1229</v>
      </c>
      <c r="AU15" s="245" t="s">
        <v>1229</v>
      </c>
      <c r="AV15" s="245" t="s">
        <v>1229</v>
      </c>
      <c r="AW15" s="245" t="s">
        <v>1229</v>
      </c>
      <c r="AX15" s="245" t="s">
        <v>1229</v>
      </c>
      <c r="AY15" s="245" t="s">
        <v>1229</v>
      </c>
      <c r="BA15" s="171" t="s">
        <v>1233</v>
      </c>
    </row>
    <row r="16" spans="1:53" s="171" customFormat="1" ht="15.5">
      <c r="A16" s="175" t="s">
        <v>1518</v>
      </c>
      <c r="B16" s="179" t="s">
        <v>1224</v>
      </c>
      <c r="C16" s="179" t="s">
        <v>1235</v>
      </c>
      <c r="D16" s="239"/>
      <c r="E16" s="244"/>
      <c r="G16" s="245">
        <v>0.84210526315789469</v>
      </c>
      <c r="H16" s="245">
        <v>8741.2420946830589</v>
      </c>
      <c r="I16" s="245">
        <v>7948.9079829973143</v>
      </c>
      <c r="J16" s="245">
        <v>5287.8136933205487</v>
      </c>
      <c r="K16" s="245">
        <v>3975.298790458769</v>
      </c>
      <c r="L16" s="245">
        <v>3124.1180777645159</v>
      </c>
      <c r="M16" s="245">
        <v>1443.8551646693886</v>
      </c>
      <c r="N16" s="245">
        <v>817.10103264963368</v>
      </c>
      <c r="O16" s="246">
        <v>165.59999996420865</v>
      </c>
      <c r="P16" s="247">
        <f t="shared" si="0"/>
        <v>31504.778941770597</v>
      </c>
      <c r="Q16" s="248">
        <f t="shared" ref="Q16" si="3">IFERROR(P16/$P$30, "")</f>
        <v>1.2500978674887199E-2</v>
      </c>
      <c r="S16" s="245" t="s">
        <v>1228</v>
      </c>
      <c r="T16" s="245" t="s">
        <v>1228</v>
      </c>
      <c r="U16" s="245" t="s">
        <v>1228</v>
      </c>
      <c r="V16" s="245" t="s">
        <v>1228</v>
      </c>
      <c r="W16" s="245" t="s">
        <v>1228</v>
      </c>
      <c r="X16" s="245" t="s">
        <v>1228</v>
      </c>
      <c r="Y16" s="245" t="s">
        <v>1228</v>
      </c>
      <c r="Z16" s="245" t="s">
        <v>1228</v>
      </c>
      <c r="AA16" s="245" t="s">
        <v>1228</v>
      </c>
      <c r="AB16" s="245" t="s">
        <v>1228</v>
      </c>
      <c r="AD16" s="245">
        <v>0.84968421052631571</v>
      </c>
      <c r="AE16" s="245">
        <v>8819.913273535205</v>
      </c>
      <c r="AF16" s="245">
        <v>8020.4481548442891</v>
      </c>
      <c r="AG16" s="245">
        <v>5335.4040165604329</v>
      </c>
      <c r="AH16" s="245">
        <v>4011.0764795728974</v>
      </c>
      <c r="AI16" s="245">
        <v>3152.2351404643964</v>
      </c>
      <c r="AJ16" s="245">
        <v>1456.8498611514131</v>
      </c>
      <c r="AK16" s="245">
        <v>824.45494194348032</v>
      </c>
      <c r="AL16" s="245">
        <v>167.09039996388651</v>
      </c>
      <c r="AM16" s="247">
        <f t="shared" si="1"/>
        <v>31788.321952246522</v>
      </c>
      <c r="AN16" s="248">
        <f t="shared" si="2"/>
        <v>1.2500978674887198E-2</v>
      </c>
      <c r="AP16" s="245" t="s">
        <v>1229</v>
      </c>
      <c r="AQ16" s="245" t="s">
        <v>1229</v>
      </c>
      <c r="AR16" s="245" t="s">
        <v>1229</v>
      </c>
      <c r="AS16" s="245" t="s">
        <v>1229</v>
      </c>
      <c r="AT16" s="245" t="s">
        <v>1229</v>
      </c>
      <c r="AU16" s="245" t="s">
        <v>1229</v>
      </c>
      <c r="AV16" s="245" t="s">
        <v>1229</v>
      </c>
      <c r="AW16" s="245" t="s">
        <v>1229</v>
      </c>
      <c r="AX16" s="245" t="s">
        <v>1229</v>
      </c>
      <c r="AY16" s="245" t="s">
        <v>1229</v>
      </c>
      <c r="BA16" s="171" t="s">
        <v>1236</v>
      </c>
    </row>
    <row r="17" spans="1:53" s="171" customFormat="1" ht="15.5">
      <c r="A17" s="175" t="s">
        <v>1519</v>
      </c>
      <c r="B17" s="179" t="s">
        <v>1224</v>
      </c>
      <c r="C17" s="175" t="s">
        <v>1304</v>
      </c>
      <c r="D17" s="239" t="s">
        <v>1226</v>
      </c>
      <c r="E17" s="250" t="s">
        <v>1227</v>
      </c>
      <c r="G17" s="245">
        <v>42.607843137254903</v>
      </c>
      <c r="H17" s="245">
        <v>32484.513490233774</v>
      </c>
      <c r="I17" s="245">
        <v>28763.595262253119</v>
      </c>
      <c r="J17" s="245">
        <v>14985.635179224437</v>
      </c>
      <c r="K17" s="245">
        <v>7754.8611372029682</v>
      </c>
      <c r="L17" s="245">
        <v>5308.1747622074463</v>
      </c>
      <c r="M17" s="245">
        <v>1971.7358719601493</v>
      </c>
      <c r="N17" s="245">
        <v>706.49334309021106</v>
      </c>
      <c r="O17" s="246">
        <v>26.5</v>
      </c>
      <c r="P17" s="247">
        <f t="shared" si="0"/>
        <v>92044.116889309371</v>
      </c>
      <c r="Q17" s="248">
        <f>IFERROR(P17/$P$30, "")</f>
        <v>3.6522761975533294E-2</v>
      </c>
      <c r="S17" s="245" t="s">
        <v>1229</v>
      </c>
      <c r="T17" s="245" t="s">
        <v>1229</v>
      </c>
      <c r="U17" s="245" t="s">
        <v>1229</v>
      </c>
      <c r="V17" s="245" t="s">
        <v>1229</v>
      </c>
      <c r="W17" s="245" t="s">
        <v>1229</v>
      </c>
      <c r="X17" s="245" t="s">
        <v>1229</v>
      </c>
      <c r="Y17" s="245" t="s">
        <v>1229</v>
      </c>
      <c r="Z17" s="245" t="s">
        <v>1229</v>
      </c>
      <c r="AA17" s="245" t="s">
        <v>1229</v>
      </c>
      <c r="AB17" s="245" t="s">
        <v>1229</v>
      </c>
      <c r="AD17" s="245">
        <v>42.991313725490194</v>
      </c>
      <c r="AE17" s="245">
        <v>32776.874111645877</v>
      </c>
      <c r="AF17" s="245">
        <v>29022.467619613395</v>
      </c>
      <c r="AG17" s="245">
        <v>15120.505895837456</v>
      </c>
      <c r="AH17" s="245">
        <v>7824.6548874377941</v>
      </c>
      <c r="AI17" s="245">
        <v>5355.9483350673127</v>
      </c>
      <c r="AJ17" s="245">
        <v>1989.4814948077906</v>
      </c>
      <c r="AK17" s="245">
        <v>712.85178317802286</v>
      </c>
      <c r="AL17" s="245">
        <v>26.738499999999998</v>
      </c>
      <c r="AM17" s="247">
        <f t="shared" si="1"/>
        <v>92872.513941313126</v>
      </c>
      <c r="AN17" s="248">
        <f t="shared" si="2"/>
        <v>3.6522761975533287E-2</v>
      </c>
      <c r="AP17" s="245" t="s">
        <v>1229</v>
      </c>
      <c r="AQ17" s="245" t="s">
        <v>1229</v>
      </c>
      <c r="AR17" s="245" t="s">
        <v>1229</v>
      </c>
      <c r="AS17" s="245" t="s">
        <v>1229</v>
      </c>
      <c r="AT17" s="245" t="s">
        <v>1229</v>
      </c>
      <c r="AU17" s="245" t="s">
        <v>1229</v>
      </c>
      <c r="AV17" s="245" t="s">
        <v>1229</v>
      </c>
      <c r="AW17" s="245" t="s">
        <v>1229</v>
      </c>
      <c r="AX17" s="245" t="s">
        <v>1229</v>
      </c>
      <c r="AY17" s="245" t="s">
        <v>1229</v>
      </c>
      <c r="BA17" s="171" t="s">
        <v>1239</v>
      </c>
    </row>
    <row r="18" spans="1:53" s="171" customFormat="1" ht="15.5">
      <c r="A18" s="175" t="s">
        <v>1520</v>
      </c>
      <c r="B18" s="179" t="s">
        <v>1224</v>
      </c>
      <c r="C18" s="175" t="s">
        <v>1307</v>
      </c>
      <c r="D18" s="239" t="s">
        <v>1226</v>
      </c>
      <c r="E18" s="250" t="s">
        <v>1227</v>
      </c>
      <c r="G18" s="245">
        <v>83.804455729455725</v>
      </c>
      <c r="H18" s="245">
        <v>44087.901533847478</v>
      </c>
      <c r="I18" s="245">
        <v>37220.378770632575</v>
      </c>
      <c r="J18" s="245">
        <v>19601.90509116575</v>
      </c>
      <c r="K18" s="245">
        <v>8833.4499489704795</v>
      </c>
      <c r="L18" s="245">
        <v>3737.6286539408406</v>
      </c>
      <c r="M18" s="245">
        <v>1186.694798223549</v>
      </c>
      <c r="N18" s="245">
        <v>407.99503975204539</v>
      </c>
      <c r="O18" s="246">
        <v>26.888888888888889</v>
      </c>
      <c r="P18" s="247">
        <f t="shared" si="0"/>
        <v>115186.64718115107</v>
      </c>
      <c r="Q18" s="248">
        <f>IFERROR(P18/$P$30, "")</f>
        <v>4.5705631602898623E-2</v>
      </c>
      <c r="S18" s="245" t="s">
        <v>1229</v>
      </c>
      <c r="T18" s="245" t="s">
        <v>1229</v>
      </c>
      <c r="U18" s="245" t="s">
        <v>1229</v>
      </c>
      <c r="V18" s="245" t="s">
        <v>1229</v>
      </c>
      <c r="W18" s="245" t="s">
        <v>1229</v>
      </c>
      <c r="X18" s="245" t="s">
        <v>1229</v>
      </c>
      <c r="Y18" s="245" t="s">
        <v>1229</v>
      </c>
      <c r="Z18" s="245" t="s">
        <v>1229</v>
      </c>
      <c r="AA18" s="245" t="s">
        <v>1229</v>
      </c>
      <c r="AB18" s="245" t="s">
        <v>1229</v>
      </c>
      <c r="AD18" s="245">
        <v>84.558695831020813</v>
      </c>
      <c r="AE18" s="245">
        <v>44484.692647652104</v>
      </c>
      <c r="AF18" s="245">
        <v>37555.362179568263</v>
      </c>
      <c r="AG18" s="245">
        <v>19778.322236986241</v>
      </c>
      <c r="AH18" s="245">
        <v>8912.9509985112127</v>
      </c>
      <c r="AI18" s="245">
        <v>3771.2673118263078</v>
      </c>
      <c r="AJ18" s="245">
        <v>1197.3750514075609</v>
      </c>
      <c r="AK18" s="245">
        <v>411.66699510981374</v>
      </c>
      <c r="AL18" s="245">
        <v>27.130888888888887</v>
      </c>
      <c r="AM18" s="247">
        <f t="shared" si="1"/>
        <v>116223.32700578141</v>
      </c>
      <c r="AN18" s="248">
        <f t="shared" si="2"/>
        <v>4.5705631602898623E-2</v>
      </c>
      <c r="AP18" s="245" t="s">
        <v>1229</v>
      </c>
      <c r="AQ18" s="245" t="s">
        <v>1229</v>
      </c>
      <c r="AR18" s="245" t="s">
        <v>1229</v>
      </c>
      <c r="AS18" s="245" t="s">
        <v>1229</v>
      </c>
      <c r="AT18" s="245" t="s">
        <v>1229</v>
      </c>
      <c r="AU18" s="245" t="s">
        <v>1229</v>
      </c>
      <c r="AV18" s="245" t="s">
        <v>1229</v>
      </c>
      <c r="AW18" s="245" t="s">
        <v>1229</v>
      </c>
      <c r="AX18" s="245" t="s">
        <v>1229</v>
      </c>
      <c r="AY18" s="245" t="s">
        <v>1229</v>
      </c>
      <c r="BA18" s="171" t="s">
        <v>1242</v>
      </c>
    </row>
    <row r="19" spans="1:53" s="171" customFormat="1" ht="15.5">
      <c r="A19" s="175" t="s">
        <v>1521</v>
      </c>
      <c r="B19" s="175" t="s">
        <v>1244</v>
      </c>
      <c r="C19" s="175" t="s">
        <v>1266</v>
      </c>
      <c r="D19" s="239" t="s">
        <v>1226</v>
      </c>
      <c r="E19" s="250" t="s">
        <v>1227</v>
      </c>
      <c r="G19" s="245">
        <v>132</v>
      </c>
      <c r="H19" s="245">
        <v>146582</v>
      </c>
      <c r="I19" s="245">
        <v>174930</v>
      </c>
      <c r="J19" s="245">
        <v>122078</v>
      </c>
      <c r="K19" s="245">
        <v>96861</v>
      </c>
      <c r="L19" s="245">
        <v>76412</v>
      </c>
      <c r="M19" s="245">
        <v>34233</v>
      </c>
      <c r="N19" s="245">
        <v>17380</v>
      </c>
      <c r="O19" s="246">
        <v>1223</v>
      </c>
      <c r="P19" s="247">
        <f t="shared" si="0"/>
        <v>669831</v>
      </c>
      <c r="Q19" s="248">
        <f>IFERROR(P19/$P$30, "")</f>
        <v>0.26578644028116982</v>
      </c>
      <c r="S19" s="245" t="s">
        <v>1228</v>
      </c>
      <c r="T19" s="245" t="s">
        <v>1228</v>
      </c>
      <c r="U19" s="245" t="s">
        <v>1228</v>
      </c>
      <c r="V19" s="245" t="s">
        <v>1228</v>
      </c>
      <c r="W19" s="245" t="s">
        <v>1228</v>
      </c>
      <c r="X19" s="245" t="s">
        <v>1228</v>
      </c>
      <c r="Y19" s="245" t="s">
        <v>1228</v>
      </c>
      <c r="Z19" s="245" t="s">
        <v>1228</v>
      </c>
      <c r="AA19" s="245" t="s">
        <v>1228</v>
      </c>
      <c r="AB19" s="245" t="s">
        <v>1228</v>
      </c>
      <c r="AD19" s="245">
        <v>133.18799999999999</v>
      </c>
      <c r="AE19" s="245">
        <v>147901.23799999998</v>
      </c>
      <c r="AF19" s="245">
        <v>176504.37</v>
      </c>
      <c r="AG19" s="245">
        <v>123176.70199999999</v>
      </c>
      <c r="AH19" s="245">
        <v>97732.748999999996</v>
      </c>
      <c r="AI19" s="245">
        <v>77099.707999999999</v>
      </c>
      <c r="AJ19" s="245">
        <v>34541.096999999994</v>
      </c>
      <c r="AK19" s="245">
        <v>17536.419999999998</v>
      </c>
      <c r="AL19" s="245">
        <v>1234.0069999999998</v>
      </c>
      <c r="AM19" s="247">
        <f t="shared" si="1"/>
        <v>675859.47899999993</v>
      </c>
      <c r="AN19" s="248">
        <f t="shared" si="2"/>
        <v>0.26578644028116988</v>
      </c>
      <c r="AP19" s="245" t="s">
        <v>1229</v>
      </c>
      <c r="AQ19" s="245" t="s">
        <v>1229</v>
      </c>
      <c r="AR19" s="245" t="s">
        <v>1229</v>
      </c>
      <c r="AS19" s="245" t="s">
        <v>1229</v>
      </c>
      <c r="AT19" s="245" t="s">
        <v>1229</v>
      </c>
      <c r="AU19" s="245" t="s">
        <v>1229</v>
      </c>
      <c r="AV19" s="245" t="s">
        <v>1229</v>
      </c>
      <c r="AW19" s="245" t="s">
        <v>1229</v>
      </c>
      <c r="AX19" s="245" t="s">
        <v>1229</v>
      </c>
      <c r="AY19" s="245" t="s">
        <v>1229</v>
      </c>
      <c r="BA19" s="171" t="s">
        <v>1246</v>
      </c>
    </row>
    <row r="20" spans="1:53" s="171" customFormat="1" ht="15.5">
      <c r="A20" s="175" t="s">
        <v>1522</v>
      </c>
      <c r="B20" s="175" t="s">
        <v>1244</v>
      </c>
      <c r="C20" s="175" t="s">
        <v>1248</v>
      </c>
      <c r="D20" s="239" t="s">
        <v>1226</v>
      </c>
      <c r="E20" s="250"/>
      <c r="G20" s="245">
        <v>18.392156862745097</v>
      </c>
      <c r="H20" s="245">
        <v>25738.610550553487</v>
      </c>
      <c r="I20" s="245">
        <v>20316.340494521042</v>
      </c>
      <c r="J20" s="245">
        <v>10240.0372293419</v>
      </c>
      <c r="K20" s="245">
        <v>4621.354792273105</v>
      </c>
      <c r="L20" s="245">
        <v>2947.1236539434399</v>
      </c>
      <c r="M20" s="245">
        <v>886.32171750920497</v>
      </c>
      <c r="N20" s="245">
        <v>216.77058478503267</v>
      </c>
      <c r="O20" s="245">
        <v>5.5</v>
      </c>
      <c r="P20" s="247">
        <f t="shared" si="0"/>
        <v>64990.451179789947</v>
      </c>
      <c r="Q20" s="248">
        <f>IFERROR(P20/$P$30, "")</f>
        <v>2.5787968414933804E-2</v>
      </c>
      <c r="S20" s="245" t="s">
        <v>1229</v>
      </c>
      <c r="T20" s="245" t="s">
        <v>1229</v>
      </c>
      <c r="U20" s="245" t="s">
        <v>1229</v>
      </c>
      <c r="V20" s="245" t="s">
        <v>1229</v>
      </c>
      <c r="W20" s="245" t="s">
        <v>1229</v>
      </c>
      <c r="X20" s="245" t="s">
        <v>1229</v>
      </c>
      <c r="Y20" s="245" t="s">
        <v>1229</v>
      </c>
      <c r="Z20" s="245" t="s">
        <v>1229</v>
      </c>
      <c r="AA20" s="245" t="s">
        <v>1229</v>
      </c>
      <c r="AB20" s="245" t="s">
        <v>1229</v>
      </c>
      <c r="AD20" s="245">
        <v>18.557686274509802</v>
      </c>
      <c r="AE20" s="245">
        <v>25970.258045508464</v>
      </c>
      <c r="AF20" s="245">
        <v>20499.187558971731</v>
      </c>
      <c r="AG20" s="245">
        <v>10332.197564405977</v>
      </c>
      <c r="AH20" s="245">
        <v>4662.9469854035624</v>
      </c>
      <c r="AI20" s="245">
        <v>2973.6477668289303</v>
      </c>
      <c r="AJ20" s="245">
        <v>894.29861296678769</v>
      </c>
      <c r="AK20" s="245">
        <v>218.72152004809794</v>
      </c>
      <c r="AL20" s="245">
        <v>5.5494999999999992</v>
      </c>
      <c r="AM20" s="247">
        <f t="shared" si="1"/>
        <v>65575.365240408049</v>
      </c>
      <c r="AN20" s="248">
        <f t="shared" si="2"/>
        <v>2.5787968414933804E-2</v>
      </c>
      <c r="AP20" s="245" t="s">
        <v>1229</v>
      </c>
      <c r="AQ20" s="245" t="s">
        <v>1229</v>
      </c>
      <c r="AR20" s="245" t="s">
        <v>1229</v>
      </c>
      <c r="AS20" s="245" t="s">
        <v>1229</v>
      </c>
      <c r="AT20" s="245" t="s">
        <v>1229</v>
      </c>
      <c r="AU20" s="245" t="s">
        <v>1229</v>
      </c>
      <c r="AV20" s="245" t="s">
        <v>1229</v>
      </c>
      <c r="AW20" s="245" t="s">
        <v>1229</v>
      </c>
      <c r="AX20" s="245" t="s">
        <v>1229</v>
      </c>
      <c r="AY20" s="245" t="s">
        <v>1229</v>
      </c>
      <c r="BA20" s="171" t="s">
        <v>1249</v>
      </c>
    </row>
    <row r="21" spans="1:53" s="171" customFormat="1" ht="15.5">
      <c r="A21" s="175" t="s">
        <v>1523</v>
      </c>
      <c r="B21" s="175" t="s">
        <v>1251</v>
      </c>
      <c r="C21" s="175" t="s">
        <v>1252</v>
      </c>
      <c r="D21" s="249" t="s">
        <v>1253</v>
      </c>
      <c r="E21" s="250"/>
      <c r="G21" s="422">
        <v>0.49912984154447654</v>
      </c>
      <c r="H21" s="422">
        <v>0.41454735977590002</v>
      </c>
      <c r="I21" s="422">
        <v>0.39951131621178027</v>
      </c>
      <c r="J21" s="422">
        <v>0.39076771758441897</v>
      </c>
      <c r="K21" s="422">
        <v>0.40194257168267866</v>
      </c>
      <c r="L21" s="422">
        <v>0.31438425979606976</v>
      </c>
      <c r="M21" s="422">
        <v>0.33230027041707016</v>
      </c>
      <c r="N21" s="422">
        <v>0.35733857268013314</v>
      </c>
      <c r="O21" s="422">
        <v>0.25344704343800167</v>
      </c>
      <c r="P21" s="247"/>
      <c r="Q21" s="248">
        <f t="shared" ref="Q21:Q24" si="4">IFERROR(P21/$P$30, "")</f>
        <v>0</v>
      </c>
      <c r="S21" s="245" t="s">
        <v>1229</v>
      </c>
      <c r="T21" s="245" t="s">
        <v>1229</v>
      </c>
      <c r="U21" s="245" t="s">
        <v>1229</v>
      </c>
      <c r="V21" s="245" t="s">
        <v>1229</v>
      </c>
      <c r="W21" s="245" t="s">
        <v>1229</v>
      </c>
      <c r="X21" s="245" t="s">
        <v>1229</v>
      </c>
      <c r="Y21" s="245" t="s">
        <v>1229</v>
      </c>
      <c r="Z21" s="245" t="s">
        <v>1229</v>
      </c>
      <c r="AA21" s="245" t="s">
        <v>1229</v>
      </c>
      <c r="AB21" s="245" t="s">
        <v>1229</v>
      </c>
      <c r="AD21" s="422">
        <v>0.49912984154447654</v>
      </c>
      <c r="AE21" s="422">
        <v>0.41454735977590002</v>
      </c>
      <c r="AF21" s="422">
        <v>0.39951131621178027</v>
      </c>
      <c r="AG21" s="422">
        <v>0.39076771758441897</v>
      </c>
      <c r="AH21" s="422">
        <v>0.40194257168267866</v>
      </c>
      <c r="AI21" s="422">
        <v>0.31438425979606976</v>
      </c>
      <c r="AJ21" s="422">
        <v>0.33230027041707016</v>
      </c>
      <c r="AK21" s="422">
        <v>0.35733857268013314</v>
      </c>
      <c r="AL21" s="422">
        <v>0.25344704343800167</v>
      </c>
      <c r="AM21" s="247"/>
      <c r="AN21" s="248"/>
      <c r="AP21" s="245" t="s">
        <v>1229</v>
      </c>
      <c r="AQ21" s="245" t="s">
        <v>1229</v>
      </c>
      <c r="AR21" s="245" t="s">
        <v>1229</v>
      </c>
      <c r="AS21" s="245" t="s">
        <v>1229</v>
      </c>
      <c r="AT21" s="245" t="s">
        <v>1229</v>
      </c>
      <c r="AU21" s="245" t="s">
        <v>1229</v>
      </c>
      <c r="AV21" s="245" t="s">
        <v>1229</v>
      </c>
      <c r="AW21" s="245" t="s">
        <v>1229</v>
      </c>
      <c r="AX21" s="245" t="s">
        <v>1229</v>
      </c>
      <c r="AY21" s="245" t="s">
        <v>1229</v>
      </c>
      <c r="BA21" s="171" t="s">
        <v>1254</v>
      </c>
    </row>
    <row r="22" spans="1:53" s="171" customFormat="1" ht="15.5">
      <c r="A22" s="175" t="s">
        <v>1524</v>
      </c>
      <c r="B22" s="175" t="s">
        <v>1244</v>
      </c>
      <c r="C22" s="175" t="s">
        <v>1312</v>
      </c>
      <c r="D22" s="239" t="s">
        <v>1226</v>
      </c>
      <c r="E22" s="250" t="s">
        <v>1227</v>
      </c>
      <c r="G22" s="247">
        <f>G20*G21</f>
        <v>9.1800743405631167</v>
      </c>
      <c r="H22" s="247">
        <f>H20*H21</f>
        <v>10669.873048032072</v>
      </c>
      <c r="I22" s="247">
        <f t="shared" ref="I22:O22" si="5">I20*I21</f>
        <v>8116.607931572792</v>
      </c>
      <c r="J22" s="247">
        <f t="shared" si="5"/>
        <v>4001.4759760894117</v>
      </c>
      <c r="K22" s="247">
        <f t="shared" si="5"/>
        <v>1857.5192298643231</v>
      </c>
      <c r="L22" s="247">
        <f t="shared" si="5"/>
        <v>926.52928847249677</v>
      </c>
      <c r="M22" s="247">
        <f t="shared" si="5"/>
        <v>294.52494640483087</v>
      </c>
      <c r="N22" s="247">
        <f t="shared" si="5"/>
        <v>77.46049136612136</v>
      </c>
      <c r="O22" s="247">
        <f t="shared" si="5"/>
        <v>1.3939587389090091</v>
      </c>
      <c r="P22" s="247">
        <f t="shared" ref="P22:P29" si="6">SUM(G22:O22)</f>
        <v>25954.56494488152</v>
      </c>
      <c r="Q22" s="248">
        <f t="shared" si="4"/>
        <v>1.0298674480199478E-2</v>
      </c>
      <c r="S22" s="245" t="s">
        <v>1229</v>
      </c>
      <c r="T22" s="245" t="s">
        <v>1229</v>
      </c>
      <c r="U22" s="245" t="s">
        <v>1229</v>
      </c>
      <c r="V22" s="245" t="s">
        <v>1229</v>
      </c>
      <c r="W22" s="245" t="s">
        <v>1229</v>
      </c>
      <c r="X22" s="245" t="s">
        <v>1229</v>
      </c>
      <c r="Y22" s="245" t="s">
        <v>1229</v>
      </c>
      <c r="Z22" s="245" t="s">
        <v>1229</v>
      </c>
      <c r="AA22" s="245" t="s">
        <v>1229</v>
      </c>
      <c r="AB22" s="245" t="s">
        <v>1229</v>
      </c>
      <c r="AD22" s="247">
        <f t="shared" ref="AD22:AL22" si="7">AD20*AD21</f>
        <v>9.2626950096281853</v>
      </c>
      <c r="AE22" s="247">
        <f t="shared" si="7"/>
        <v>10765.90190546436</v>
      </c>
      <c r="AF22" s="247">
        <f t="shared" si="7"/>
        <v>8189.6574029569474</v>
      </c>
      <c r="AG22" s="247">
        <f t="shared" si="7"/>
        <v>4037.4892598742163</v>
      </c>
      <c r="AH22" s="247">
        <f t="shared" si="7"/>
        <v>1874.2369029331016</v>
      </c>
      <c r="AI22" s="247">
        <f t="shared" si="7"/>
        <v>934.86805206874908</v>
      </c>
      <c r="AJ22" s="247">
        <f t="shared" si="7"/>
        <v>297.1756709224743</v>
      </c>
      <c r="AK22" s="247">
        <f t="shared" si="7"/>
        <v>78.157635788416442</v>
      </c>
      <c r="AL22" s="247">
        <f t="shared" si="7"/>
        <v>1.4065043675591902</v>
      </c>
      <c r="AM22" s="247">
        <f t="shared" ref="AM22:AM29" si="8">SUM(AD22:AL22)</f>
        <v>26188.156029385449</v>
      </c>
      <c r="AN22" s="248">
        <f t="shared" ref="AN22:AN30" si="9">IFERROR(AM22/$AM$30, "")</f>
        <v>1.0298674480199478E-2</v>
      </c>
      <c r="AP22" s="245" t="s">
        <v>1229</v>
      </c>
      <c r="AQ22" s="245" t="s">
        <v>1229</v>
      </c>
      <c r="AR22" s="245" t="s">
        <v>1229</v>
      </c>
      <c r="AS22" s="245" t="s">
        <v>1229</v>
      </c>
      <c r="AT22" s="245" t="s">
        <v>1229</v>
      </c>
      <c r="AU22" s="245" t="s">
        <v>1229</v>
      </c>
      <c r="AV22" s="245" t="s">
        <v>1229</v>
      </c>
      <c r="AW22" s="245" t="s">
        <v>1229</v>
      </c>
      <c r="AX22" s="245" t="s">
        <v>1229</v>
      </c>
      <c r="AY22" s="245" t="s">
        <v>1229</v>
      </c>
      <c r="BA22" s="171" t="s">
        <v>1257</v>
      </c>
    </row>
    <row r="23" spans="1:53" s="171" customFormat="1" ht="15.5">
      <c r="A23" s="175" t="s">
        <v>1525</v>
      </c>
      <c r="B23" s="175" t="s">
        <v>1244</v>
      </c>
      <c r="C23" s="175" t="s">
        <v>1315</v>
      </c>
      <c r="D23" s="239" t="s">
        <v>1226</v>
      </c>
      <c r="E23" s="250" t="s">
        <v>1227</v>
      </c>
      <c r="G23" s="247">
        <f>G20-G22</f>
        <v>9.21208252218198</v>
      </c>
      <c r="H23" s="247">
        <f t="shared" ref="H23:O23" si="10">H20-H22</f>
        <v>15068.737502521415</v>
      </c>
      <c r="I23" s="247">
        <f t="shared" si="10"/>
        <v>12199.732562948251</v>
      </c>
      <c r="J23" s="247">
        <f t="shared" si="10"/>
        <v>6238.5612532524883</v>
      </c>
      <c r="K23" s="247">
        <f t="shared" si="10"/>
        <v>2763.8355624087817</v>
      </c>
      <c r="L23" s="247">
        <f>L20-L22</f>
        <v>2020.5943654709431</v>
      </c>
      <c r="M23" s="247">
        <f t="shared" si="10"/>
        <v>591.7967711043741</v>
      </c>
      <c r="N23" s="247">
        <f t="shared" si="10"/>
        <v>139.31009341891132</v>
      </c>
      <c r="O23" s="247">
        <f t="shared" si="10"/>
        <v>4.1060412610909909</v>
      </c>
      <c r="P23" s="247">
        <f t="shared" si="6"/>
        <v>39035.886234908445</v>
      </c>
      <c r="Q23" s="248">
        <f t="shared" si="4"/>
        <v>1.5489293934734333E-2</v>
      </c>
      <c r="S23" s="245" t="s">
        <v>1229</v>
      </c>
      <c r="T23" s="245" t="s">
        <v>1229</v>
      </c>
      <c r="U23" s="245" t="s">
        <v>1229</v>
      </c>
      <c r="V23" s="245" t="s">
        <v>1229</v>
      </c>
      <c r="W23" s="245" t="s">
        <v>1229</v>
      </c>
      <c r="X23" s="245" t="s">
        <v>1229</v>
      </c>
      <c r="Y23" s="245" t="s">
        <v>1229</v>
      </c>
      <c r="Z23" s="245" t="s">
        <v>1229</v>
      </c>
      <c r="AA23" s="245" t="s">
        <v>1229</v>
      </c>
      <c r="AB23" s="245" t="s">
        <v>1229</v>
      </c>
      <c r="AD23" s="247">
        <f t="shared" ref="AD23:AL23" si="11">AD20-AD22</f>
        <v>9.2949912648816166</v>
      </c>
      <c r="AE23" s="247">
        <f t="shared" si="11"/>
        <v>15204.356140044105</v>
      </c>
      <c r="AF23" s="247">
        <f t="shared" si="11"/>
        <v>12309.530156014784</v>
      </c>
      <c r="AG23" s="247">
        <f t="shared" si="11"/>
        <v>6294.7083045317604</v>
      </c>
      <c r="AH23" s="247">
        <f t="shared" si="11"/>
        <v>2788.7100824704607</v>
      </c>
      <c r="AI23" s="247">
        <f t="shared" si="11"/>
        <v>2038.7797147601814</v>
      </c>
      <c r="AJ23" s="247">
        <f t="shared" si="11"/>
        <v>597.12294204431339</v>
      </c>
      <c r="AK23" s="247">
        <f t="shared" si="11"/>
        <v>140.56388425968152</v>
      </c>
      <c r="AL23" s="247">
        <f t="shared" si="11"/>
        <v>4.142995632440809</v>
      </c>
      <c r="AM23" s="247">
        <f t="shared" si="8"/>
        <v>39387.209211022615</v>
      </c>
      <c r="AN23" s="248">
        <f t="shared" si="9"/>
        <v>1.5489293934734333E-2</v>
      </c>
      <c r="AP23" s="245" t="s">
        <v>1229</v>
      </c>
      <c r="AQ23" s="245" t="s">
        <v>1229</v>
      </c>
      <c r="AR23" s="245" t="s">
        <v>1229</v>
      </c>
      <c r="AS23" s="245" t="s">
        <v>1229</v>
      </c>
      <c r="AT23" s="245" t="s">
        <v>1229</v>
      </c>
      <c r="AU23" s="245" t="s">
        <v>1229</v>
      </c>
      <c r="AV23" s="245" t="s">
        <v>1229</v>
      </c>
      <c r="AW23" s="245" t="s">
        <v>1229</v>
      </c>
      <c r="AX23" s="245" t="s">
        <v>1229</v>
      </c>
      <c r="AY23" s="245" t="s">
        <v>1229</v>
      </c>
      <c r="BA23" s="171" t="s">
        <v>1260</v>
      </c>
    </row>
    <row r="24" spans="1:53" s="171" customFormat="1" ht="15.5">
      <c r="A24" s="175" t="s">
        <v>1526</v>
      </c>
      <c r="B24" s="175" t="s">
        <v>1244</v>
      </c>
      <c r="C24" s="175" t="s">
        <v>1262</v>
      </c>
      <c r="D24" s="239" t="s">
        <v>1226</v>
      </c>
      <c r="E24" s="250" t="s">
        <v>1227</v>
      </c>
      <c r="G24" s="245">
        <v>155.19554427054425</v>
      </c>
      <c r="H24" s="245">
        <v>117701.20314546797</v>
      </c>
      <c r="I24" s="245">
        <v>76370.574229240578</v>
      </c>
      <c r="J24" s="245">
        <v>33619.434790657062</v>
      </c>
      <c r="K24" s="245">
        <v>11918.169335425147</v>
      </c>
      <c r="L24" s="245">
        <v>4362.3675865954638</v>
      </c>
      <c r="M24" s="245">
        <v>1025.2841222024304</v>
      </c>
      <c r="N24" s="245">
        <v>296.30905381520603</v>
      </c>
      <c r="O24" s="246">
        <v>9.1111111111111107</v>
      </c>
      <c r="P24" s="247">
        <f t="shared" si="6"/>
        <v>245457.6489187855</v>
      </c>
      <c r="Q24" s="248">
        <f t="shared" si="4"/>
        <v>9.7396678783020094E-2</v>
      </c>
      <c r="S24" s="245" t="s">
        <v>1228</v>
      </c>
      <c r="T24" s="245" t="s">
        <v>1228</v>
      </c>
      <c r="U24" s="245" t="s">
        <v>1228</v>
      </c>
      <c r="V24" s="245" t="s">
        <v>1228</v>
      </c>
      <c r="W24" s="245" t="s">
        <v>1228</v>
      </c>
      <c r="X24" s="245" t="s">
        <v>1228</v>
      </c>
      <c r="Y24" s="245" t="s">
        <v>1228</v>
      </c>
      <c r="Z24" s="245" t="s">
        <v>1228</v>
      </c>
      <c r="AA24" s="245" t="s">
        <v>1228</v>
      </c>
      <c r="AB24" s="245" t="s">
        <v>1228</v>
      </c>
      <c r="AD24" s="245">
        <v>156.59230416897913</v>
      </c>
      <c r="AE24" s="245">
        <v>118760.51397377717</v>
      </c>
      <c r="AF24" s="245">
        <v>77057.909397303738</v>
      </c>
      <c r="AG24" s="245">
        <v>33922.009703772972</v>
      </c>
      <c r="AH24" s="245">
        <v>12025.432859443972</v>
      </c>
      <c r="AI24" s="245">
        <v>4401.6288948748224</v>
      </c>
      <c r="AJ24" s="245">
        <v>1034.5116793022521</v>
      </c>
      <c r="AK24" s="245">
        <v>298.97583529954284</v>
      </c>
      <c r="AL24" s="245">
        <v>9.1931111111111097</v>
      </c>
      <c r="AM24" s="247">
        <f t="shared" si="8"/>
        <v>247666.76775905461</v>
      </c>
      <c r="AN24" s="248">
        <f t="shared" si="9"/>
        <v>9.7396678783020121E-2</v>
      </c>
      <c r="AP24" s="245" t="s">
        <v>1229</v>
      </c>
      <c r="AQ24" s="245" t="s">
        <v>1229</v>
      </c>
      <c r="AR24" s="245" t="s">
        <v>1229</v>
      </c>
      <c r="AS24" s="245" t="s">
        <v>1229</v>
      </c>
      <c r="AT24" s="245" t="s">
        <v>1229</v>
      </c>
      <c r="AU24" s="245" t="s">
        <v>1229</v>
      </c>
      <c r="AV24" s="245" t="s">
        <v>1229</v>
      </c>
      <c r="AW24" s="245" t="s">
        <v>1229</v>
      </c>
      <c r="AX24" s="245" t="s">
        <v>1229</v>
      </c>
      <c r="AY24" s="245" t="s">
        <v>1229</v>
      </c>
      <c r="BA24" s="171" t="s">
        <v>1263</v>
      </c>
    </row>
    <row r="25" spans="1:53" s="171" customFormat="1" ht="15.5">
      <c r="A25" s="175" t="s">
        <v>1527</v>
      </c>
      <c r="B25" s="175" t="s">
        <v>1265</v>
      </c>
      <c r="C25" s="175" t="s">
        <v>1266</v>
      </c>
      <c r="D25" s="239" t="s">
        <v>1226</v>
      </c>
      <c r="E25" s="250" t="s">
        <v>1227</v>
      </c>
      <c r="G25" s="245">
        <v>1</v>
      </c>
      <c r="H25" s="245">
        <v>936</v>
      </c>
      <c r="I25" s="245">
        <v>548</v>
      </c>
      <c r="J25" s="245">
        <v>378</v>
      </c>
      <c r="K25" s="245">
        <v>268</v>
      </c>
      <c r="L25" s="245">
        <v>229</v>
      </c>
      <c r="M25" s="245">
        <v>118</v>
      </c>
      <c r="N25" s="245">
        <v>57</v>
      </c>
      <c r="O25" s="246">
        <v>16</v>
      </c>
      <c r="P25" s="247">
        <f t="shared" si="6"/>
        <v>2551</v>
      </c>
      <c r="Q25" s="248">
        <f t="shared" ref="Q25:Q30" si="12">IFERROR(P25/$P$30, "")</f>
        <v>1.0122272769657783E-3</v>
      </c>
      <c r="S25" s="245" t="s">
        <v>1228</v>
      </c>
      <c r="T25" s="245" t="s">
        <v>1228</v>
      </c>
      <c r="U25" s="245" t="s">
        <v>1228</v>
      </c>
      <c r="V25" s="245" t="s">
        <v>1228</v>
      </c>
      <c r="W25" s="245" t="s">
        <v>1228</v>
      </c>
      <c r="X25" s="245" t="s">
        <v>1228</v>
      </c>
      <c r="Y25" s="245" t="s">
        <v>1228</v>
      </c>
      <c r="Z25" s="245" t="s">
        <v>1228</v>
      </c>
      <c r="AA25" s="245" t="s">
        <v>1228</v>
      </c>
      <c r="AB25" s="245" t="s">
        <v>1228</v>
      </c>
      <c r="AD25" s="245">
        <v>1.0089999999999999</v>
      </c>
      <c r="AE25" s="245">
        <v>944.42399999999986</v>
      </c>
      <c r="AF25" s="245">
        <v>552.9319999999999</v>
      </c>
      <c r="AG25" s="245">
        <v>381.40199999999999</v>
      </c>
      <c r="AH25" s="245">
        <v>270.41199999999998</v>
      </c>
      <c r="AI25" s="245">
        <v>231.06099999999998</v>
      </c>
      <c r="AJ25" s="245">
        <v>119.06199999999998</v>
      </c>
      <c r="AK25" s="245">
        <v>57.512999999999991</v>
      </c>
      <c r="AL25" s="245">
        <v>16.143999999999998</v>
      </c>
      <c r="AM25" s="247">
        <f t="shared" si="8"/>
        <v>2573.9589999999994</v>
      </c>
      <c r="AN25" s="248">
        <f t="shared" si="9"/>
        <v>1.0122272769657783E-3</v>
      </c>
      <c r="AP25" s="245" t="s">
        <v>1229</v>
      </c>
      <c r="AQ25" s="245" t="s">
        <v>1229</v>
      </c>
      <c r="AR25" s="245" t="s">
        <v>1229</v>
      </c>
      <c r="AS25" s="245" t="s">
        <v>1229</v>
      </c>
      <c r="AT25" s="245" t="s">
        <v>1229</v>
      </c>
      <c r="AU25" s="245" t="s">
        <v>1229</v>
      </c>
      <c r="AV25" s="245" t="s">
        <v>1229</v>
      </c>
      <c r="AW25" s="245" t="s">
        <v>1229</v>
      </c>
      <c r="AX25" s="245" t="s">
        <v>1229</v>
      </c>
      <c r="AY25" s="245" t="s">
        <v>1229</v>
      </c>
      <c r="BA25" s="171" t="s">
        <v>1267</v>
      </c>
    </row>
    <row r="26" spans="1:53" s="171" customFormat="1" ht="15.5">
      <c r="A26" s="175" t="s">
        <v>1528</v>
      </c>
      <c r="B26" s="175" t="s">
        <v>1265</v>
      </c>
      <c r="C26" s="175" t="s">
        <v>1269</v>
      </c>
      <c r="D26" s="239" t="s">
        <v>1226</v>
      </c>
      <c r="E26" s="250" t="s">
        <v>1227</v>
      </c>
      <c r="G26" s="245">
        <v>0</v>
      </c>
      <c r="H26" s="245">
        <v>11</v>
      </c>
      <c r="I26" s="245">
        <v>16</v>
      </c>
      <c r="J26" s="245">
        <v>9</v>
      </c>
      <c r="K26" s="245">
        <v>7</v>
      </c>
      <c r="L26" s="245">
        <v>6</v>
      </c>
      <c r="M26" s="245">
        <v>3</v>
      </c>
      <c r="N26" s="245">
        <v>0</v>
      </c>
      <c r="O26" s="246">
        <v>0</v>
      </c>
      <c r="P26" s="247">
        <f t="shared" si="6"/>
        <v>52</v>
      </c>
      <c r="Q26" s="248">
        <f t="shared" si="12"/>
        <v>2.0633405880917472E-5</v>
      </c>
      <c r="S26" s="245" t="s">
        <v>1228</v>
      </c>
      <c r="T26" s="245" t="s">
        <v>1228</v>
      </c>
      <c r="U26" s="245" t="s">
        <v>1228</v>
      </c>
      <c r="V26" s="245" t="s">
        <v>1228</v>
      </c>
      <c r="W26" s="245" t="s">
        <v>1228</v>
      </c>
      <c r="X26" s="245" t="s">
        <v>1228</v>
      </c>
      <c r="Y26" s="245" t="s">
        <v>1228</v>
      </c>
      <c r="Z26" s="245" t="s">
        <v>1228</v>
      </c>
      <c r="AA26" s="245" t="s">
        <v>1228</v>
      </c>
      <c r="AB26" s="245" t="s">
        <v>1228</v>
      </c>
      <c r="AD26" s="245">
        <v>0</v>
      </c>
      <c r="AE26" s="245">
        <v>11.098999999999998</v>
      </c>
      <c r="AF26" s="245">
        <v>16.143999999999998</v>
      </c>
      <c r="AG26" s="245">
        <v>9.0809999999999995</v>
      </c>
      <c r="AH26" s="245">
        <v>7.0629999999999988</v>
      </c>
      <c r="AI26" s="245">
        <v>6.0539999999999994</v>
      </c>
      <c r="AJ26" s="245">
        <v>3.0269999999999997</v>
      </c>
      <c r="AK26" s="245">
        <v>0</v>
      </c>
      <c r="AL26" s="245">
        <v>0</v>
      </c>
      <c r="AM26" s="247">
        <f t="shared" si="8"/>
        <v>52.468000000000004</v>
      </c>
      <c r="AN26" s="248">
        <f t="shared" si="9"/>
        <v>2.0633405880917479E-5</v>
      </c>
      <c r="AP26" s="245" t="s">
        <v>1229</v>
      </c>
      <c r="AQ26" s="245" t="s">
        <v>1229</v>
      </c>
      <c r="AR26" s="245" t="s">
        <v>1229</v>
      </c>
      <c r="AS26" s="245" t="s">
        <v>1229</v>
      </c>
      <c r="AT26" s="245" t="s">
        <v>1229</v>
      </c>
      <c r="AU26" s="245" t="s">
        <v>1229</v>
      </c>
      <c r="AV26" s="245" t="s">
        <v>1229</v>
      </c>
      <c r="AW26" s="245" t="s">
        <v>1229</v>
      </c>
      <c r="AX26" s="245" t="s">
        <v>1229</v>
      </c>
      <c r="AY26" s="245" t="s">
        <v>1229</v>
      </c>
      <c r="BA26" s="171" t="s">
        <v>1270</v>
      </c>
    </row>
    <row r="27" spans="1:53" s="171" customFormat="1" ht="15.5">
      <c r="A27" s="175" t="s">
        <v>1529</v>
      </c>
      <c r="B27" s="175" t="s">
        <v>1265</v>
      </c>
      <c r="C27" s="175" t="s">
        <v>1272</v>
      </c>
      <c r="D27" s="239" t="s">
        <v>1226</v>
      </c>
      <c r="E27" s="250" t="s">
        <v>1227</v>
      </c>
      <c r="G27" s="245">
        <v>0</v>
      </c>
      <c r="H27" s="245">
        <v>17</v>
      </c>
      <c r="I27" s="245">
        <v>56</v>
      </c>
      <c r="J27" s="245">
        <v>39</v>
      </c>
      <c r="K27" s="245">
        <v>29</v>
      </c>
      <c r="L27" s="245">
        <v>16</v>
      </c>
      <c r="M27" s="245">
        <v>5</v>
      </c>
      <c r="N27" s="245">
        <v>0</v>
      </c>
      <c r="O27" s="246">
        <v>0</v>
      </c>
      <c r="P27" s="247">
        <f t="shared" si="6"/>
        <v>162</v>
      </c>
      <c r="Q27" s="248">
        <f t="shared" si="12"/>
        <v>6.4280995244396744E-5</v>
      </c>
      <c r="S27" s="245" t="s">
        <v>1228</v>
      </c>
      <c r="T27" s="245" t="s">
        <v>1228</v>
      </c>
      <c r="U27" s="245" t="s">
        <v>1228</v>
      </c>
      <c r="V27" s="245" t="s">
        <v>1228</v>
      </c>
      <c r="W27" s="245" t="s">
        <v>1228</v>
      </c>
      <c r="X27" s="245" t="s">
        <v>1228</v>
      </c>
      <c r="Y27" s="245" t="s">
        <v>1228</v>
      </c>
      <c r="Z27" s="245" t="s">
        <v>1228</v>
      </c>
      <c r="AA27" s="245" t="s">
        <v>1228</v>
      </c>
      <c r="AB27" s="245" t="s">
        <v>1228</v>
      </c>
      <c r="AD27" s="245">
        <v>0</v>
      </c>
      <c r="AE27" s="245">
        <v>17.152999999999999</v>
      </c>
      <c r="AF27" s="245">
        <v>56.503999999999991</v>
      </c>
      <c r="AG27" s="245">
        <v>39.350999999999999</v>
      </c>
      <c r="AH27" s="245">
        <v>29.260999999999996</v>
      </c>
      <c r="AI27" s="245">
        <v>16.143999999999998</v>
      </c>
      <c r="AJ27" s="245">
        <v>5.0449999999999999</v>
      </c>
      <c r="AK27" s="245">
        <v>0</v>
      </c>
      <c r="AL27" s="245">
        <v>0</v>
      </c>
      <c r="AM27" s="247">
        <f t="shared" si="8"/>
        <v>163.45799999999997</v>
      </c>
      <c r="AN27" s="248">
        <f t="shared" si="9"/>
        <v>6.4280995244396744E-5</v>
      </c>
      <c r="AP27" s="245" t="s">
        <v>1229</v>
      </c>
      <c r="AQ27" s="245" t="s">
        <v>1229</v>
      </c>
      <c r="AR27" s="245" t="s">
        <v>1229</v>
      </c>
      <c r="AS27" s="245" t="s">
        <v>1229</v>
      </c>
      <c r="AT27" s="245" t="s">
        <v>1229</v>
      </c>
      <c r="AU27" s="245" t="s">
        <v>1229</v>
      </c>
      <c r="AV27" s="245" t="s">
        <v>1229</v>
      </c>
      <c r="AW27" s="245" t="s">
        <v>1229</v>
      </c>
      <c r="AX27" s="245" t="s">
        <v>1229</v>
      </c>
      <c r="AY27" s="245" t="s">
        <v>1229</v>
      </c>
      <c r="BA27" s="171" t="s">
        <v>1273</v>
      </c>
    </row>
    <row r="28" spans="1:53" s="171" customFormat="1" ht="15.5">
      <c r="A28" s="175" t="s">
        <v>1530</v>
      </c>
      <c r="B28" s="175" t="s">
        <v>1275</v>
      </c>
      <c r="C28" s="175" t="s">
        <v>1275</v>
      </c>
      <c r="D28" s="239" t="s">
        <v>1226</v>
      </c>
      <c r="E28" s="250" t="s">
        <v>1227</v>
      </c>
      <c r="G28" s="245">
        <v>3.7571955493507345</v>
      </c>
      <c r="H28" s="245">
        <v>34786.015665537489</v>
      </c>
      <c r="I28" s="245">
        <v>20386.455858662863</v>
      </c>
      <c r="J28" s="245">
        <v>13850.991886305797</v>
      </c>
      <c r="K28" s="245">
        <v>11149.240799229075</v>
      </c>
      <c r="L28" s="245">
        <v>10320.503790876422</v>
      </c>
      <c r="M28" s="245">
        <v>4199.4713341591205</v>
      </c>
      <c r="N28" s="245">
        <v>1774.7419522342709</v>
      </c>
      <c r="O28" s="246">
        <v>373.23286867564889</v>
      </c>
      <c r="P28" s="247">
        <f t="shared" si="6"/>
        <v>96844.411351230025</v>
      </c>
      <c r="Q28" s="248">
        <f t="shared" si="12"/>
        <v>3.8427500898239625E-2</v>
      </c>
      <c r="S28" s="245" t="s">
        <v>1228</v>
      </c>
      <c r="T28" s="245" t="s">
        <v>1228</v>
      </c>
      <c r="U28" s="245" t="s">
        <v>1228</v>
      </c>
      <c r="V28" s="245" t="s">
        <v>1228</v>
      </c>
      <c r="W28" s="245" t="s">
        <v>1228</v>
      </c>
      <c r="X28" s="245" t="s">
        <v>1228</v>
      </c>
      <c r="Y28" s="245" t="s">
        <v>1228</v>
      </c>
      <c r="Z28" s="245" t="s">
        <v>1228</v>
      </c>
      <c r="AA28" s="245" t="s">
        <v>1228</v>
      </c>
      <c r="AB28" s="245" t="s">
        <v>1228</v>
      </c>
      <c r="AD28" s="245">
        <v>3.7910103092948906</v>
      </c>
      <c r="AE28" s="245">
        <v>35099.089806527321</v>
      </c>
      <c r="AF28" s="245">
        <v>20569.933961390827</v>
      </c>
      <c r="AG28" s="245">
        <v>13975.650813282547</v>
      </c>
      <c r="AH28" s="245">
        <v>11249.583966422137</v>
      </c>
      <c r="AI28" s="245">
        <v>10413.38832499431</v>
      </c>
      <c r="AJ28" s="245">
        <v>4237.2665761665521</v>
      </c>
      <c r="AK28" s="245">
        <v>1790.7146298043792</v>
      </c>
      <c r="AL28" s="245">
        <v>376.59196449372968</v>
      </c>
      <c r="AM28" s="247">
        <f t="shared" si="8"/>
        <v>97716.011053391121</v>
      </c>
      <c r="AN28" s="248">
        <f t="shared" si="9"/>
        <v>3.8427500898239639E-2</v>
      </c>
      <c r="AP28" s="245" t="s">
        <v>1229</v>
      </c>
      <c r="AQ28" s="245" t="s">
        <v>1229</v>
      </c>
      <c r="AR28" s="245" t="s">
        <v>1229</v>
      </c>
      <c r="AS28" s="245" t="s">
        <v>1229</v>
      </c>
      <c r="AT28" s="245" t="s">
        <v>1229</v>
      </c>
      <c r="AU28" s="245" t="s">
        <v>1229</v>
      </c>
      <c r="AV28" s="245" t="s">
        <v>1229</v>
      </c>
      <c r="AW28" s="245" t="s">
        <v>1229</v>
      </c>
      <c r="AX28" s="245" t="s">
        <v>1229</v>
      </c>
      <c r="AY28" s="245" t="s">
        <v>1229</v>
      </c>
      <c r="BA28" s="171" t="s">
        <v>1277</v>
      </c>
    </row>
    <row r="29" spans="1:53" s="171" customFormat="1" ht="15.5">
      <c r="A29" s="175" t="s">
        <v>1531</v>
      </c>
      <c r="B29" s="175" t="s">
        <v>1279</v>
      </c>
      <c r="C29" s="175" t="s">
        <v>1279</v>
      </c>
      <c r="D29" s="239" t="s">
        <v>1226</v>
      </c>
      <c r="E29" s="250" t="s">
        <v>1227</v>
      </c>
      <c r="G29" s="245">
        <v>4.242804450649265</v>
      </c>
      <c r="H29" s="245">
        <v>20249.984334462522</v>
      </c>
      <c r="I29" s="245">
        <v>12228.544141337134</v>
      </c>
      <c r="J29" s="245">
        <v>7208.0081136942072</v>
      </c>
      <c r="K29" s="245">
        <v>5178.7592007709245</v>
      </c>
      <c r="L29" s="245">
        <v>4365.4962091235748</v>
      </c>
      <c r="M29" s="245">
        <v>1826.5286658408788</v>
      </c>
      <c r="N29" s="245">
        <v>859.25804776572897</v>
      </c>
      <c r="O29" s="246">
        <v>174.76713132435114</v>
      </c>
      <c r="P29" s="247">
        <f t="shared" si="6"/>
        <v>52095.588648769968</v>
      </c>
      <c r="Q29" s="248">
        <f t="shared" si="12"/>
        <v>2.0671335099911304E-2</v>
      </c>
      <c r="S29" s="245" t="s">
        <v>1228</v>
      </c>
      <c r="T29" s="245" t="s">
        <v>1228</v>
      </c>
      <c r="U29" s="245" t="s">
        <v>1228</v>
      </c>
      <c r="V29" s="245" t="s">
        <v>1228</v>
      </c>
      <c r="W29" s="245" t="s">
        <v>1228</v>
      </c>
      <c r="X29" s="245" t="s">
        <v>1228</v>
      </c>
      <c r="Y29" s="245" t="s">
        <v>1228</v>
      </c>
      <c r="Z29" s="245" t="s">
        <v>1228</v>
      </c>
      <c r="AA29" s="245" t="s">
        <v>1228</v>
      </c>
      <c r="AB29" s="245" t="s">
        <v>1228</v>
      </c>
      <c r="AD29" s="245">
        <v>4.2809896907051082</v>
      </c>
      <c r="AE29" s="245">
        <v>20432.234193472683</v>
      </c>
      <c r="AF29" s="245">
        <v>12338.601038609166</v>
      </c>
      <c r="AG29" s="245">
        <v>7272.8801867174543</v>
      </c>
      <c r="AH29" s="245">
        <v>5225.3680335778627</v>
      </c>
      <c r="AI29" s="245">
        <v>4404.7856750056862</v>
      </c>
      <c r="AJ29" s="245">
        <v>1842.9674238334464</v>
      </c>
      <c r="AK29" s="245">
        <v>866.99137019562045</v>
      </c>
      <c r="AL29" s="245">
        <v>176.34003550627028</v>
      </c>
      <c r="AM29" s="247">
        <f t="shared" si="8"/>
        <v>52564.448946608893</v>
      </c>
      <c r="AN29" s="248">
        <f t="shared" si="9"/>
        <v>2.0671335099911304E-2</v>
      </c>
      <c r="AP29" s="245" t="s">
        <v>1229</v>
      </c>
      <c r="AQ29" s="245" t="s">
        <v>1229</v>
      </c>
      <c r="AR29" s="245" t="s">
        <v>1229</v>
      </c>
      <c r="AS29" s="245" t="s">
        <v>1229</v>
      </c>
      <c r="AT29" s="245" t="s">
        <v>1229</v>
      </c>
      <c r="AU29" s="245" t="s">
        <v>1229</v>
      </c>
      <c r="AV29" s="245" t="s">
        <v>1229</v>
      </c>
      <c r="AW29" s="245" t="s">
        <v>1229</v>
      </c>
      <c r="AX29" s="245" t="s">
        <v>1229</v>
      </c>
      <c r="AY29" s="245" t="s">
        <v>1229</v>
      </c>
      <c r="BA29" s="171" t="s">
        <v>1281</v>
      </c>
    </row>
    <row r="30" spans="1:53" s="171" customFormat="1" ht="15.5">
      <c r="A30" s="175" t="s">
        <v>1532</v>
      </c>
      <c r="B30" s="175"/>
      <c r="C30" s="175" t="s">
        <v>1533</v>
      </c>
      <c r="D30" s="239" t="s">
        <v>1226</v>
      </c>
      <c r="E30" s="249" t="s">
        <v>160</v>
      </c>
      <c r="G30" s="247">
        <f>SUM(G14:G29)-G20-G21</f>
        <v>689</v>
      </c>
      <c r="H30" s="247">
        <f>SUM(H14:H29)-H20-H21</f>
        <v>535083</v>
      </c>
      <c r="I30" s="247">
        <f>SUM(I14:I29)-I20-I21</f>
        <v>587486.99999999988</v>
      </c>
      <c r="J30" s="247">
        <f t="shared" ref="J30:P30" si="13">SUM(J14:J29)-J20-J21</f>
        <v>409251.00000000006</v>
      </c>
      <c r="K30" s="247">
        <f t="shared" si="13"/>
        <v>340525</v>
      </c>
      <c r="L30" s="247">
        <f t="shared" si="13"/>
        <v>330116.99999999994</v>
      </c>
      <c r="M30" s="247">
        <f t="shared" si="13"/>
        <v>191501.99999999994</v>
      </c>
      <c r="N30" s="247">
        <f t="shared" si="13"/>
        <v>114692</v>
      </c>
      <c r="O30" s="247">
        <f t="shared" si="13"/>
        <v>10838.999999999998</v>
      </c>
      <c r="P30" s="247">
        <f t="shared" si="13"/>
        <v>2520185</v>
      </c>
      <c r="Q30" s="248">
        <f t="shared" si="12"/>
        <v>1</v>
      </c>
      <c r="S30" s="245" t="s">
        <v>1228</v>
      </c>
      <c r="T30" s="245" t="s">
        <v>1228</v>
      </c>
      <c r="U30" s="245" t="s">
        <v>1228</v>
      </c>
      <c r="V30" s="245" t="s">
        <v>1228</v>
      </c>
      <c r="W30" s="245" t="s">
        <v>1228</v>
      </c>
      <c r="X30" s="245" t="s">
        <v>1228</v>
      </c>
      <c r="Y30" s="245" t="s">
        <v>1228</v>
      </c>
      <c r="Z30" s="245" t="s">
        <v>1228</v>
      </c>
      <c r="AA30" s="245" t="s">
        <v>1228</v>
      </c>
      <c r="AB30" s="245" t="s">
        <v>1228</v>
      </c>
      <c r="AD30" s="247">
        <v>695.20099999999991</v>
      </c>
      <c r="AE30" s="247">
        <v>539898.74700000009</v>
      </c>
      <c r="AF30" s="247">
        <v>592774.38300000003</v>
      </c>
      <c r="AG30" s="247">
        <v>412934.25900000002</v>
      </c>
      <c r="AH30" s="247">
        <v>343589.72499999998</v>
      </c>
      <c r="AI30" s="247">
        <v>333088.0529999999</v>
      </c>
      <c r="AJ30" s="247">
        <v>193225.51799999992</v>
      </c>
      <c r="AK30" s="247">
        <v>115724.228</v>
      </c>
      <c r="AL30" s="247">
        <v>10936.550999999996</v>
      </c>
      <c r="AM30" s="247">
        <f t="shared" ref="AM30" si="14">SUM(AM14:AM29)-AM20-AM21</f>
        <v>2542866.6649999996</v>
      </c>
      <c r="AN30" s="248">
        <f t="shared" si="9"/>
        <v>1</v>
      </c>
      <c r="AP30" s="245" t="s">
        <v>1229</v>
      </c>
      <c r="AQ30" s="245" t="s">
        <v>1229</v>
      </c>
      <c r="AR30" s="245" t="s">
        <v>1229</v>
      </c>
      <c r="AS30" s="245" t="s">
        <v>1229</v>
      </c>
      <c r="AT30" s="245" t="s">
        <v>1229</v>
      </c>
      <c r="AU30" s="245" t="s">
        <v>1229</v>
      </c>
      <c r="AV30" s="245" t="s">
        <v>1229</v>
      </c>
      <c r="AW30" s="245" t="s">
        <v>1229</v>
      </c>
      <c r="AX30" s="245" t="s">
        <v>1229</v>
      </c>
      <c r="AY30" s="245" t="s">
        <v>1229</v>
      </c>
      <c r="BA30" s="171" t="s">
        <v>1534</v>
      </c>
    </row>
    <row r="31" spans="1:53" s="171" customFormat="1" ht="15.5">
      <c r="A31" s="175" t="s">
        <v>1535</v>
      </c>
      <c r="B31" s="175"/>
      <c r="C31" s="175" t="s">
        <v>1286</v>
      </c>
      <c r="D31" s="249" t="s">
        <v>1253</v>
      </c>
      <c r="E31" s="249" t="s">
        <v>160</v>
      </c>
      <c r="G31" s="248">
        <f>IFERROR(G30/$P$30, "")</f>
        <v>2.7339262792215651E-4</v>
      </c>
      <c r="H31" s="248">
        <f t="shared" ref="H31:P31" si="15">IFERROR(H30/$P$30, "")</f>
        <v>0.21231893690344161</v>
      </c>
      <c r="I31" s="248">
        <f t="shared" si="15"/>
        <v>0.23311264847620308</v>
      </c>
      <c r="J31" s="248">
        <f t="shared" si="15"/>
        <v>0.16238926904175688</v>
      </c>
      <c r="K31" s="248">
        <f t="shared" si="15"/>
        <v>0.1351190487999889</v>
      </c>
      <c r="L31" s="248">
        <f t="shared" si="15"/>
        <v>0.13098919325366984</v>
      </c>
      <c r="M31" s="248">
        <f t="shared" si="15"/>
        <v>7.5987278711681858E-2</v>
      </c>
      <c r="N31" s="248">
        <f t="shared" si="15"/>
        <v>4.5509357447965131E-2</v>
      </c>
      <c r="O31" s="248">
        <f t="shared" si="15"/>
        <v>4.3008747373704699E-3</v>
      </c>
      <c r="P31" s="248">
        <f t="shared" si="15"/>
        <v>1</v>
      </c>
      <c r="AD31" s="248">
        <f t="shared" ref="AD31:AM31" si="16">IFERROR(AD30/$AM$30, "")</f>
        <v>2.7339262792215651E-4</v>
      </c>
      <c r="AE31" s="248">
        <f t="shared" si="16"/>
        <v>0.2123189369034417</v>
      </c>
      <c r="AF31" s="248">
        <f t="shared" si="16"/>
        <v>0.23311264847620319</v>
      </c>
      <c r="AG31" s="248">
        <f t="shared" si="16"/>
        <v>0.16238926904175688</v>
      </c>
      <c r="AH31" s="248">
        <f t="shared" si="16"/>
        <v>0.1351190487999889</v>
      </c>
      <c r="AI31" s="248">
        <f t="shared" si="16"/>
        <v>0.13098919325366984</v>
      </c>
      <c r="AJ31" s="248">
        <f t="shared" si="16"/>
        <v>7.5987278711681858E-2</v>
      </c>
      <c r="AK31" s="248">
        <f t="shared" si="16"/>
        <v>4.5509357447965137E-2</v>
      </c>
      <c r="AL31" s="248">
        <f t="shared" si="16"/>
        <v>4.3008747373704699E-3</v>
      </c>
      <c r="AM31" s="248">
        <f t="shared" si="16"/>
        <v>1</v>
      </c>
      <c r="BA31" s="171" t="s">
        <v>1287</v>
      </c>
    </row>
    <row r="32" spans="1:53" s="171" customFormat="1" ht="16" thickBot="1">
      <c r="D32" s="238"/>
      <c r="E32" s="238"/>
    </row>
    <row r="33" spans="1:53" s="171" customFormat="1" ht="16" thickBot="1">
      <c r="A33" s="240"/>
      <c r="B33" s="241"/>
      <c r="C33" s="241" t="s">
        <v>1288</v>
      </c>
      <c r="D33" s="242"/>
      <c r="E33" s="243"/>
      <c r="G33" s="236" t="s">
        <v>1211</v>
      </c>
      <c r="H33" s="237" t="s">
        <v>1212</v>
      </c>
      <c r="I33" s="237" t="s">
        <v>1213</v>
      </c>
      <c r="J33" s="237" t="s">
        <v>1214</v>
      </c>
      <c r="K33" s="237" t="s">
        <v>1215</v>
      </c>
      <c r="L33" s="237" t="s">
        <v>1216</v>
      </c>
      <c r="M33" s="237" t="s">
        <v>1217</v>
      </c>
      <c r="N33" s="237" t="s">
        <v>1218</v>
      </c>
      <c r="O33" s="64" t="s">
        <v>1219</v>
      </c>
      <c r="AD33" s="236" t="s">
        <v>1211</v>
      </c>
      <c r="AE33" s="237" t="s">
        <v>1212</v>
      </c>
      <c r="AF33" s="237" t="s">
        <v>1213</v>
      </c>
      <c r="AG33" s="237" t="s">
        <v>1214</v>
      </c>
      <c r="AH33" s="237" t="s">
        <v>1215</v>
      </c>
      <c r="AI33" s="237" t="s">
        <v>1216</v>
      </c>
      <c r="AJ33" s="237" t="s">
        <v>1217</v>
      </c>
      <c r="AK33" s="237" t="s">
        <v>1218</v>
      </c>
      <c r="AL33" s="64" t="s">
        <v>1219</v>
      </c>
    </row>
    <row r="34" spans="1:53" s="171" customFormat="1" ht="15.5">
      <c r="A34" s="175" t="s">
        <v>1536</v>
      </c>
      <c r="B34" s="179"/>
      <c r="C34" s="179" t="s">
        <v>1290</v>
      </c>
      <c r="D34" s="239" t="s">
        <v>1291</v>
      </c>
      <c r="E34" s="239" t="s">
        <v>210</v>
      </c>
      <c r="G34" s="263">
        <v>5</v>
      </c>
      <c r="H34" s="263">
        <v>6</v>
      </c>
      <c r="I34" s="263">
        <v>7</v>
      </c>
      <c r="J34" s="263">
        <v>8</v>
      </c>
      <c r="K34" s="263">
        <v>9</v>
      </c>
      <c r="L34" s="263">
        <v>11</v>
      </c>
      <c r="M34" s="263">
        <v>13</v>
      </c>
      <c r="N34" s="263">
        <v>15</v>
      </c>
      <c r="O34" s="263">
        <v>18</v>
      </c>
      <c r="AD34" s="263">
        <v>5</v>
      </c>
      <c r="AE34" s="263">
        <v>6</v>
      </c>
      <c r="AF34" s="263">
        <v>7</v>
      </c>
      <c r="AG34" s="263">
        <v>8</v>
      </c>
      <c r="AH34" s="263">
        <v>9</v>
      </c>
      <c r="AI34" s="263">
        <v>11</v>
      </c>
      <c r="AJ34" s="263">
        <v>13</v>
      </c>
      <c r="AK34" s="263">
        <v>15</v>
      </c>
      <c r="AL34" s="263">
        <v>18</v>
      </c>
      <c r="BA34" s="171" t="s">
        <v>1290</v>
      </c>
    </row>
    <row r="35" spans="1:53" s="171" customFormat="1" ht="15.5">
      <c r="A35" s="175" t="s">
        <v>1537</v>
      </c>
      <c r="B35" s="175"/>
      <c r="C35" s="175" t="s">
        <v>1293</v>
      </c>
      <c r="D35" s="249" t="s">
        <v>1291</v>
      </c>
      <c r="E35" s="249" t="s">
        <v>160</v>
      </c>
      <c r="G35" s="251">
        <f>G34/COUNTA($G$33:$O$33)</f>
        <v>0.55555555555555558</v>
      </c>
      <c r="H35" s="251">
        <f t="shared" ref="H35:O35" si="17">H34/COUNTA($G$33:$O$33)</f>
        <v>0.66666666666666663</v>
      </c>
      <c r="I35" s="251">
        <f t="shared" si="17"/>
        <v>0.77777777777777779</v>
      </c>
      <c r="J35" s="251">
        <f>J34/COUNTA($G$33:$O$33)</f>
        <v>0.88888888888888884</v>
      </c>
      <c r="K35" s="251">
        <f>K34/COUNTA($G$33:$O$33)</f>
        <v>1</v>
      </c>
      <c r="L35" s="251">
        <f t="shared" si="17"/>
        <v>1.2222222222222223</v>
      </c>
      <c r="M35" s="251">
        <f t="shared" si="17"/>
        <v>1.4444444444444444</v>
      </c>
      <c r="N35" s="251">
        <f t="shared" si="17"/>
        <v>1.6666666666666667</v>
      </c>
      <c r="O35" s="251">
        <f t="shared" si="17"/>
        <v>2</v>
      </c>
      <c r="AD35" s="251">
        <f>AD34/COUNTA($G$33:$O$33)</f>
        <v>0.55555555555555558</v>
      </c>
      <c r="AE35" s="251">
        <f t="shared" ref="AE35:AL35" si="18">AE34/COUNTA($G$33:$O$33)</f>
        <v>0.66666666666666663</v>
      </c>
      <c r="AF35" s="251">
        <f t="shared" si="18"/>
        <v>0.77777777777777779</v>
      </c>
      <c r="AG35" s="251">
        <f t="shared" si="18"/>
        <v>0.88888888888888884</v>
      </c>
      <c r="AH35" s="251">
        <f t="shared" si="18"/>
        <v>1</v>
      </c>
      <c r="AI35" s="251">
        <f t="shared" si="18"/>
        <v>1.2222222222222223</v>
      </c>
      <c r="AJ35" s="251">
        <f t="shared" si="18"/>
        <v>1.4444444444444444</v>
      </c>
      <c r="AK35" s="251">
        <f t="shared" si="18"/>
        <v>1.6666666666666667</v>
      </c>
      <c r="AL35" s="251">
        <f t="shared" si="18"/>
        <v>2</v>
      </c>
      <c r="BA35" s="171" t="s">
        <v>1293</v>
      </c>
    </row>
    <row r="36" spans="1:53" s="171" customFormat="1" ht="16" thickBot="1">
      <c r="D36" s="238"/>
      <c r="E36" s="238"/>
    </row>
    <row r="37" spans="1:53" s="171" customFormat="1" ht="47" thickBot="1">
      <c r="A37" s="240"/>
      <c r="B37" s="241"/>
      <c r="C37" s="252" t="s">
        <v>1538</v>
      </c>
      <c r="D37" s="242"/>
      <c r="E37" s="243"/>
      <c r="G37" s="258" t="s">
        <v>1211</v>
      </c>
      <c r="H37" s="259" t="s">
        <v>1212</v>
      </c>
      <c r="I37" s="259" t="s">
        <v>1213</v>
      </c>
      <c r="J37" s="259" t="s">
        <v>1214</v>
      </c>
      <c r="K37" s="259" t="s">
        <v>1215</v>
      </c>
      <c r="L37" s="259" t="s">
        <v>1216</v>
      </c>
      <c r="M37" s="259" t="s">
        <v>1217</v>
      </c>
      <c r="N37" s="259" t="s">
        <v>1218</v>
      </c>
      <c r="O37" s="67" t="s">
        <v>1219</v>
      </c>
      <c r="P37" s="67" t="s">
        <v>1220</v>
      </c>
      <c r="Q37" s="68" t="s">
        <v>1221</v>
      </c>
      <c r="AD37" s="258" t="s">
        <v>1211</v>
      </c>
      <c r="AE37" s="259" t="s">
        <v>1212</v>
      </c>
      <c r="AF37" s="259" t="s">
        <v>1213</v>
      </c>
      <c r="AG37" s="259" t="s">
        <v>1214</v>
      </c>
      <c r="AH37" s="259" t="s">
        <v>1215</v>
      </c>
      <c r="AI37" s="259" t="s">
        <v>1216</v>
      </c>
      <c r="AJ37" s="259" t="s">
        <v>1217</v>
      </c>
      <c r="AK37" s="259" t="s">
        <v>1218</v>
      </c>
      <c r="AL37" s="67" t="s">
        <v>1219</v>
      </c>
      <c r="AM37" s="67" t="s">
        <v>1220</v>
      </c>
      <c r="AN37" s="68" t="s">
        <v>1221</v>
      </c>
    </row>
    <row r="38" spans="1:53" s="171" customFormat="1" ht="15.5">
      <c r="A38" s="175" t="s">
        <v>1539</v>
      </c>
      <c r="B38" s="179" t="s">
        <v>1224</v>
      </c>
      <c r="C38" s="179" t="s">
        <v>1296</v>
      </c>
      <c r="D38" s="239" t="s">
        <v>1226</v>
      </c>
      <c r="E38" s="249" t="s">
        <v>160</v>
      </c>
      <c r="G38" s="247">
        <f t="shared" ref="G38:O40" si="19">G$35*G14</f>
        <v>137.30994152046785</v>
      </c>
      <c r="H38" s="247">
        <f t="shared" si="19"/>
        <v>67609.628113610466</v>
      </c>
      <c r="I38" s="247">
        <f t="shared" si="19"/>
        <v>160135.34689536944</v>
      </c>
      <c r="J38" s="247">
        <f t="shared" si="19"/>
        <v>159007.38065141806</v>
      </c>
      <c r="K38" s="247">
        <f t="shared" si="19"/>
        <v>187069.96132598346</v>
      </c>
      <c r="L38" s="247">
        <f t="shared" si="19"/>
        <v>264347.82852629258</v>
      </c>
      <c r="M38" s="247">
        <f t="shared" si="19"/>
        <v>206456.12046031791</v>
      </c>
      <c r="N38" s="247">
        <f t="shared" si="19"/>
        <v>151825.74011077452</v>
      </c>
      <c r="O38" s="247">
        <f t="shared" si="19"/>
        <v>17261.06533592362</v>
      </c>
      <c r="P38" s="247">
        <f>SUM(G38:O38)</f>
        <v>1213850.3813612105</v>
      </c>
      <c r="Q38" s="248">
        <f>IFERROR(P38/$P$52, "")</f>
        <v>0.5034082363541349</v>
      </c>
      <c r="AD38" s="247">
        <f>AD$35*AD14</f>
        <v>138.54573099415205</v>
      </c>
      <c r="AE38" s="247">
        <f t="shared" ref="AD38:AL40" si="20">AE$35*AE14</f>
        <v>68218.114766632963</v>
      </c>
      <c r="AF38" s="247">
        <f t="shared" si="20"/>
        <v>161576.56501742775</v>
      </c>
      <c r="AG38" s="247">
        <f t="shared" si="20"/>
        <v>160438.44707728081</v>
      </c>
      <c r="AH38" s="247">
        <f t="shared" si="20"/>
        <v>188753.59097791728</v>
      </c>
      <c r="AI38" s="247">
        <f t="shared" si="20"/>
        <v>266726.95898302918</v>
      </c>
      <c r="AJ38" s="247">
        <f t="shared" si="20"/>
        <v>208314.22554446076</v>
      </c>
      <c r="AK38" s="247">
        <f t="shared" si="20"/>
        <v>153192.17177177148</v>
      </c>
      <c r="AL38" s="247">
        <f t="shared" si="20"/>
        <v>17416.41492394693</v>
      </c>
      <c r="AM38" s="247">
        <f>SUM(AD38:AL38)</f>
        <v>1224775.0347934614</v>
      </c>
      <c r="AN38" s="248">
        <f t="shared" ref="AN38:AN52" si="21">IFERROR(AM38/$AM$52, "")</f>
        <v>0.5034082363541349</v>
      </c>
      <c r="BA38" s="171" t="s">
        <v>1540</v>
      </c>
    </row>
    <row r="39" spans="1:53" s="171" customFormat="1" ht="15.5">
      <c r="A39" s="175" t="s">
        <v>1541</v>
      </c>
      <c r="B39" s="179" t="s">
        <v>1224</v>
      </c>
      <c r="C39" s="179" t="s">
        <v>1299</v>
      </c>
      <c r="D39" s="239"/>
      <c r="E39" s="244"/>
      <c r="G39" s="247">
        <f t="shared" si="19"/>
        <v>0</v>
      </c>
      <c r="H39" s="247">
        <f t="shared" si="19"/>
        <v>1555.391343199025</v>
      </c>
      <c r="I39" s="247">
        <f t="shared" si="19"/>
        <v>2188.5889737958782</v>
      </c>
      <c r="J39" s="247">
        <f t="shared" si="19"/>
        <v>2728.7740297289288</v>
      </c>
      <c r="K39" s="247">
        <f t="shared" si="19"/>
        <v>2858.904669686096</v>
      </c>
      <c r="L39" s="247">
        <f t="shared" si="19"/>
        <v>3671.5559093775528</v>
      </c>
      <c r="M39" s="247">
        <f t="shared" si="19"/>
        <v>2415.0360097552038</v>
      </c>
      <c r="N39" s="247">
        <f t="shared" si="19"/>
        <v>1801.478132405279</v>
      </c>
      <c r="O39" s="247">
        <f t="shared" si="19"/>
        <v>375.73466414795894</v>
      </c>
      <c r="P39" s="247">
        <f t="shared" ref="P39:P40" si="22">SUM(G39:O39)</f>
        <v>17595.463732095923</v>
      </c>
      <c r="Q39" s="248">
        <f t="shared" ref="Q39:Q40" si="23">IFERROR(P39/$P$52, "")</f>
        <v>7.297193707905365E-3</v>
      </c>
      <c r="S39" s="253"/>
      <c r="T39" s="253"/>
      <c r="U39" s="253"/>
      <c r="V39" s="253"/>
      <c r="W39" s="253"/>
      <c r="X39" s="253"/>
      <c r="Y39" s="253"/>
      <c r="Z39" s="253"/>
      <c r="AA39" s="253"/>
      <c r="AB39" s="253"/>
      <c r="AD39" s="247">
        <f t="shared" si="20"/>
        <v>0</v>
      </c>
      <c r="AE39" s="247">
        <f t="shared" si="20"/>
        <v>1569.3898652878161</v>
      </c>
      <c r="AF39" s="247">
        <f t="shared" si="20"/>
        <v>2208.286274560041</v>
      </c>
      <c r="AG39" s="247">
        <f t="shared" si="20"/>
        <v>2753.332995996489</v>
      </c>
      <c r="AH39" s="247">
        <f t="shared" si="20"/>
        <v>2884.6348117132707</v>
      </c>
      <c r="AI39" s="247">
        <f t="shared" si="20"/>
        <v>3704.5999125619505</v>
      </c>
      <c r="AJ39" s="247">
        <f t="shared" si="20"/>
        <v>2436.7713338430008</v>
      </c>
      <c r="AK39" s="247">
        <f t="shared" si="20"/>
        <v>1817.6914355969266</v>
      </c>
      <c r="AL39" s="247">
        <f t="shared" si="20"/>
        <v>379.11627612529054</v>
      </c>
      <c r="AM39" s="247">
        <f t="shared" ref="AM39:AM40" si="24">SUM(AD39:AL39)</f>
        <v>17753.822905684785</v>
      </c>
      <c r="AN39" s="248">
        <f t="shared" si="21"/>
        <v>7.2971937079053632E-3</v>
      </c>
      <c r="AP39" s="253"/>
      <c r="AQ39" s="253"/>
      <c r="AR39" s="253"/>
      <c r="AS39" s="253"/>
      <c r="AT39" s="253"/>
      <c r="AU39" s="253"/>
      <c r="AV39" s="253"/>
      <c r="AW39" s="253"/>
      <c r="AX39" s="253"/>
      <c r="AY39" s="253"/>
      <c r="BA39" s="171" t="s">
        <v>1542</v>
      </c>
    </row>
    <row r="40" spans="1:53" s="171" customFormat="1" ht="15.5">
      <c r="A40" s="175" t="s">
        <v>1543</v>
      </c>
      <c r="B40" s="179" t="s">
        <v>1224</v>
      </c>
      <c r="C40" s="179" t="s">
        <v>1235</v>
      </c>
      <c r="D40" s="239"/>
      <c r="E40" s="244"/>
      <c r="G40" s="247">
        <f t="shared" si="19"/>
        <v>0.46783625730994149</v>
      </c>
      <c r="H40" s="247">
        <f t="shared" si="19"/>
        <v>5827.4947297887056</v>
      </c>
      <c r="I40" s="247">
        <f t="shared" si="19"/>
        <v>6182.4839867756891</v>
      </c>
      <c r="J40" s="247">
        <f t="shared" si="19"/>
        <v>4700.2788385071544</v>
      </c>
      <c r="K40" s="247">
        <f t="shared" si="19"/>
        <v>3975.298790458769</v>
      </c>
      <c r="L40" s="247">
        <f t="shared" si="19"/>
        <v>3818.366539489964</v>
      </c>
      <c r="M40" s="247">
        <f t="shared" si="19"/>
        <v>2085.5685711891169</v>
      </c>
      <c r="N40" s="247">
        <f t="shared" si="19"/>
        <v>1361.8350544160562</v>
      </c>
      <c r="O40" s="247">
        <f t="shared" si="19"/>
        <v>331.1999999284173</v>
      </c>
      <c r="P40" s="247">
        <f t="shared" si="22"/>
        <v>28282.994346811181</v>
      </c>
      <c r="Q40" s="248">
        <f t="shared" si="23"/>
        <v>1.1729528219924294E-2</v>
      </c>
      <c r="S40" s="253"/>
      <c r="T40" s="253"/>
      <c r="U40" s="253"/>
      <c r="V40" s="253"/>
      <c r="W40" s="253"/>
      <c r="X40" s="253"/>
      <c r="Y40" s="253"/>
      <c r="Z40" s="253"/>
      <c r="AA40" s="253"/>
      <c r="AB40" s="253"/>
      <c r="AD40" s="247">
        <f t="shared" si="20"/>
        <v>0.47204678362573099</v>
      </c>
      <c r="AE40" s="247">
        <f t="shared" si="20"/>
        <v>5879.9421823568027</v>
      </c>
      <c r="AF40" s="247">
        <f t="shared" si="20"/>
        <v>6238.1263426566693</v>
      </c>
      <c r="AG40" s="247">
        <f t="shared" si="20"/>
        <v>4742.5813480537181</v>
      </c>
      <c r="AH40" s="247">
        <f t="shared" si="20"/>
        <v>4011.0764795728974</v>
      </c>
      <c r="AI40" s="247">
        <f t="shared" si="20"/>
        <v>3852.7318383453735</v>
      </c>
      <c r="AJ40" s="247">
        <f t="shared" si="20"/>
        <v>2104.338688329819</v>
      </c>
      <c r="AK40" s="247">
        <f t="shared" si="20"/>
        <v>1374.0915699058005</v>
      </c>
      <c r="AL40" s="247">
        <f t="shared" si="20"/>
        <v>334.18079992777302</v>
      </c>
      <c r="AM40" s="247">
        <f t="shared" si="24"/>
        <v>28537.541295932482</v>
      </c>
      <c r="AN40" s="248">
        <f t="shared" si="21"/>
        <v>1.1729528219924292E-2</v>
      </c>
      <c r="AP40" s="253"/>
      <c r="AQ40" s="253"/>
      <c r="AR40" s="253"/>
      <c r="AS40" s="253"/>
      <c r="AT40" s="253"/>
      <c r="AU40" s="253"/>
      <c r="AV40" s="253"/>
      <c r="AW40" s="253"/>
      <c r="AX40" s="253"/>
      <c r="AY40" s="253"/>
      <c r="BA40" s="171" t="s">
        <v>1544</v>
      </c>
    </row>
    <row r="41" spans="1:53" s="171" customFormat="1" ht="15.5">
      <c r="A41" s="175" t="s">
        <v>1545</v>
      </c>
      <c r="B41" s="179" t="s">
        <v>1224</v>
      </c>
      <c r="C41" s="175" t="s">
        <v>1304</v>
      </c>
      <c r="D41" s="239" t="s">
        <v>1226</v>
      </c>
      <c r="E41" s="249" t="s">
        <v>160</v>
      </c>
      <c r="G41" s="247">
        <f t="shared" ref="G41:O41" si="25">G$35*G17</f>
        <v>23.671023965141615</v>
      </c>
      <c r="H41" s="247">
        <f t="shared" si="25"/>
        <v>21656.342326822516</v>
      </c>
      <c r="I41" s="247">
        <f t="shared" si="25"/>
        <v>22371.685203974648</v>
      </c>
      <c r="J41" s="247">
        <f t="shared" si="25"/>
        <v>13320.564603755054</v>
      </c>
      <c r="K41" s="247">
        <f t="shared" si="25"/>
        <v>7754.8611372029682</v>
      </c>
      <c r="L41" s="247">
        <f t="shared" si="25"/>
        <v>6487.7691538091012</v>
      </c>
      <c r="M41" s="247">
        <f t="shared" si="25"/>
        <v>2848.06292616466</v>
      </c>
      <c r="N41" s="247">
        <f t="shared" si="25"/>
        <v>1177.4889051503519</v>
      </c>
      <c r="O41" s="247">
        <f t="shared" si="25"/>
        <v>53</v>
      </c>
      <c r="P41" s="247">
        <f t="shared" ref="P41:P43" si="26">SUM(G41:O41)</f>
        <v>75693.445280844433</v>
      </c>
      <c r="Q41" s="248">
        <f t="shared" ref="Q41:Q52" si="27">IFERROR(P41/$P$52, "")</f>
        <v>3.1391598484870546E-2</v>
      </c>
      <c r="AD41" s="247">
        <f t="shared" ref="AD41:AL41" si="28">AD$35*AD17</f>
        <v>23.884063180827887</v>
      </c>
      <c r="AE41" s="247">
        <f t="shared" si="28"/>
        <v>21851.249407763917</v>
      </c>
      <c r="AF41" s="247">
        <f t="shared" si="28"/>
        <v>22573.030370810418</v>
      </c>
      <c r="AG41" s="247">
        <f t="shared" si="28"/>
        <v>13440.449685188849</v>
      </c>
      <c r="AH41" s="247">
        <f t="shared" si="28"/>
        <v>7824.6548874377941</v>
      </c>
      <c r="AI41" s="247">
        <f t="shared" si="28"/>
        <v>6546.159076193383</v>
      </c>
      <c r="AJ41" s="247">
        <f t="shared" si="28"/>
        <v>2873.6954925001419</v>
      </c>
      <c r="AK41" s="247">
        <f t="shared" si="28"/>
        <v>1188.0863052967047</v>
      </c>
      <c r="AL41" s="247">
        <f t="shared" si="28"/>
        <v>53.476999999999997</v>
      </c>
      <c r="AM41" s="247">
        <f t="shared" ref="AM41:AM43" si="29">SUM(AD41:AL41)</f>
        <v>76374.686288372031</v>
      </c>
      <c r="AN41" s="248">
        <f t="shared" si="21"/>
        <v>3.1391598484870546E-2</v>
      </c>
      <c r="BA41" s="171" t="s">
        <v>1546</v>
      </c>
    </row>
    <row r="42" spans="1:53" s="171" customFormat="1" ht="15.5">
      <c r="A42" s="175" t="s">
        <v>1547</v>
      </c>
      <c r="B42" s="179" t="s">
        <v>1224</v>
      </c>
      <c r="C42" s="175" t="s">
        <v>1307</v>
      </c>
      <c r="D42" s="239" t="s">
        <v>1226</v>
      </c>
      <c r="E42" s="249" t="s">
        <v>160</v>
      </c>
      <c r="G42" s="247">
        <f t="shared" ref="G42:O42" si="30">G$35*G18</f>
        <v>46.558030960808736</v>
      </c>
      <c r="H42" s="247">
        <f t="shared" si="30"/>
        <v>29391.934355898316</v>
      </c>
      <c r="I42" s="247">
        <f t="shared" si="30"/>
        <v>28949.18348826978</v>
      </c>
      <c r="J42" s="247">
        <f t="shared" si="30"/>
        <v>17423.915636591777</v>
      </c>
      <c r="K42" s="247">
        <f t="shared" si="30"/>
        <v>8833.4499489704795</v>
      </c>
      <c r="L42" s="247">
        <f t="shared" si="30"/>
        <v>4568.2127992610276</v>
      </c>
      <c r="M42" s="247">
        <f t="shared" si="30"/>
        <v>1714.1147085451264</v>
      </c>
      <c r="N42" s="247">
        <f t="shared" si="30"/>
        <v>679.99173292007572</v>
      </c>
      <c r="O42" s="247">
        <f t="shared" si="30"/>
        <v>53.777777777777779</v>
      </c>
      <c r="P42" s="247">
        <f t="shared" si="26"/>
        <v>91661.138479195157</v>
      </c>
      <c r="Q42" s="248">
        <f t="shared" si="27"/>
        <v>3.8013722920512728E-2</v>
      </c>
      <c r="AD42" s="247">
        <f t="shared" ref="AD42:AL42" si="31">AD$35*AD18</f>
        <v>46.977053239456012</v>
      </c>
      <c r="AE42" s="247">
        <f t="shared" si="31"/>
        <v>29656.461765101401</v>
      </c>
      <c r="AF42" s="247">
        <f t="shared" si="31"/>
        <v>29209.726139664206</v>
      </c>
      <c r="AG42" s="247">
        <f t="shared" si="31"/>
        <v>17580.730877321104</v>
      </c>
      <c r="AH42" s="247">
        <f t="shared" si="31"/>
        <v>8912.9509985112127</v>
      </c>
      <c r="AI42" s="247">
        <f t="shared" si="31"/>
        <v>4609.326714454377</v>
      </c>
      <c r="AJ42" s="247">
        <f t="shared" si="31"/>
        <v>1729.5417409220324</v>
      </c>
      <c r="AK42" s="247">
        <f t="shared" si="31"/>
        <v>686.11165851635621</v>
      </c>
      <c r="AL42" s="247">
        <f t="shared" si="31"/>
        <v>54.261777777777773</v>
      </c>
      <c r="AM42" s="247">
        <f t="shared" si="29"/>
        <v>92486.088725507929</v>
      </c>
      <c r="AN42" s="248">
        <f t="shared" si="21"/>
        <v>3.8013722920512728E-2</v>
      </c>
      <c r="BA42" s="171" t="s">
        <v>1548</v>
      </c>
    </row>
    <row r="43" spans="1:53" s="171" customFormat="1" ht="15.5">
      <c r="A43" s="175" t="s">
        <v>1549</v>
      </c>
      <c r="B43" s="175" t="s">
        <v>1244</v>
      </c>
      <c r="C43" s="175" t="s">
        <v>1266</v>
      </c>
      <c r="D43" s="239" t="s">
        <v>1226</v>
      </c>
      <c r="E43" s="249" t="s">
        <v>160</v>
      </c>
      <c r="G43" s="247">
        <f t="shared" ref="G43:O43" si="32">G$35*G19</f>
        <v>73.333333333333343</v>
      </c>
      <c r="H43" s="247">
        <f t="shared" si="32"/>
        <v>97721.333333333328</v>
      </c>
      <c r="I43" s="247">
        <f t="shared" si="32"/>
        <v>136056.66666666666</v>
      </c>
      <c r="J43" s="247">
        <f t="shared" si="32"/>
        <v>108513.77777777777</v>
      </c>
      <c r="K43" s="247">
        <f t="shared" si="32"/>
        <v>96861</v>
      </c>
      <c r="L43" s="247">
        <f t="shared" si="32"/>
        <v>93392.444444444453</v>
      </c>
      <c r="M43" s="247">
        <f t="shared" si="32"/>
        <v>49447.666666666664</v>
      </c>
      <c r="N43" s="247">
        <f t="shared" si="32"/>
        <v>28966.666666666668</v>
      </c>
      <c r="O43" s="247">
        <f t="shared" si="32"/>
        <v>2446</v>
      </c>
      <c r="P43" s="247">
        <f t="shared" si="26"/>
        <v>613478.88888888876</v>
      </c>
      <c r="Q43" s="248">
        <f t="shared" si="27"/>
        <v>0.25442206901127945</v>
      </c>
      <c r="AD43" s="247">
        <f t="shared" ref="AD43:AL43" si="33">AD$35*AD19</f>
        <v>73.993333333333325</v>
      </c>
      <c r="AE43" s="247">
        <f t="shared" si="33"/>
        <v>98600.825333333312</v>
      </c>
      <c r="AF43" s="247">
        <f t="shared" si="33"/>
        <v>137281.17666666667</v>
      </c>
      <c r="AG43" s="247">
        <f t="shared" si="33"/>
        <v>109490.40177777776</v>
      </c>
      <c r="AH43" s="247">
        <f t="shared" si="33"/>
        <v>97732.748999999996</v>
      </c>
      <c r="AI43" s="247">
        <f t="shared" si="33"/>
        <v>94232.976444444444</v>
      </c>
      <c r="AJ43" s="247">
        <f t="shared" si="33"/>
        <v>49892.695666666659</v>
      </c>
      <c r="AK43" s="247">
        <f t="shared" si="33"/>
        <v>29227.366666666665</v>
      </c>
      <c r="AL43" s="247">
        <f t="shared" si="33"/>
        <v>2468.0139999999997</v>
      </c>
      <c r="AM43" s="247">
        <f t="shared" si="29"/>
        <v>619000.19888888882</v>
      </c>
      <c r="AN43" s="248">
        <f t="shared" si="21"/>
        <v>0.25442206901127945</v>
      </c>
      <c r="BA43" s="171" t="s">
        <v>1550</v>
      </c>
    </row>
    <row r="44" spans="1:53" s="171" customFormat="1" ht="15.5">
      <c r="A44" s="175" t="s">
        <v>1551</v>
      </c>
      <c r="B44" s="175" t="s">
        <v>1244</v>
      </c>
      <c r="C44" s="175" t="s">
        <v>1312</v>
      </c>
      <c r="D44" s="239" t="s">
        <v>1226</v>
      </c>
      <c r="E44" s="249" t="s">
        <v>160</v>
      </c>
      <c r="G44" s="247">
        <f>G$35*G22</f>
        <v>5.1000413003128431</v>
      </c>
      <c r="H44" s="247">
        <f t="shared" ref="H44:O44" si="34">H$35*H22</f>
        <v>7113.2486986880476</v>
      </c>
      <c r="I44" s="247">
        <f t="shared" si="34"/>
        <v>6312.9172801121713</v>
      </c>
      <c r="J44" s="247">
        <f t="shared" si="34"/>
        <v>3556.8675343016989</v>
      </c>
      <c r="K44" s="247">
        <f t="shared" si="34"/>
        <v>1857.5192298643231</v>
      </c>
      <c r="L44" s="247">
        <f t="shared" si="34"/>
        <v>1132.4246859108296</v>
      </c>
      <c r="M44" s="247">
        <f t="shared" si="34"/>
        <v>425.42492258475568</v>
      </c>
      <c r="N44" s="247">
        <f t="shared" si="34"/>
        <v>129.10081894353561</v>
      </c>
      <c r="O44" s="247">
        <f t="shared" si="34"/>
        <v>2.7879174778180182</v>
      </c>
      <c r="P44" s="247">
        <f>SUM(G44:O44)</f>
        <v>20535.391129183488</v>
      </c>
      <c r="Q44" s="248">
        <f t="shared" si="27"/>
        <v>8.5164408974291693E-3</v>
      </c>
      <c r="AD44" s="247">
        <f t="shared" ref="AD44:AL44" si="35">AD$35*AD22</f>
        <v>5.1459416720156588</v>
      </c>
      <c r="AE44" s="247">
        <f t="shared" si="35"/>
        <v>7177.2679369762391</v>
      </c>
      <c r="AF44" s="247">
        <f t="shared" si="35"/>
        <v>6369.7335356331814</v>
      </c>
      <c r="AG44" s="247">
        <f t="shared" si="35"/>
        <v>3588.8793421104142</v>
      </c>
      <c r="AH44" s="247">
        <f t="shared" si="35"/>
        <v>1874.2369029331016</v>
      </c>
      <c r="AI44" s="247">
        <f t="shared" si="35"/>
        <v>1142.6165080840267</v>
      </c>
      <c r="AJ44" s="247">
        <f t="shared" si="35"/>
        <v>429.25374688801844</v>
      </c>
      <c r="AK44" s="247">
        <f t="shared" si="35"/>
        <v>130.26272631402742</v>
      </c>
      <c r="AL44" s="247">
        <f t="shared" si="35"/>
        <v>2.8130087351183803</v>
      </c>
      <c r="AM44" s="247">
        <f>SUM(AD44:AL44)</f>
        <v>20720.209649346143</v>
      </c>
      <c r="AN44" s="248">
        <f t="shared" si="21"/>
        <v>8.5164408974291693E-3</v>
      </c>
      <c r="BA44" s="171" t="s">
        <v>1552</v>
      </c>
    </row>
    <row r="45" spans="1:53" s="171" customFormat="1" ht="15.5">
      <c r="A45" s="175" t="s">
        <v>1553</v>
      </c>
      <c r="B45" s="175" t="s">
        <v>1244</v>
      </c>
      <c r="C45" s="175" t="s">
        <v>1315</v>
      </c>
      <c r="D45" s="239" t="s">
        <v>1226</v>
      </c>
      <c r="E45" s="249" t="s">
        <v>160</v>
      </c>
      <c r="G45" s="247">
        <f>G$35*G23</f>
        <v>5.1178236234344334</v>
      </c>
      <c r="H45" s="247">
        <f t="shared" ref="H45:O45" si="36">H$35*H23</f>
        <v>10045.825001680943</v>
      </c>
      <c r="I45" s="247">
        <f t="shared" si="36"/>
        <v>9488.6808822930852</v>
      </c>
      <c r="J45" s="247">
        <f t="shared" si="36"/>
        <v>5545.3877806688779</v>
      </c>
      <c r="K45" s="247">
        <f t="shared" si="36"/>
        <v>2763.8355624087817</v>
      </c>
      <c r="L45" s="247">
        <f t="shared" si="36"/>
        <v>2469.6153355755973</v>
      </c>
      <c r="M45" s="247">
        <f t="shared" si="36"/>
        <v>854.81755826187373</v>
      </c>
      <c r="N45" s="247">
        <f t="shared" si="36"/>
        <v>232.18348903151889</v>
      </c>
      <c r="O45" s="247">
        <f t="shared" si="36"/>
        <v>8.2120825221819818</v>
      </c>
      <c r="P45" s="247">
        <f t="shared" ref="P45:P49" si="37">SUM(G45:O45)</f>
        <v>31413.675516066294</v>
      </c>
      <c r="Q45" s="248">
        <f t="shared" si="27"/>
        <v>1.3027884846244649E-2</v>
      </c>
      <c r="AD45" s="247">
        <f t="shared" ref="AD45:AL45" si="38">AD$35*AD23</f>
        <v>5.1638840360453431</v>
      </c>
      <c r="AE45" s="247">
        <f t="shared" si="38"/>
        <v>10136.237426696069</v>
      </c>
      <c r="AF45" s="247">
        <f t="shared" si="38"/>
        <v>9574.0790102337214</v>
      </c>
      <c r="AG45" s="247">
        <f t="shared" si="38"/>
        <v>5595.2962706948974</v>
      </c>
      <c r="AH45" s="247">
        <f t="shared" si="38"/>
        <v>2788.7100824704607</v>
      </c>
      <c r="AI45" s="247">
        <f t="shared" si="38"/>
        <v>2491.8418735957775</v>
      </c>
      <c r="AJ45" s="247">
        <f t="shared" si="38"/>
        <v>862.51091628623044</v>
      </c>
      <c r="AK45" s="247">
        <f t="shared" si="38"/>
        <v>234.27314043280253</v>
      </c>
      <c r="AL45" s="247">
        <f t="shared" si="38"/>
        <v>8.2859912648816181</v>
      </c>
      <c r="AM45" s="247">
        <f t="shared" ref="AM45" si="39">SUM(AD45:AL45)</f>
        <v>31696.398595710889</v>
      </c>
      <c r="AN45" s="248">
        <f t="shared" si="21"/>
        <v>1.3027884846244646E-2</v>
      </c>
      <c r="BA45" s="171" t="s">
        <v>1554</v>
      </c>
    </row>
    <row r="46" spans="1:53" s="171" customFormat="1" ht="15.5">
      <c r="A46" s="175" t="s">
        <v>1555</v>
      </c>
      <c r="B46" s="175" t="s">
        <v>1244</v>
      </c>
      <c r="C46" s="175" t="s">
        <v>1262</v>
      </c>
      <c r="D46" s="239" t="s">
        <v>1226</v>
      </c>
      <c r="E46" s="249" t="s">
        <v>160</v>
      </c>
      <c r="G46" s="247">
        <f t="shared" ref="G46:O46" si="40">G$35*G24</f>
        <v>86.219746816969035</v>
      </c>
      <c r="H46" s="247">
        <f t="shared" si="40"/>
        <v>78467.468763645302</v>
      </c>
      <c r="I46" s="247">
        <f t="shared" si="40"/>
        <v>59399.335511631558</v>
      </c>
      <c r="J46" s="247">
        <f t="shared" si="40"/>
        <v>29883.942036139608</v>
      </c>
      <c r="K46" s="247">
        <f t="shared" si="40"/>
        <v>11918.169335425147</v>
      </c>
      <c r="L46" s="247">
        <f t="shared" si="40"/>
        <v>5331.782605838901</v>
      </c>
      <c r="M46" s="247">
        <f t="shared" si="40"/>
        <v>1480.9659542923994</v>
      </c>
      <c r="N46" s="247">
        <f t="shared" si="40"/>
        <v>493.84842302534338</v>
      </c>
      <c r="O46" s="247">
        <f t="shared" si="40"/>
        <v>18.222222222222221</v>
      </c>
      <c r="P46" s="247">
        <f>SUM(G46:O46)</f>
        <v>187079.95459903745</v>
      </c>
      <c r="Q46" s="248">
        <f t="shared" si="27"/>
        <v>7.7585830550469012E-2</v>
      </c>
      <c r="AD46" s="247">
        <f t="shared" ref="AD46:AL46" si="41">AD$35*AD24</f>
        <v>86.995724538321738</v>
      </c>
      <c r="AE46" s="247">
        <f t="shared" si="41"/>
        <v>79173.675982518107</v>
      </c>
      <c r="AF46" s="247">
        <f t="shared" si="41"/>
        <v>59933.929531236245</v>
      </c>
      <c r="AG46" s="247">
        <f t="shared" si="41"/>
        <v>30152.897514464861</v>
      </c>
      <c r="AH46" s="247">
        <f t="shared" si="41"/>
        <v>12025.432859443972</v>
      </c>
      <c r="AI46" s="247">
        <f t="shared" si="41"/>
        <v>5379.7686492914499</v>
      </c>
      <c r="AJ46" s="247">
        <f t="shared" si="41"/>
        <v>1494.2946478810309</v>
      </c>
      <c r="AK46" s="247">
        <f t="shared" si="41"/>
        <v>498.29305883257143</v>
      </c>
      <c r="AL46" s="247">
        <f t="shared" si="41"/>
        <v>18.386222222222219</v>
      </c>
      <c r="AM46" s="247">
        <f>SUM(AD46:AL46)</f>
        <v>188763.67419042878</v>
      </c>
      <c r="AN46" s="248">
        <f t="shared" si="21"/>
        <v>7.7585830550468998E-2</v>
      </c>
      <c r="BA46" s="171" t="s">
        <v>1556</v>
      </c>
    </row>
    <row r="47" spans="1:53" s="171" customFormat="1" ht="15.5">
      <c r="A47" s="175" t="s">
        <v>1557</v>
      </c>
      <c r="B47" s="175" t="s">
        <v>1265</v>
      </c>
      <c r="C47" s="175" t="s">
        <v>1266</v>
      </c>
      <c r="D47" s="239" t="s">
        <v>1226</v>
      </c>
      <c r="E47" s="249" t="s">
        <v>160</v>
      </c>
      <c r="G47" s="247">
        <f t="shared" ref="G47:O47" si="42">G$35*G25</f>
        <v>0.55555555555555558</v>
      </c>
      <c r="H47" s="247">
        <f t="shared" si="42"/>
        <v>624</v>
      </c>
      <c r="I47" s="247">
        <f t="shared" si="42"/>
        <v>426.22222222222223</v>
      </c>
      <c r="J47" s="247">
        <f t="shared" si="42"/>
        <v>336</v>
      </c>
      <c r="K47" s="247">
        <f t="shared" si="42"/>
        <v>268</v>
      </c>
      <c r="L47" s="247">
        <f t="shared" si="42"/>
        <v>279.88888888888891</v>
      </c>
      <c r="M47" s="247">
        <f t="shared" si="42"/>
        <v>170.44444444444443</v>
      </c>
      <c r="N47" s="247">
        <f t="shared" si="42"/>
        <v>95</v>
      </c>
      <c r="O47" s="247">
        <f t="shared" si="42"/>
        <v>32</v>
      </c>
      <c r="P47" s="247">
        <f t="shared" si="37"/>
        <v>2232.1111111111113</v>
      </c>
      <c r="Q47" s="248">
        <f t="shared" si="27"/>
        <v>9.2570149916733433E-4</v>
      </c>
      <c r="AD47" s="247">
        <f t="shared" ref="AD47:AL47" si="43">AD$35*AD25</f>
        <v>0.56055555555555547</v>
      </c>
      <c r="AE47" s="247">
        <f t="shared" si="43"/>
        <v>629.61599999999987</v>
      </c>
      <c r="AF47" s="247">
        <f t="shared" si="43"/>
        <v>430.05822222222213</v>
      </c>
      <c r="AG47" s="247">
        <f t="shared" si="43"/>
        <v>339.02399999999994</v>
      </c>
      <c r="AH47" s="247">
        <f t="shared" si="43"/>
        <v>270.41199999999998</v>
      </c>
      <c r="AI47" s="247">
        <f t="shared" si="43"/>
        <v>282.40788888888886</v>
      </c>
      <c r="AJ47" s="247">
        <f t="shared" si="43"/>
        <v>171.97844444444442</v>
      </c>
      <c r="AK47" s="247">
        <f t="shared" si="43"/>
        <v>95.85499999999999</v>
      </c>
      <c r="AL47" s="247">
        <f t="shared" si="43"/>
        <v>32.287999999999997</v>
      </c>
      <c r="AM47" s="247">
        <f t="shared" ref="AM47:AM49" si="44">SUM(AD47:AL47)</f>
        <v>2252.2001111111108</v>
      </c>
      <c r="AN47" s="248">
        <f t="shared" si="21"/>
        <v>9.2570149916733401E-4</v>
      </c>
      <c r="BA47" s="171" t="s">
        <v>1558</v>
      </c>
    </row>
    <row r="48" spans="1:53" s="171" customFormat="1" ht="15.5">
      <c r="A48" s="175" t="s">
        <v>1559</v>
      </c>
      <c r="B48" s="175" t="s">
        <v>1265</v>
      </c>
      <c r="C48" s="175" t="s">
        <v>1269</v>
      </c>
      <c r="D48" s="239" t="s">
        <v>1226</v>
      </c>
      <c r="E48" s="249" t="s">
        <v>160</v>
      </c>
      <c r="G48" s="247">
        <f t="shared" ref="G48:O48" si="45">G$35*G26</f>
        <v>0</v>
      </c>
      <c r="H48" s="247">
        <f t="shared" si="45"/>
        <v>7.333333333333333</v>
      </c>
      <c r="I48" s="247">
        <f t="shared" si="45"/>
        <v>12.444444444444445</v>
      </c>
      <c r="J48" s="247">
        <f t="shared" si="45"/>
        <v>8</v>
      </c>
      <c r="K48" s="247">
        <f t="shared" si="45"/>
        <v>7</v>
      </c>
      <c r="L48" s="247">
        <f t="shared" si="45"/>
        <v>7.3333333333333339</v>
      </c>
      <c r="M48" s="247">
        <f t="shared" si="45"/>
        <v>4.333333333333333</v>
      </c>
      <c r="N48" s="247">
        <f t="shared" si="45"/>
        <v>0</v>
      </c>
      <c r="O48" s="247">
        <f t="shared" si="45"/>
        <v>0</v>
      </c>
      <c r="P48" s="247">
        <f t="shared" si="37"/>
        <v>46.44444444444445</v>
      </c>
      <c r="Q48" s="248">
        <f t="shared" si="27"/>
        <v>1.9261447889489061E-5</v>
      </c>
      <c r="AD48" s="247">
        <f t="shared" ref="AD48:AL48" si="46">AD$35*AD26</f>
        <v>0</v>
      </c>
      <c r="AE48" s="247">
        <f t="shared" si="46"/>
        <v>7.399333333333332</v>
      </c>
      <c r="AF48" s="247">
        <f t="shared" si="46"/>
        <v>12.556444444444443</v>
      </c>
      <c r="AG48" s="247">
        <f t="shared" si="46"/>
        <v>8.0719999999999992</v>
      </c>
      <c r="AH48" s="247">
        <f t="shared" si="46"/>
        <v>7.0629999999999988</v>
      </c>
      <c r="AI48" s="247">
        <f t="shared" si="46"/>
        <v>7.3993333333333329</v>
      </c>
      <c r="AJ48" s="247">
        <f t="shared" si="46"/>
        <v>4.3723333333333327</v>
      </c>
      <c r="AK48" s="247">
        <f t="shared" si="46"/>
        <v>0</v>
      </c>
      <c r="AL48" s="247">
        <f t="shared" si="46"/>
        <v>0</v>
      </c>
      <c r="AM48" s="247">
        <f t="shared" si="44"/>
        <v>46.862444444444435</v>
      </c>
      <c r="AN48" s="248">
        <f t="shared" si="21"/>
        <v>1.9261447889489051E-5</v>
      </c>
      <c r="BA48" s="171" t="s">
        <v>1560</v>
      </c>
    </row>
    <row r="49" spans="1:53" s="171" customFormat="1" ht="15.5">
      <c r="A49" s="175" t="s">
        <v>1561</v>
      </c>
      <c r="B49" s="175" t="s">
        <v>1265</v>
      </c>
      <c r="C49" s="175" t="s">
        <v>1272</v>
      </c>
      <c r="D49" s="239" t="s">
        <v>1226</v>
      </c>
      <c r="E49" s="249" t="s">
        <v>160</v>
      </c>
      <c r="G49" s="247">
        <f t="shared" ref="G49:O49" si="47">G$35*G27</f>
        <v>0</v>
      </c>
      <c r="H49" s="247">
        <f t="shared" si="47"/>
        <v>11.333333333333332</v>
      </c>
      <c r="I49" s="247">
        <f t="shared" si="47"/>
        <v>43.555555555555557</v>
      </c>
      <c r="J49" s="247">
        <f t="shared" si="47"/>
        <v>34.666666666666664</v>
      </c>
      <c r="K49" s="247">
        <f t="shared" si="47"/>
        <v>29</v>
      </c>
      <c r="L49" s="247">
        <f t="shared" si="47"/>
        <v>19.555555555555557</v>
      </c>
      <c r="M49" s="247">
        <f t="shared" si="47"/>
        <v>7.2222222222222223</v>
      </c>
      <c r="N49" s="247">
        <f t="shared" si="47"/>
        <v>0</v>
      </c>
      <c r="O49" s="247">
        <f t="shared" si="47"/>
        <v>0</v>
      </c>
      <c r="P49" s="247">
        <f t="shared" si="37"/>
        <v>145.33333333333331</v>
      </c>
      <c r="Q49" s="248">
        <f t="shared" si="27"/>
        <v>6.0272664687683456E-5</v>
      </c>
      <c r="AD49" s="247">
        <f t="shared" ref="AD49:AL49" si="48">AD$35*AD27</f>
        <v>0</v>
      </c>
      <c r="AE49" s="247">
        <f t="shared" si="48"/>
        <v>11.435333333333332</v>
      </c>
      <c r="AF49" s="247">
        <f t="shared" si="48"/>
        <v>43.947555555555546</v>
      </c>
      <c r="AG49" s="247">
        <f t="shared" si="48"/>
        <v>34.978666666666662</v>
      </c>
      <c r="AH49" s="247">
        <f t="shared" si="48"/>
        <v>29.260999999999996</v>
      </c>
      <c r="AI49" s="247">
        <f t="shared" si="48"/>
        <v>19.731555555555556</v>
      </c>
      <c r="AJ49" s="247">
        <f t="shared" si="48"/>
        <v>7.2872222222222218</v>
      </c>
      <c r="AK49" s="247">
        <f t="shared" si="48"/>
        <v>0</v>
      </c>
      <c r="AL49" s="247">
        <f t="shared" si="48"/>
        <v>0</v>
      </c>
      <c r="AM49" s="247">
        <f t="shared" si="44"/>
        <v>146.64133333333331</v>
      </c>
      <c r="AN49" s="248">
        <f t="shared" si="21"/>
        <v>6.0272664687683449E-5</v>
      </c>
      <c r="BA49" s="171" t="s">
        <v>1562</v>
      </c>
    </row>
    <row r="50" spans="1:53" s="171" customFormat="1" ht="15.5">
      <c r="A50" s="175" t="s">
        <v>1563</v>
      </c>
      <c r="B50" s="175" t="s">
        <v>1275</v>
      </c>
      <c r="C50" s="175" t="s">
        <v>1275</v>
      </c>
      <c r="D50" s="239" t="s">
        <v>1226</v>
      </c>
      <c r="E50" s="249" t="s">
        <v>160</v>
      </c>
      <c r="G50" s="247">
        <f t="shared" ref="G50:O50" si="49">G$35*G28</f>
        <v>2.087330860750408</v>
      </c>
      <c r="H50" s="247">
        <f t="shared" si="49"/>
        <v>23190.677110358323</v>
      </c>
      <c r="I50" s="247">
        <f t="shared" si="49"/>
        <v>15856.13233451556</v>
      </c>
      <c r="J50" s="247">
        <f t="shared" si="49"/>
        <v>12311.992787827376</v>
      </c>
      <c r="K50" s="247">
        <f t="shared" si="49"/>
        <v>11149.240799229075</v>
      </c>
      <c r="L50" s="247">
        <f t="shared" si="49"/>
        <v>12613.949077737851</v>
      </c>
      <c r="M50" s="247">
        <f t="shared" si="49"/>
        <v>6065.9030382298406</v>
      </c>
      <c r="N50" s="247">
        <f t="shared" si="49"/>
        <v>2957.9032537237849</v>
      </c>
      <c r="O50" s="247">
        <f t="shared" si="49"/>
        <v>746.46573735129778</v>
      </c>
      <c r="P50" s="247">
        <f>SUM(G50:O50)</f>
        <v>84894.351469833855</v>
      </c>
      <c r="Q50" s="248">
        <f t="shared" si="27"/>
        <v>3.5207399862520486E-2</v>
      </c>
      <c r="AD50" s="247">
        <f t="shared" ref="AD50:AL50" si="50">AD$35*AD28</f>
        <v>2.1061168384971616</v>
      </c>
      <c r="AE50" s="247">
        <f t="shared" si="50"/>
        <v>23399.393204351545</v>
      </c>
      <c r="AF50" s="247">
        <f t="shared" si="50"/>
        <v>15998.837525526198</v>
      </c>
      <c r="AG50" s="247">
        <f t="shared" si="50"/>
        <v>12422.80072291782</v>
      </c>
      <c r="AH50" s="247">
        <f t="shared" si="50"/>
        <v>11249.583966422137</v>
      </c>
      <c r="AI50" s="247">
        <f t="shared" si="50"/>
        <v>12727.474619437491</v>
      </c>
      <c r="AJ50" s="247">
        <f t="shared" si="50"/>
        <v>6120.4961655739089</v>
      </c>
      <c r="AK50" s="247">
        <f t="shared" si="50"/>
        <v>2984.5243830072986</v>
      </c>
      <c r="AL50" s="247">
        <f t="shared" si="50"/>
        <v>753.18392898745935</v>
      </c>
      <c r="AM50" s="247">
        <f>SUM(AD50:AL50)</f>
        <v>85658.400633062352</v>
      </c>
      <c r="AN50" s="248">
        <f t="shared" si="21"/>
        <v>3.5207399862520479E-2</v>
      </c>
      <c r="BA50" s="171" t="s">
        <v>1564</v>
      </c>
    </row>
    <row r="51" spans="1:53" s="171" customFormat="1" ht="15.5">
      <c r="A51" s="175" t="s">
        <v>1565</v>
      </c>
      <c r="B51" s="175" t="s">
        <v>1279</v>
      </c>
      <c r="C51" s="175" t="s">
        <v>1279</v>
      </c>
      <c r="D51" s="239" t="s">
        <v>1226</v>
      </c>
      <c r="E51" s="249" t="s">
        <v>160</v>
      </c>
      <c r="G51" s="247">
        <f t="shared" ref="G51:O51" si="51">G$35*G29</f>
        <v>2.3571135836940362</v>
      </c>
      <c r="H51" s="247">
        <f t="shared" si="51"/>
        <v>13499.989556308348</v>
      </c>
      <c r="I51" s="247">
        <f t="shared" si="51"/>
        <v>9511.0898877066593</v>
      </c>
      <c r="J51" s="247">
        <f t="shared" si="51"/>
        <v>6407.1183232837393</v>
      </c>
      <c r="K51" s="247">
        <f t="shared" si="51"/>
        <v>5178.7592007709245</v>
      </c>
      <c r="L51" s="247">
        <f t="shared" si="51"/>
        <v>5335.6064778177033</v>
      </c>
      <c r="M51" s="247">
        <f t="shared" si="51"/>
        <v>2638.3191839923807</v>
      </c>
      <c r="N51" s="247">
        <f t="shared" si="51"/>
        <v>1432.0967462762151</v>
      </c>
      <c r="O51" s="247">
        <f t="shared" si="51"/>
        <v>349.53426264870228</v>
      </c>
      <c r="P51" s="247">
        <f t="shared" ref="P51" si="52">SUM(G51:O51)</f>
        <v>44354.870752388371</v>
      </c>
      <c r="Q51" s="248">
        <f t="shared" si="27"/>
        <v>1.8394859532964974E-2</v>
      </c>
      <c r="AD51" s="247">
        <f t="shared" ref="AD51:AL51" si="53">AD$35*AD29</f>
        <v>2.3783276059472822</v>
      </c>
      <c r="AE51" s="247">
        <f t="shared" si="53"/>
        <v>13621.489462315121</v>
      </c>
      <c r="AF51" s="247">
        <f t="shared" si="53"/>
        <v>9596.6896966960176</v>
      </c>
      <c r="AG51" s="247">
        <f t="shared" si="53"/>
        <v>6464.7823881932927</v>
      </c>
      <c r="AH51" s="247">
        <f t="shared" si="53"/>
        <v>5225.3680335778627</v>
      </c>
      <c r="AI51" s="247">
        <f t="shared" si="53"/>
        <v>5383.6269361180612</v>
      </c>
      <c r="AJ51" s="247">
        <f t="shared" si="53"/>
        <v>2662.0640566483116</v>
      </c>
      <c r="AK51" s="247">
        <f t="shared" si="53"/>
        <v>1444.9856169927009</v>
      </c>
      <c r="AL51" s="247">
        <f t="shared" si="53"/>
        <v>352.68007101254057</v>
      </c>
      <c r="AM51" s="247">
        <f t="shared" ref="AM51" si="54">SUM(AD51:AL51)</f>
        <v>44754.064589159854</v>
      </c>
      <c r="AN51" s="248">
        <f t="shared" si="21"/>
        <v>1.8394859532964967E-2</v>
      </c>
      <c r="BA51" s="171" t="s">
        <v>1566</v>
      </c>
    </row>
    <row r="52" spans="1:53" s="171" customFormat="1" ht="15.5">
      <c r="A52" s="175" t="s">
        <v>1567</v>
      </c>
      <c r="B52" s="175"/>
      <c r="C52" s="175" t="s">
        <v>1533</v>
      </c>
      <c r="D52" s="239" t="s">
        <v>1226</v>
      </c>
      <c r="E52" s="249" t="s">
        <v>160</v>
      </c>
      <c r="G52" s="247">
        <f t="shared" ref="G52:P52" si="55">SUM(G38:G51)</f>
        <v>382.77777777777783</v>
      </c>
      <c r="H52" s="247">
        <f t="shared" si="55"/>
        <v>356721.99999999994</v>
      </c>
      <c r="I52" s="247">
        <f t="shared" si="55"/>
        <v>456934.33333333343</v>
      </c>
      <c r="J52" s="247">
        <f t="shared" si="55"/>
        <v>363778.66666666674</v>
      </c>
      <c r="K52" s="247">
        <f t="shared" si="55"/>
        <v>340525</v>
      </c>
      <c r="L52" s="247">
        <f t="shared" si="55"/>
        <v>403476.33333333331</v>
      </c>
      <c r="M52" s="247">
        <f t="shared" si="55"/>
        <v>276613.99999999988</v>
      </c>
      <c r="N52" s="247">
        <f t="shared" si="55"/>
        <v>191153.33333333334</v>
      </c>
      <c r="O52" s="247">
        <f t="shared" si="55"/>
        <v>21677.999999999996</v>
      </c>
      <c r="P52" s="247">
        <f t="shared" si="55"/>
        <v>2411264.444444444</v>
      </c>
      <c r="Q52" s="248">
        <f t="shared" si="27"/>
        <v>1</v>
      </c>
      <c r="AD52" s="247">
        <f t="shared" ref="AD52:AM52" si="56">SUM(AD38:AD51)</f>
        <v>386.22277777777771</v>
      </c>
      <c r="AE52" s="247">
        <f t="shared" si="56"/>
        <v>359932.49799999991</v>
      </c>
      <c r="AF52" s="247">
        <f t="shared" si="56"/>
        <v>461046.7423333333</v>
      </c>
      <c r="AG52" s="247">
        <f t="shared" si="56"/>
        <v>367052.6746666666</v>
      </c>
      <c r="AH52" s="247">
        <f t="shared" si="56"/>
        <v>343589.72500000003</v>
      </c>
      <c r="AI52" s="247">
        <f t="shared" si="56"/>
        <v>407107.62033333321</v>
      </c>
      <c r="AJ52" s="247">
        <f t="shared" si="56"/>
        <v>279103.52599999984</v>
      </c>
      <c r="AK52" s="247">
        <f t="shared" si="56"/>
        <v>192873.71333333338</v>
      </c>
      <c r="AL52" s="247">
        <f t="shared" si="56"/>
        <v>21873.101999999992</v>
      </c>
      <c r="AM52" s="247">
        <f t="shared" si="56"/>
        <v>2432965.8244444444</v>
      </c>
      <c r="AN52" s="248">
        <f t="shared" si="21"/>
        <v>1</v>
      </c>
      <c r="BA52" s="171" t="s">
        <v>1568</v>
      </c>
    </row>
    <row r="53" spans="1:53" s="171" customFormat="1" ht="15.5">
      <c r="A53" s="175" t="s">
        <v>1569</v>
      </c>
      <c r="B53" s="175"/>
      <c r="C53" s="175" t="s">
        <v>1286</v>
      </c>
      <c r="D53" s="249" t="s">
        <v>1253</v>
      </c>
      <c r="E53" s="249" t="s">
        <v>160</v>
      </c>
      <c r="G53" s="248">
        <f>IFERROR(G52/$P$52, "")</f>
        <v>1.5874566502222445E-4</v>
      </c>
      <c r="H53" s="248">
        <f t="shared" ref="H53:P53" si="57">IFERROR(H52/$P$52, "")</f>
        <v>0.14793980843614554</v>
      </c>
      <c r="I53" s="248">
        <f t="shared" si="57"/>
        <v>0.18949988433915269</v>
      </c>
      <c r="J53" s="248">
        <f t="shared" si="57"/>
        <v>0.15086635043485719</v>
      </c>
      <c r="K53" s="248">
        <f t="shared" si="57"/>
        <v>0.14122258584477118</v>
      </c>
      <c r="L53" s="248">
        <f t="shared" si="57"/>
        <v>0.16732977349827524</v>
      </c>
      <c r="M53" s="248">
        <f t="shared" si="57"/>
        <v>0.11471740506824908</v>
      </c>
      <c r="N53" s="248">
        <f t="shared" si="57"/>
        <v>7.9275142871098533E-2</v>
      </c>
      <c r="O53" s="248">
        <f t="shared" si="57"/>
        <v>8.9903038424284532E-3</v>
      </c>
      <c r="P53" s="248">
        <f t="shared" si="57"/>
        <v>1</v>
      </c>
      <c r="AD53" s="248">
        <f t="shared" ref="AD53:AM53" si="58">IFERROR(AD52/$AM$52, "")</f>
        <v>1.5874566502222437E-4</v>
      </c>
      <c r="AE53" s="248">
        <f t="shared" si="58"/>
        <v>0.14793980843614549</v>
      </c>
      <c r="AF53" s="248">
        <f t="shared" si="58"/>
        <v>0.1894998843391526</v>
      </c>
      <c r="AG53" s="248">
        <f t="shared" si="58"/>
        <v>0.1508663504348571</v>
      </c>
      <c r="AH53" s="248">
        <f t="shared" si="58"/>
        <v>0.14122258584477118</v>
      </c>
      <c r="AI53" s="248">
        <f t="shared" si="58"/>
        <v>0.16732977349827519</v>
      </c>
      <c r="AJ53" s="248">
        <f t="shared" si="58"/>
        <v>0.11471740506824905</v>
      </c>
      <c r="AK53" s="248">
        <f t="shared" si="58"/>
        <v>7.9275142871098533E-2</v>
      </c>
      <c r="AL53" s="248">
        <f t="shared" si="58"/>
        <v>8.9903038424284515E-3</v>
      </c>
      <c r="AM53" s="248">
        <f t="shared" si="58"/>
        <v>1</v>
      </c>
      <c r="BA53" s="171" t="s">
        <v>1332</v>
      </c>
    </row>
    <row r="54" spans="1:53" s="171" customFormat="1" ht="16" thickBot="1">
      <c r="D54" s="238"/>
      <c r="E54" s="238"/>
    </row>
    <row r="55" spans="1:53" s="171" customFormat="1" ht="31.5" thickBot="1">
      <c r="A55" s="240"/>
      <c r="B55" s="241"/>
      <c r="C55" s="252" t="s">
        <v>1333</v>
      </c>
      <c r="D55" s="242"/>
      <c r="E55" s="243"/>
      <c r="G55" s="258" t="s">
        <v>1204</v>
      </c>
      <c r="H55" s="259" t="s">
        <v>1334</v>
      </c>
      <c r="I55" s="259" t="s">
        <v>1335</v>
      </c>
      <c r="J55" s="451" t="s">
        <v>1220</v>
      </c>
      <c r="AD55" s="258" t="s">
        <v>1204</v>
      </c>
      <c r="AE55" s="259" t="s">
        <v>1334</v>
      </c>
      <c r="AF55" s="259" t="s">
        <v>1335</v>
      </c>
      <c r="AG55" s="451" t="s">
        <v>1220</v>
      </c>
    </row>
    <row r="56" spans="1:53" s="171" customFormat="1" ht="15.5">
      <c r="A56" s="175" t="s">
        <v>1570</v>
      </c>
      <c r="B56" s="179"/>
      <c r="C56" s="179" t="s">
        <v>1337</v>
      </c>
      <c r="D56" s="239" t="s">
        <v>1253</v>
      </c>
      <c r="E56" s="239" t="s">
        <v>210</v>
      </c>
      <c r="I56" s="254">
        <v>0.35</v>
      </c>
      <c r="AF56" s="254">
        <v>0.35</v>
      </c>
      <c r="BA56" s="171" t="s">
        <v>1338</v>
      </c>
    </row>
    <row r="57" spans="1:53" s="171" customFormat="1" ht="15.5">
      <c r="A57" s="175" t="s">
        <v>1571</v>
      </c>
      <c r="B57" s="179" t="s">
        <v>1224</v>
      </c>
      <c r="C57" s="179" t="s">
        <v>1232</v>
      </c>
      <c r="D57" s="249"/>
      <c r="E57" s="249"/>
      <c r="G57" s="255">
        <v>0</v>
      </c>
      <c r="H57" s="255">
        <v>0</v>
      </c>
      <c r="I57" s="248">
        <f t="shared" ref="I57:I58" si="59">IF(I$56*H57-G57&lt;0,0,I$56*H57-G57)</f>
        <v>0</v>
      </c>
      <c r="J57" s="248">
        <f t="shared" ref="J57:J58" si="60">G57+I57</f>
        <v>0</v>
      </c>
      <c r="AD57" s="255">
        <v>0</v>
      </c>
      <c r="AE57" s="255">
        <v>0</v>
      </c>
      <c r="AF57" s="248">
        <f t="shared" ref="AF57:AF58" si="61">IF(AF$56*AE57-AD57&lt;0,0,AF$56*AE57-AD57)</f>
        <v>0</v>
      </c>
      <c r="AG57" s="248">
        <f t="shared" ref="AG57:AG58" si="62">AD57+AF57</f>
        <v>0</v>
      </c>
      <c r="BA57" s="171" t="s">
        <v>1340</v>
      </c>
    </row>
    <row r="58" spans="1:53" s="171" customFormat="1" ht="15.5">
      <c r="A58" s="175" t="s">
        <v>1572</v>
      </c>
      <c r="B58" s="179" t="s">
        <v>1224</v>
      </c>
      <c r="C58" s="179" t="s">
        <v>1235</v>
      </c>
      <c r="D58" s="249"/>
      <c r="E58" s="249"/>
      <c r="G58" s="255">
        <v>0</v>
      </c>
      <c r="H58" s="255">
        <v>0</v>
      </c>
      <c r="I58" s="248">
        <f t="shared" si="59"/>
        <v>0</v>
      </c>
      <c r="J58" s="248">
        <f t="shared" si="60"/>
        <v>0</v>
      </c>
      <c r="AD58" s="255">
        <v>0</v>
      </c>
      <c r="AE58" s="255">
        <v>0</v>
      </c>
      <c r="AF58" s="248">
        <f t="shared" si="61"/>
        <v>0</v>
      </c>
      <c r="AG58" s="248">
        <f t="shared" si="62"/>
        <v>0</v>
      </c>
      <c r="BA58" s="171" t="s">
        <v>1342</v>
      </c>
    </row>
    <row r="59" spans="1:53" s="171" customFormat="1" ht="15.5">
      <c r="A59" s="175" t="s">
        <v>1573</v>
      </c>
      <c r="B59" s="179" t="s">
        <v>1224</v>
      </c>
      <c r="C59" s="179" t="s">
        <v>1296</v>
      </c>
      <c r="D59" s="249" t="s">
        <v>1253</v>
      </c>
      <c r="E59" s="249" t="s">
        <v>1227</v>
      </c>
      <c r="G59" s="255">
        <v>0</v>
      </c>
      <c r="H59" s="255">
        <v>0</v>
      </c>
      <c r="I59" s="248">
        <f t="shared" ref="I59:I70" si="63">IF(I$56*H59-G59&lt;0,0,I$56*H59-G59)</f>
        <v>0</v>
      </c>
      <c r="J59" s="248">
        <f>G59+I59</f>
        <v>0</v>
      </c>
      <c r="AD59" s="255">
        <v>0</v>
      </c>
      <c r="AE59" s="255">
        <v>0</v>
      </c>
      <c r="AF59" s="248">
        <f t="shared" ref="AF59:AF70" si="64">IF(AF$56*AE59-AD59&lt;0,0,AF$56*AE59-AD59)</f>
        <v>0</v>
      </c>
      <c r="AG59" s="248">
        <f>AD59+AF59</f>
        <v>0</v>
      </c>
      <c r="BA59" s="171" t="s">
        <v>1344</v>
      </c>
    </row>
    <row r="60" spans="1:53" s="171" customFormat="1" ht="15.5">
      <c r="A60" s="175" t="s">
        <v>1574</v>
      </c>
      <c r="B60" s="179" t="s">
        <v>1224</v>
      </c>
      <c r="C60" s="175" t="s">
        <v>1304</v>
      </c>
      <c r="D60" s="249" t="s">
        <v>1253</v>
      </c>
      <c r="E60" s="249" t="s">
        <v>1227</v>
      </c>
      <c r="G60" s="255">
        <v>0</v>
      </c>
      <c r="H60" s="255">
        <v>0.6</v>
      </c>
      <c r="I60" s="248">
        <f t="shared" si="63"/>
        <v>0.21</v>
      </c>
      <c r="J60" s="248">
        <f>G60+I60</f>
        <v>0.21</v>
      </c>
      <c r="AD60" s="255">
        <v>0</v>
      </c>
      <c r="AE60" s="255">
        <v>0.6</v>
      </c>
      <c r="AF60" s="248">
        <f t="shared" si="64"/>
        <v>0.21</v>
      </c>
      <c r="AG60" s="248">
        <f t="shared" ref="AG60:AG70" si="65">AD60+AF60</f>
        <v>0.21</v>
      </c>
      <c r="BA60" s="171" t="s">
        <v>1346</v>
      </c>
    </row>
    <row r="61" spans="1:53" s="171" customFormat="1" ht="15.5">
      <c r="A61" s="175" t="s">
        <v>1575</v>
      </c>
      <c r="B61" s="179" t="s">
        <v>1224</v>
      </c>
      <c r="C61" s="175" t="s">
        <v>1307</v>
      </c>
      <c r="D61" s="249" t="s">
        <v>1253</v>
      </c>
      <c r="E61" s="249" t="s">
        <v>1227</v>
      </c>
      <c r="G61" s="255">
        <v>0</v>
      </c>
      <c r="H61" s="255">
        <v>1</v>
      </c>
      <c r="I61" s="248">
        <f t="shared" si="63"/>
        <v>0.35</v>
      </c>
      <c r="J61" s="248">
        <f t="shared" ref="J61:J70" si="66">G61+I61</f>
        <v>0.35</v>
      </c>
      <c r="AD61" s="255">
        <v>0</v>
      </c>
      <c r="AE61" s="255">
        <v>1</v>
      </c>
      <c r="AF61" s="248">
        <f t="shared" si="64"/>
        <v>0.35</v>
      </c>
      <c r="AG61" s="248">
        <f t="shared" si="65"/>
        <v>0.35</v>
      </c>
      <c r="BA61" s="171" t="s">
        <v>1348</v>
      </c>
    </row>
    <row r="62" spans="1:53" s="171" customFormat="1" ht="15.5">
      <c r="A62" s="175" t="s">
        <v>1576</v>
      </c>
      <c r="B62" s="175" t="s">
        <v>1244</v>
      </c>
      <c r="C62" s="175" t="s">
        <v>1266</v>
      </c>
      <c r="D62" s="249" t="s">
        <v>1253</v>
      </c>
      <c r="E62" s="249" t="s">
        <v>1227</v>
      </c>
      <c r="G62" s="255">
        <v>0.25</v>
      </c>
      <c r="H62" s="255">
        <v>0</v>
      </c>
      <c r="I62" s="248">
        <f t="shared" si="63"/>
        <v>0</v>
      </c>
      <c r="J62" s="248">
        <f t="shared" si="66"/>
        <v>0.25</v>
      </c>
      <c r="AD62" s="255">
        <v>0.25</v>
      </c>
      <c r="AE62" s="255">
        <v>0</v>
      </c>
      <c r="AF62" s="248">
        <f t="shared" si="64"/>
        <v>0</v>
      </c>
      <c r="AG62" s="248">
        <f t="shared" si="65"/>
        <v>0.25</v>
      </c>
      <c r="BA62" s="171" t="s">
        <v>1350</v>
      </c>
    </row>
    <row r="63" spans="1:53" s="171" customFormat="1" ht="15.5">
      <c r="A63" s="175" t="s">
        <v>1577</v>
      </c>
      <c r="B63" s="175" t="s">
        <v>1244</v>
      </c>
      <c r="C63" s="175" t="s">
        <v>1312</v>
      </c>
      <c r="D63" s="249" t="s">
        <v>1253</v>
      </c>
      <c r="E63" s="249" t="s">
        <v>1227</v>
      </c>
      <c r="G63" s="255">
        <v>0.25</v>
      </c>
      <c r="H63" s="255">
        <v>0.85</v>
      </c>
      <c r="I63" s="248">
        <f t="shared" si="63"/>
        <v>4.7499999999999987E-2</v>
      </c>
      <c r="J63" s="248">
        <f t="shared" si="66"/>
        <v>0.29749999999999999</v>
      </c>
      <c r="AD63" s="255">
        <v>0.25</v>
      </c>
      <c r="AE63" s="255">
        <v>0.85</v>
      </c>
      <c r="AF63" s="248">
        <f t="shared" si="64"/>
        <v>4.7499999999999987E-2</v>
      </c>
      <c r="AG63" s="248">
        <f t="shared" si="65"/>
        <v>0.29749999999999999</v>
      </c>
      <c r="BA63" s="171" t="s">
        <v>1352</v>
      </c>
    </row>
    <row r="64" spans="1:53" s="171" customFormat="1" ht="15.5">
      <c r="A64" s="175" t="s">
        <v>1578</v>
      </c>
      <c r="B64" s="175" t="s">
        <v>1244</v>
      </c>
      <c r="C64" s="175" t="s">
        <v>1315</v>
      </c>
      <c r="D64" s="249" t="s">
        <v>1253</v>
      </c>
      <c r="E64" s="249" t="s">
        <v>1227</v>
      </c>
      <c r="G64" s="255">
        <v>0.25</v>
      </c>
      <c r="H64" s="255">
        <v>0.4</v>
      </c>
      <c r="I64" s="248">
        <f t="shared" si="63"/>
        <v>0</v>
      </c>
      <c r="J64" s="248">
        <f t="shared" si="66"/>
        <v>0.25</v>
      </c>
      <c r="AD64" s="255">
        <v>0.25</v>
      </c>
      <c r="AE64" s="255">
        <v>0.4</v>
      </c>
      <c r="AF64" s="248">
        <f t="shared" si="64"/>
        <v>0</v>
      </c>
      <c r="AG64" s="248">
        <f t="shared" si="65"/>
        <v>0.25</v>
      </c>
      <c r="BA64" s="171" t="s">
        <v>1354</v>
      </c>
    </row>
    <row r="65" spans="1:53" s="171" customFormat="1" ht="15.5">
      <c r="A65" s="175" t="s">
        <v>1579</v>
      </c>
      <c r="B65" s="175" t="s">
        <v>1244</v>
      </c>
      <c r="C65" s="175" t="s">
        <v>1580</v>
      </c>
      <c r="D65" s="249" t="s">
        <v>1253</v>
      </c>
      <c r="E65" s="249" t="s">
        <v>1227</v>
      </c>
      <c r="G65" s="255">
        <v>0.25</v>
      </c>
      <c r="H65" s="255">
        <v>1</v>
      </c>
      <c r="I65" s="248">
        <f t="shared" si="63"/>
        <v>9.9999999999999978E-2</v>
      </c>
      <c r="J65" s="248">
        <f t="shared" si="66"/>
        <v>0.35</v>
      </c>
      <c r="AD65" s="255">
        <v>0.25</v>
      </c>
      <c r="AE65" s="255">
        <v>1</v>
      </c>
      <c r="AF65" s="248">
        <f t="shared" si="64"/>
        <v>9.9999999999999978E-2</v>
      </c>
      <c r="AG65" s="248">
        <f t="shared" si="65"/>
        <v>0.35</v>
      </c>
      <c r="BA65" s="171" t="s">
        <v>1356</v>
      </c>
    </row>
    <row r="66" spans="1:53" s="171" customFormat="1" ht="15.5">
      <c r="A66" s="175" t="s">
        <v>1581</v>
      </c>
      <c r="B66" s="175" t="s">
        <v>1265</v>
      </c>
      <c r="C66" s="175" t="s">
        <v>1582</v>
      </c>
      <c r="D66" s="249" t="s">
        <v>1253</v>
      </c>
      <c r="E66" s="249" t="s">
        <v>1227</v>
      </c>
      <c r="G66" s="255">
        <v>0.5</v>
      </c>
      <c r="H66" s="255">
        <v>0</v>
      </c>
      <c r="I66" s="248">
        <f t="shared" si="63"/>
        <v>0</v>
      </c>
      <c r="J66" s="248">
        <f t="shared" si="66"/>
        <v>0.5</v>
      </c>
      <c r="AD66" s="255">
        <v>0.5</v>
      </c>
      <c r="AE66" s="255">
        <v>0</v>
      </c>
      <c r="AF66" s="248">
        <f t="shared" si="64"/>
        <v>0</v>
      </c>
      <c r="AG66" s="248">
        <f t="shared" si="65"/>
        <v>0.5</v>
      </c>
      <c r="BA66" s="171" t="s">
        <v>1358</v>
      </c>
    </row>
    <row r="67" spans="1:53" s="171" customFormat="1" ht="15.5">
      <c r="A67" s="175" t="s">
        <v>1583</v>
      </c>
      <c r="B67" s="175" t="s">
        <v>1265</v>
      </c>
      <c r="C67" s="175" t="s">
        <v>1269</v>
      </c>
      <c r="D67" s="249" t="s">
        <v>1253</v>
      </c>
      <c r="E67" s="249" t="s">
        <v>1227</v>
      </c>
      <c r="G67" s="255">
        <v>0.5</v>
      </c>
      <c r="H67" s="255">
        <v>0.6</v>
      </c>
      <c r="I67" s="248">
        <f t="shared" si="63"/>
        <v>0</v>
      </c>
      <c r="J67" s="248">
        <f t="shared" si="66"/>
        <v>0.5</v>
      </c>
      <c r="AD67" s="255">
        <v>0.5</v>
      </c>
      <c r="AE67" s="255">
        <v>0.6</v>
      </c>
      <c r="AF67" s="248">
        <f t="shared" si="64"/>
        <v>0</v>
      </c>
      <c r="AG67" s="248">
        <f t="shared" si="65"/>
        <v>0.5</v>
      </c>
      <c r="BA67" s="171" t="s">
        <v>1360</v>
      </c>
    </row>
    <row r="68" spans="1:53" s="171" customFormat="1" ht="15.5">
      <c r="A68" s="175" t="s">
        <v>1584</v>
      </c>
      <c r="B68" s="175" t="s">
        <v>1265</v>
      </c>
      <c r="C68" s="175" t="s">
        <v>1272</v>
      </c>
      <c r="D68" s="249" t="s">
        <v>1253</v>
      </c>
      <c r="E68" s="249" t="s">
        <v>1227</v>
      </c>
      <c r="G68" s="255">
        <v>0.5</v>
      </c>
      <c r="H68" s="255">
        <v>1</v>
      </c>
      <c r="I68" s="248">
        <f t="shared" si="63"/>
        <v>0</v>
      </c>
      <c r="J68" s="248">
        <f t="shared" si="66"/>
        <v>0.5</v>
      </c>
      <c r="AD68" s="255">
        <v>0.5</v>
      </c>
      <c r="AE68" s="255">
        <v>1</v>
      </c>
      <c r="AF68" s="248">
        <f t="shared" si="64"/>
        <v>0</v>
      </c>
      <c r="AG68" s="248">
        <f t="shared" si="65"/>
        <v>0.5</v>
      </c>
      <c r="BA68" s="171" t="s">
        <v>1362</v>
      </c>
    </row>
    <row r="69" spans="1:53" s="171" customFormat="1" ht="15.5">
      <c r="A69" s="175" t="s">
        <v>1585</v>
      </c>
      <c r="B69" s="175" t="s">
        <v>1275</v>
      </c>
      <c r="C69" s="175" t="s">
        <v>1275</v>
      </c>
      <c r="D69" s="249" t="s">
        <v>1253</v>
      </c>
      <c r="E69" s="249" t="s">
        <v>1227</v>
      </c>
      <c r="G69" s="255">
        <v>1</v>
      </c>
      <c r="H69" s="255">
        <v>0</v>
      </c>
      <c r="I69" s="248">
        <f t="shared" si="63"/>
        <v>0</v>
      </c>
      <c r="J69" s="248">
        <f t="shared" si="66"/>
        <v>1</v>
      </c>
      <c r="AD69" s="255">
        <v>1</v>
      </c>
      <c r="AE69" s="255">
        <v>0</v>
      </c>
      <c r="AF69" s="248">
        <f t="shared" si="64"/>
        <v>0</v>
      </c>
      <c r="AG69" s="248">
        <f t="shared" si="65"/>
        <v>1</v>
      </c>
      <c r="BA69" s="171" t="s">
        <v>1364</v>
      </c>
    </row>
    <row r="70" spans="1:53" s="171" customFormat="1" ht="15.5">
      <c r="A70" s="175" t="s">
        <v>1586</v>
      </c>
      <c r="B70" s="175" t="s">
        <v>1279</v>
      </c>
      <c r="C70" s="175" t="s">
        <v>1279</v>
      </c>
      <c r="D70" s="249" t="s">
        <v>1253</v>
      </c>
      <c r="E70" s="249" t="s">
        <v>1227</v>
      </c>
      <c r="G70" s="255">
        <v>1</v>
      </c>
      <c r="H70" s="255">
        <v>0</v>
      </c>
      <c r="I70" s="248">
        <f t="shared" si="63"/>
        <v>0</v>
      </c>
      <c r="J70" s="248">
        <f t="shared" si="66"/>
        <v>1</v>
      </c>
      <c r="AD70" s="255">
        <v>1</v>
      </c>
      <c r="AE70" s="255">
        <v>0</v>
      </c>
      <c r="AF70" s="248">
        <f t="shared" si="64"/>
        <v>0</v>
      </c>
      <c r="AG70" s="248">
        <f t="shared" si="65"/>
        <v>1</v>
      </c>
      <c r="BA70" s="171" t="s">
        <v>1366</v>
      </c>
    </row>
    <row r="71" spans="1:53" s="171" customFormat="1" ht="16" thickBot="1">
      <c r="D71" s="238"/>
      <c r="E71" s="238"/>
    </row>
    <row r="72" spans="1:53" s="171" customFormat="1" ht="47" thickBot="1">
      <c r="A72" s="240"/>
      <c r="B72" s="241"/>
      <c r="C72" s="256" t="s">
        <v>1587</v>
      </c>
      <c r="D72" s="256"/>
      <c r="E72" s="257"/>
      <c r="G72" s="258" t="s">
        <v>1211</v>
      </c>
      <c r="H72" s="259" t="s">
        <v>1212</v>
      </c>
      <c r="I72" s="259" t="s">
        <v>1213</v>
      </c>
      <c r="J72" s="259" t="s">
        <v>1214</v>
      </c>
      <c r="K72" s="259" t="s">
        <v>1215</v>
      </c>
      <c r="L72" s="259" t="s">
        <v>1216</v>
      </c>
      <c r="M72" s="259" t="s">
        <v>1217</v>
      </c>
      <c r="N72" s="259" t="s">
        <v>1218</v>
      </c>
      <c r="O72" s="67" t="s">
        <v>1219</v>
      </c>
      <c r="P72" s="67" t="s">
        <v>1220</v>
      </c>
      <c r="Q72" s="68" t="s">
        <v>1221</v>
      </c>
      <c r="AD72" s="258" t="s">
        <v>1211</v>
      </c>
      <c r="AE72" s="259" t="s">
        <v>1212</v>
      </c>
      <c r="AF72" s="259" t="s">
        <v>1213</v>
      </c>
      <c r="AG72" s="259" t="s">
        <v>1214</v>
      </c>
      <c r="AH72" s="259" t="s">
        <v>1215</v>
      </c>
      <c r="AI72" s="259" t="s">
        <v>1216</v>
      </c>
      <c r="AJ72" s="259" t="s">
        <v>1217</v>
      </c>
      <c r="AK72" s="259" t="s">
        <v>1218</v>
      </c>
      <c r="AL72" s="67" t="s">
        <v>1219</v>
      </c>
      <c r="AM72" s="67" t="s">
        <v>1220</v>
      </c>
      <c r="AN72" s="68" t="s">
        <v>1221</v>
      </c>
      <c r="BA72" s="171" t="s">
        <v>1397</v>
      </c>
    </row>
    <row r="73" spans="1:53" s="171" customFormat="1" ht="15.5">
      <c r="A73" s="175" t="s">
        <v>1588</v>
      </c>
      <c r="B73" s="179" t="s">
        <v>1224</v>
      </c>
      <c r="C73" s="179" t="s">
        <v>1589</v>
      </c>
      <c r="D73" s="239" t="s">
        <v>1226</v>
      </c>
      <c r="E73" s="249" t="s">
        <v>160</v>
      </c>
      <c r="G73" s="260">
        <f>(1-$J59)*G38</f>
        <v>137.30994152046785</v>
      </c>
      <c r="H73" s="260">
        <f>(1-$J59)*H38</f>
        <v>67609.628113610466</v>
      </c>
      <c r="I73" s="260">
        <f t="shared" ref="I73:O73" si="67">(1-$J59)*I38</f>
        <v>160135.34689536944</v>
      </c>
      <c r="J73" s="260">
        <f t="shared" si="67"/>
        <v>159007.38065141806</v>
      </c>
      <c r="K73" s="260">
        <f t="shared" si="67"/>
        <v>187069.96132598346</v>
      </c>
      <c r="L73" s="260">
        <f t="shared" si="67"/>
        <v>264347.82852629258</v>
      </c>
      <c r="M73" s="260">
        <f t="shared" si="67"/>
        <v>206456.12046031791</v>
      </c>
      <c r="N73" s="260">
        <f t="shared" si="67"/>
        <v>151825.74011077452</v>
      </c>
      <c r="O73" s="260">
        <f t="shared" si="67"/>
        <v>17261.06533592362</v>
      </c>
      <c r="P73" s="260">
        <f>SUM(G73:O73)</f>
        <v>1213850.3813612105</v>
      </c>
      <c r="Q73" s="261">
        <f>IFERROR(P73/$P$87, "")</f>
        <v>0.60692038031183337</v>
      </c>
      <c r="AD73" s="260">
        <f>(1-$AG59)*AD38</f>
        <v>138.54573099415205</v>
      </c>
      <c r="AE73" s="260">
        <f>(1-$AG59)*AE38</f>
        <v>68218.114766632963</v>
      </c>
      <c r="AF73" s="260">
        <f>(1-$AG59)*AF38</f>
        <v>161576.56501742775</v>
      </c>
      <c r="AG73" s="260">
        <f t="shared" ref="AG73:AL73" si="68">(1-$AG59)*AG38</f>
        <v>160438.44707728081</v>
      </c>
      <c r="AH73" s="260">
        <f t="shared" si="68"/>
        <v>188753.59097791728</v>
      </c>
      <c r="AI73" s="260">
        <f t="shared" si="68"/>
        <v>266726.95898302918</v>
      </c>
      <c r="AJ73" s="260">
        <f t="shared" si="68"/>
        <v>208314.22554446076</v>
      </c>
      <c r="AK73" s="260">
        <f t="shared" si="68"/>
        <v>153192.17177177148</v>
      </c>
      <c r="AL73" s="260">
        <f t="shared" si="68"/>
        <v>17416.41492394693</v>
      </c>
      <c r="AM73" s="260">
        <f>SUM(AD73:AL73)</f>
        <v>1224775.0347934614</v>
      </c>
      <c r="AN73" s="261">
        <f t="shared" ref="AN73:AN87" si="69">IFERROR(AM73/$AM$87, "")</f>
        <v>0.60692038031183337</v>
      </c>
      <c r="BA73" s="171" t="s">
        <v>1590</v>
      </c>
    </row>
    <row r="74" spans="1:53" s="171" customFormat="1" ht="15.5">
      <c r="A74" s="175" t="s">
        <v>1591</v>
      </c>
      <c r="B74" s="179" t="s">
        <v>1224</v>
      </c>
      <c r="C74" s="179" t="s">
        <v>1232</v>
      </c>
      <c r="D74" s="239"/>
      <c r="E74" s="249"/>
      <c r="G74" s="260">
        <f>(1-$J57)*G39</f>
        <v>0</v>
      </c>
      <c r="H74" s="260">
        <f t="shared" ref="H74:O74" si="70">(1-$J57)*H39</f>
        <v>1555.391343199025</v>
      </c>
      <c r="I74" s="260">
        <f t="shared" si="70"/>
        <v>2188.5889737958782</v>
      </c>
      <c r="J74" s="260">
        <f t="shared" si="70"/>
        <v>2728.7740297289288</v>
      </c>
      <c r="K74" s="260">
        <f t="shared" si="70"/>
        <v>2858.904669686096</v>
      </c>
      <c r="L74" s="260">
        <f t="shared" si="70"/>
        <v>3671.5559093775528</v>
      </c>
      <c r="M74" s="260">
        <f t="shared" si="70"/>
        <v>2415.0360097552038</v>
      </c>
      <c r="N74" s="260">
        <f t="shared" si="70"/>
        <v>1801.478132405279</v>
      </c>
      <c r="O74" s="260">
        <f t="shared" si="70"/>
        <v>375.73466414795894</v>
      </c>
      <c r="P74" s="260">
        <f t="shared" ref="P74:P75" si="71">SUM(G74:O74)</f>
        <v>17595.463732095923</v>
      </c>
      <c r="Q74" s="261">
        <f t="shared" ref="Q74:Q75" si="72">IFERROR(P74/$P$87, "")</f>
        <v>8.7976621369688559E-3</v>
      </c>
      <c r="AD74" s="260">
        <f>(1-$AG57)*AD39</f>
        <v>0</v>
      </c>
      <c r="AE74" s="260">
        <f t="shared" ref="AE74:AL74" si="73">(1-$AG57)*AE39</f>
        <v>1569.3898652878161</v>
      </c>
      <c r="AF74" s="260">
        <f t="shared" si="73"/>
        <v>2208.286274560041</v>
      </c>
      <c r="AG74" s="260">
        <f t="shared" si="73"/>
        <v>2753.332995996489</v>
      </c>
      <c r="AH74" s="260">
        <f t="shared" si="73"/>
        <v>2884.6348117132707</v>
      </c>
      <c r="AI74" s="260">
        <f t="shared" si="73"/>
        <v>3704.5999125619505</v>
      </c>
      <c r="AJ74" s="260">
        <f t="shared" si="73"/>
        <v>2436.7713338430008</v>
      </c>
      <c r="AK74" s="260">
        <f t="shared" si="73"/>
        <v>1817.6914355969266</v>
      </c>
      <c r="AL74" s="260">
        <f t="shared" si="73"/>
        <v>379.11627612529054</v>
      </c>
      <c r="AM74" s="260">
        <f t="shared" ref="AM74" si="74">SUM(AD74:AL74)</f>
        <v>17753.822905684785</v>
      </c>
      <c r="AN74" s="261">
        <f t="shared" si="69"/>
        <v>8.7976621369688559E-3</v>
      </c>
      <c r="BA74" s="171" t="s">
        <v>1592</v>
      </c>
    </row>
    <row r="75" spans="1:53" s="171" customFormat="1" ht="15.5">
      <c r="A75" s="175" t="s">
        <v>1593</v>
      </c>
      <c r="B75" s="179" t="s">
        <v>1224</v>
      </c>
      <c r="C75" s="179" t="s">
        <v>1235</v>
      </c>
      <c r="D75" s="239"/>
      <c r="E75" s="249"/>
      <c r="G75" s="260">
        <f>(1-$J58)*G40</f>
        <v>0.46783625730994149</v>
      </c>
      <c r="H75" s="260">
        <f t="shared" ref="H75:O75" si="75">(1-$J58)*H40</f>
        <v>5827.4947297887056</v>
      </c>
      <c r="I75" s="260">
        <f t="shared" si="75"/>
        <v>6182.4839867756891</v>
      </c>
      <c r="J75" s="260">
        <f t="shared" si="75"/>
        <v>4700.2788385071544</v>
      </c>
      <c r="K75" s="260">
        <f t="shared" si="75"/>
        <v>3975.298790458769</v>
      </c>
      <c r="L75" s="260">
        <f t="shared" si="75"/>
        <v>3818.366539489964</v>
      </c>
      <c r="M75" s="260">
        <f t="shared" si="75"/>
        <v>2085.5685711891169</v>
      </c>
      <c r="N75" s="260">
        <f t="shared" si="75"/>
        <v>1361.8350544160562</v>
      </c>
      <c r="O75" s="260">
        <f t="shared" si="75"/>
        <v>331.1999999284173</v>
      </c>
      <c r="P75" s="260">
        <f t="shared" si="71"/>
        <v>28282.994346811181</v>
      </c>
      <c r="Q75" s="261">
        <f t="shared" si="72"/>
        <v>1.4141385090701767E-2</v>
      </c>
      <c r="AD75" s="260">
        <f>(1-$AG58)*AD40</f>
        <v>0.47204678362573099</v>
      </c>
      <c r="AE75" s="260">
        <f t="shared" ref="AE75:AL75" si="76">(1-$AG58)*AE40</f>
        <v>5879.9421823568027</v>
      </c>
      <c r="AF75" s="260">
        <f t="shared" si="76"/>
        <v>6238.1263426566693</v>
      </c>
      <c r="AG75" s="260">
        <f t="shared" si="76"/>
        <v>4742.5813480537181</v>
      </c>
      <c r="AH75" s="260">
        <f t="shared" si="76"/>
        <v>4011.0764795728974</v>
      </c>
      <c r="AI75" s="260">
        <f t="shared" si="76"/>
        <v>3852.7318383453735</v>
      </c>
      <c r="AJ75" s="260">
        <f t="shared" si="76"/>
        <v>2104.338688329819</v>
      </c>
      <c r="AK75" s="260">
        <f t="shared" si="76"/>
        <v>1374.0915699058005</v>
      </c>
      <c r="AL75" s="260">
        <f t="shared" si="76"/>
        <v>334.18079992777302</v>
      </c>
      <c r="AM75" s="260">
        <f>SUM(AD75:AL75)</f>
        <v>28537.541295932482</v>
      </c>
      <c r="AN75" s="261">
        <f t="shared" si="69"/>
        <v>1.4141385090701765E-2</v>
      </c>
      <c r="BA75" s="171" t="s">
        <v>1594</v>
      </c>
    </row>
    <row r="76" spans="1:53" s="171" customFormat="1" ht="15.5">
      <c r="A76" s="175" t="s">
        <v>1595</v>
      </c>
      <c r="B76" s="179" t="s">
        <v>1224</v>
      </c>
      <c r="C76" s="175" t="s">
        <v>1304</v>
      </c>
      <c r="D76" s="239" t="s">
        <v>1226</v>
      </c>
      <c r="E76" s="249" t="s">
        <v>160</v>
      </c>
      <c r="G76" s="247">
        <f t="shared" ref="G76:G86" si="77">(1-$J60)*G41</f>
        <v>18.700108932461877</v>
      </c>
      <c r="H76" s="247">
        <f t="shared" ref="H76:O76" si="78">(1-$J60)*H41</f>
        <v>17108.510438189787</v>
      </c>
      <c r="I76" s="247">
        <f t="shared" si="78"/>
        <v>17673.631311139972</v>
      </c>
      <c r="J76" s="247">
        <f t="shared" si="78"/>
        <v>10523.246036966493</v>
      </c>
      <c r="K76" s="247">
        <f t="shared" si="78"/>
        <v>6126.3402983903452</v>
      </c>
      <c r="L76" s="247">
        <f t="shared" si="78"/>
        <v>5125.33763150919</v>
      </c>
      <c r="M76" s="247">
        <f t="shared" si="78"/>
        <v>2249.9697116700813</v>
      </c>
      <c r="N76" s="247">
        <f>(1-$J60)*N41</f>
        <v>930.21623506877802</v>
      </c>
      <c r="O76" s="247">
        <f t="shared" si="78"/>
        <v>41.870000000000005</v>
      </c>
      <c r="P76" s="247">
        <f t="shared" ref="P76:P78" si="79">SUM(G76:O76)</f>
        <v>59797.821771867115</v>
      </c>
      <c r="Q76" s="248">
        <f t="shared" ref="Q76:Q87" si="80">IFERROR(P76/$P$87, "")</f>
        <v>2.9898673913091686E-2</v>
      </c>
      <c r="AD76" s="247">
        <f t="shared" ref="AD76:AD81" si="81">(1-$AG60)*AD41</f>
        <v>18.86840991285403</v>
      </c>
      <c r="AE76" s="247">
        <f t="shared" ref="AE76:AL76" si="82">(1-$AG60)*AE41</f>
        <v>17262.487032133497</v>
      </c>
      <c r="AF76" s="247">
        <f t="shared" si="82"/>
        <v>17832.693992940232</v>
      </c>
      <c r="AG76" s="247">
        <f t="shared" si="82"/>
        <v>10617.95525129919</v>
      </c>
      <c r="AH76" s="247">
        <f t="shared" si="82"/>
        <v>6181.4773610758575</v>
      </c>
      <c r="AI76" s="247">
        <f t="shared" si="82"/>
        <v>5171.4656701927724</v>
      </c>
      <c r="AJ76" s="247">
        <f t="shared" si="82"/>
        <v>2270.2194390751124</v>
      </c>
      <c r="AK76" s="247">
        <f t="shared" si="82"/>
        <v>938.58818118439672</v>
      </c>
      <c r="AL76" s="247">
        <f t="shared" si="82"/>
        <v>42.246830000000003</v>
      </c>
      <c r="AM76" s="247">
        <f t="shared" ref="AM76:AM78" si="83">SUM(AD76:AL76)</f>
        <v>60336.002167813902</v>
      </c>
      <c r="AN76" s="261">
        <f t="shared" si="69"/>
        <v>2.9898673913091676E-2</v>
      </c>
      <c r="BA76" s="171" t="s">
        <v>1596</v>
      </c>
    </row>
    <row r="77" spans="1:53" s="171" customFormat="1" ht="15.5">
      <c r="A77" s="175" t="s">
        <v>1597</v>
      </c>
      <c r="B77" s="179" t="s">
        <v>1224</v>
      </c>
      <c r="C77" s="175" t="s">
        <v>1307</v>
      </c>
      <c r="D77" s="239" t="s">
        <v>1226</v>
      </c>
      <c r="E77" s="249" t="s">
        <v>160</v>
      </c>
      <c r="G77" s="247">
        <f t="shared" si="77"/>
        <v>30.262720124525679</v>
      </c>
      <c r="H77" s="247">
        <f t="shared" ref="H77:O77" si="84">(1-$J61)*H42</f>
        <v>19104.757331333905</v>
      </c>
      <c r="I77" s="247">
        <f t="shared" si="84"/>
        <v>18816.969267375356</v>
      </c>
      <c r="J77" s="247">
        <f t="shared" si="84"/>
        <v>11325.545163784656</v>
      </c>
      <c r="K77" s="247">
        <f>(1-$J61)*K42</f>
        <v>5741.7424668308122</v>
      </c>
      <c r="L77" s="247">
        <f t="shared" si="84"/>
        <v>2969.3383195196679</v>
      </c>
      <c r="M77" s="247">
        <f t="shared" si="84"/>
        <v>1114.1745605543322</v>
      </c>
      <c r="N77" s="247">
        <f t="shared" si="84"/>
        <v>441.99462639804921</v>
      </c>
      <c r="O77" s="247">
        <f t="shared" si="84"/>
        <v>34.955555555555556</v>
      </c>
      <c r="P77" s="247">
        <f t="shared" si="79"/>
        <v>59579.740011476861</v>
      </c>
      <c r="Q77" s="248">
        <f t="shared" si="80"/>
        <v>2.9789633897132965E-2</v>
      </c>
      <c r="AD77" s="247">
        <f t="shared" si="81"/>
        <v>30.535084605646407</v>
      </c>
      <c r="AE77" s="247">
        <f t="shared" ref="AE77:AL77" si="85">(1-$AG61)*AE42</f>
        <v>19276.700147315911</v>
      </c>
      <c r="AF77" s="247">
        <f t="shared" si="85"/>
        <v>18986.321990781733</v>
      </c>
      <c r="AG77" s="247">
        <f t="shared" si="85"/>
        <v>11427.475070258719</v>
      </c>
      <c r="AH77" s="247">
        <f t="shared" si="85"/>
        <v>5793.4181490322881</v>
      </c>
      <c r="AI77" s="247">
        <f t="shared" si="85"/>
        <v>2996.062364395345</v>
      </c>
      <c r="AJ77" s="247">
        <f t="shared" si="85"/>
        <v>1124.2021315993211</v>
      </c>
      <c r="AK77" s="247">
        <f t="shared" si="85"/>
        <v>445.97257803563156</v>
      </c>
      <c r="AL77" s="247">
        <f t="shared" si="85"/>
        <v>35.270155555555554</v>
      </c>
      <c r="AM77" s="247">
        <f t="shared" si="83"/>
        <v>60115.957671580145</v>
      </c>
      <c r="AN77" s="261">
        <f t="shared" si="69"/>
        <v>2.9789633897132958E-2</v>
      </c>
      <c r="BA77" s="171" t="s">
        <v>1598</v>
      </c>
    </row>
    <row r="78" spans="1:53" s="171" customFormat="1" ht="15.5">
      <c r="A78" s="175" t="s">
        <v>1599</v>
      </c>
      <c r="B78" s="175" t="s">
        <v>1244</v>
      </c>
      <c r="C78" s="175" t="s">
        <v>1266</v>
      </c>
      <c r="D78" s="239" t="s">
        <v>1226</v>
      </c>
      <c r="E78" s="249" t="s">
        <v>160</v>
      </c>
      <c r="G78" s="247">
        <f t="shared" si="77"/>
        <v>55.000000000000007</v>
      </c>
      <c r="H78" s="247">
        <f t="shared" ref="H78:O78" si="86">(1-$J62)*H43</f>
        <v>73291</v>
      </c>
      <c r="I78" s="247">
        <f t="shared" si="86"/>
        <v>102042.5</v>
      </c>
      <c r="J78" s="247">
        <f t="shared" si="86"/>
        <v>81385.333333333328</v>
      </c>
      <c r="K78" s="247">
        <f t="shared" si="86"/>
        <v>72645.75</v>
      </c>
      <c r="L78" s="247">
        <f t="shared" si="86"/>
        <v>70044.333333333343</v>
      </c>
      <c r="M78" s="247">
        <f t="shared" si="86"/>
        <v>37085.75</v>
      </c>
      <c r="N78" s="247">
        <f t="shared" si="86"/>
        <v>21725</v>
      </c>
      <c r="O78" s="247">
        <f t="shared" si="86"/>
        <v>1834.5</v>
      </c>
      <c r="P78" s="247">
        <f t="shared" si="79"/>
        <v>460109.16666666663</v>
      </c>
      <c r="Q78" s="248">
        <f t="shared" si="80"/>
        <v>0.23005275996630145</v>
      </c>
      <c r="AD78" s="247">
        <f t="shared" si="81"/>
        <v>55.49499999999999</v>
      </c>
      <c r="AE78" s="247">
        <f t="shared" ref="AE78:AL78" si="87">(1-$AG62)*AE43</f>
        <v>73950.618999999977</v>
      </c>
      <c r="AF78" s="247">
        <f t="shared" si="87"/>
        <v>102960.88250000001</v>
      </c>
      <c r="AG78" s="247">
        <f t="shared" si="87"/>
        <v>82117.801333333322</v>
      </c>
      <c r="AH78" s="247">
        <f t="shared" si="87"/>
        <v>73299.561749999993</v>
      </c>
      <c r="AI78" s="247">
        <f t="shared" si="87"/>
        <v>70674.732333333333</v>
      </c>
      <c r="AJ78" s="247">
        <f t="shared" si="87"/>
        <v>37419.521749999993</v>
      </c>
      <c r="AK78" s="247">
        <f t="shared" si="87"/>
        <v>21920.524999999998</v>
      </c>
      <c r="AL78" s="247">
        <f t="shared" si="87"/>
        <v>1851.0104999999999</v>
      </c>
      <c r="AM78" s="247">
        <f t="shared" si="83"/>
        <v>464250.14916666667</v>
      </c>
      <c r="AN78" s="261">
        <f t="shared" si="69"/>
        <v>0.23005275996630145</v>
      </c>
      <c r="BA78" s="171" t="s">
        <v>1600</v>
      </c>
    </row>
    <row r="79" spans="1:53" s="171" customFormat="1" ht="15.5">
      <c r="A79" s="175" t="s">
        <v>1601</v>
      </c>
      <c r="B79" s="175" t="s">
        <v>1244</v>
      </c>
      <c r="C79" s="175" t="s">
        <v>1312</v>
      </c>
      <c r="D79" s="239" t="s">
        <v>1226</v>
      </c>
      <c r="E79" s="249" t="s">
        <v>160</v>
      </c>
      <c r="G79" s="247">
        <f t="shared" si="77"/>
        <v>3.5827790134697723</v>
      </c>
      <c r="H79" s="247">
        <f t="shared" ref="H79:O79" si="88">(1-$J63)*H44</f>
        <v>4997.0572108283532</v>
      </c>
      <c r="I79" s="247">
        <f t="shared" si="88"/>
        <v>4434.8243892788005</v>
      </c>
      <c r="J79" s="247">
        <f t="shared" si="88"/>
        <v>2498.6994428469434</v>
      </c>
      <c r="K79" s="247">
        <f t="shared" si="88"/>
        <v>1304.907258979687</v>
      </c>
      <c r="L79" s="247">
        <f t="shared" si="88"/>
        <v>795.52834185235781</v>
      </c>
      <c r="M79" s="247">
        <f t="shared" si="88"/>
        <v>298.86100811579087</v>
      </c>
      <c r="N79" s="247">
        <f t="shared" si="88"/>
        <v>90.693325307833774</v>
      </c>
      <c r="O79" s="247">
        <f t="shared" si="88"/>
        <v>1.9585120281671577</v>
      </c>
      <c r="P79" s="247">
        <f>SUM(G79:O79)</f>
        <v>14426.112268251401</v>
      </c>
      <c r="Q79" s="248">
        <f t="shared" si="80"/>
        <v>7.2129989648723721E-3</v>
      </c>
      <c r="AD79" s="247">
        <f t="shared" si="81"/>
        <v>3.6150240245910004</v>
      </c>
      <c r="AE79" s="247">
        <f t="shared" ref="AE79:AL79" si="89">(1-$AG63)*AE44</f>
        <v>5042.0307257258082</v>
      </c>
      <c r="AF79" s="247">
        <f t="shared" si="89"/>
        <v>4474.7378087823099</v>
      </c>
      <c r="AG79" s="247">
        <f t="shared" si="89"/>
        <v>2521.1877378325662</v>
      </c>
      <c r="AH79" s="247">
        <f t="shared" si="89"/>
        <v>1316.6514243105039</v>
      </c>
      <c r="AI79" s="247">
        <f t="shared" si="89"/>
        <v>802.6880969290288</v>
      </c>
      <c r="AJ79" s="247">
        <f t="shared" si="89"/>
        <v>301.55075718883296</v>
      </c>
      <c r="AK79" s="247">
        <f t="shared" si="89"/>
        <v>91.509565235604256</v>
      </c>
      <c r="AL79" s="247">
        <f t="shared" si="89"/>
        <v>1.9761386364206621</v>
      </c>
      <c r="AM79" s="247">
        <f>SUM(AD79:AL79)</f>
        <v>14555.947278665666</v>
      </c>
      <c r="AN79" s="261">
        <f t="shared" si="69"/>
        <v>7.212998964872373E-3</v>
      </c>
      <c r="BA79" s="171" t="s">
        <v>1602</v>
      </c>
    </row>
    <row r="80" spans="1:53" s="171" customFormat="1" ht="15.5">
      <c r="A80" s="175" t="s">
        <v>1603</v>
      </c>
      <c r="B80" s="175" t="s">
        <v>1244</v>
      </c>
      <c r="C80" s="175" t="s">
        <v>1315</v>
      </c>
      <c r="D80" s="239" t="s">
        <v>1226</v>
      </c>
      <c r="E80" s="249" t="s">
        <v>160</v>
      </c>
      <c r="G80" s="247">
        <f t="shared" si="77"/>
        <v>3.8383677175758253</v>
      </c>
      <c r="H80" s="247">
        <f t="shared" ref="H80:O80" si="90">(1-$J64)*H45</f>
        <v>7534.3687512607075</v>
      </c>
      <c r="I80" s="247">
        <f t="shared" si="90"/>
        <v>7116.5106617198144</v>
      </c>
      <c r="J80" s="247">
        <f t="shared" si="90"/>
        <v>4159.0408355016589</v>
      </c>
      <c r="K80" s="247">
        <f t="shared" si="90"/>
        <v>2072.8766718065863</v>
      </c>
      <c r="L80" s="247">
        <f t="shared" si="90"/>
        <v>1852.2115016816979</v>
      </c>
      <c r="M80" s="247">
        <f t="shared" si="90"/>
        <v>641.1131686964053</v>
      </c>
      <c r="N80" s="247">
        <f t="shared" si="90"/>
        <v>174.13761677363917</v>
      </c>
      <c r="O80" s="247">
        <f t="shared" si="90"/>
        <v>6.1590618916364868</v>
      </c>
      <c r="P80" s="247">
        <f t="shared" ref="P80:P84" si="91">SUM(G80:O80)</f>
        <v>23560.256637049719</v>
      </c>
      <c r="Q80" s="248">
        <f t="shared" si="80"/>
        <v>1.1780034951562568E-2</v>
      </c>
      <c r="AD80" s="247">
        <f t="shared" si="81"/>
        <v>3.8729130270340075</v>
      </c>
      <c r="AE80" s="247">
        <f t="shared" ref="AE80:AL80" si="92">(1-$AG64)*AE45</f>
        <v>7602.1780700220515</v>
      </c>
      <c r="AF80" s="247">
        <f t="shared" si="92"/>
        <v>7180.5592576752915</v>
      </c>
      <c r="AG80" s="247">
        <f t="shared" si="92"/>
        <v>4196.4722030211733</v>
      </c>
      <c r="AH80" s="247">
        <f t="shared" si="92"/>
        <v>2091.5325618528454</v>
      </c>
      <c r="AI80" s="247">
        <f t="shared" si="92"/>
        <v>1868.8814051968332</v>
      </c>
      <c r="AJ80" s="247">
        <f t="shared" si="92"/>
        <v>646.88318721467283</v>
      </c>
      <c r="AK80" s="247">
        <f t="shared" si="92"/>
        <v>175.70485532460191</v>
      </c>
      <c r="AL80" s="247">
        <f t="shared" si="92"/>
        <v>6.214493448661214</v>
      </c>
      <c r="AM80" s="247">
        <f t="shared" ref="AM80:AM84" si="93">SUM(AD80:AL80)</f>
        <v>23772.298946783165</v>
      </c>
      <c r="AN80" s="261">
        <f t="shared" si="69"/>
        <v>1.1780034951562567E-2</v>
      </c>
      <c r="BA80" s="171" t="s">
        <v>1604</v>
      </c>
    </row>
    <row r="81" spans="1:53" s="171" customFormat="1" ht="15.5">
      <c r="A81" s="175" t="s">
        <v>1605</v>
      </c>
      <c r="B81" s="175" t="s">
        <v>1244</v>
      </c>
      <c r="C81" s="175" t="s">
        <v>1262</v>
      </c>
      <c r="D81" s="239" t="s">
        <v>1226</v>
      </c>
      <c r="E81" s="249" t="s">
        <v>160</v>
      </c>
      <c r="G81" s="247">
        <f t="shared" si="77"/>
        <v>56.042835431029872</v>
      </c>
      <c r="H81" s="247">
        <f t="shared" ref="H81:O81" si="94">(1-$J65)*H46</f>
        <v>51003.854696369446</v>
      </c>
      <c r="I81" s="247">
        <f t="shared" si="94"/>
        <v>38609.568082560516</v>
      </c>
      <c r="J81" s="247">
        <f t="shared" si="94"/>
        <v>19424.562323490747</v>
      </c>
      <c r="K81" s="247">
        <f t="shared" si="94"/>
        <v>7746.810068026346</v>
      </c>
      <c r="L81" s="247">
        <f t="shared" si="94"/>
        <v>3465.6586937952857</v>
      </c>
      <c r="M81" s="247">
        <f t="shared" si="94"/>
        <v>962.6278702900596</v>
      </c>
      <c r="N81" s="247">
        <f t="shared" si="94"/>
        <v>321.00147496647321</v>
      </c>
      <c r="O81" s="247">
        <f t="shared" si="94"/>
        <v>11.844444444444445</v>
      </c>
      <c r="P81" s="247">
        <f t="shared" si="91"/>
        <v>121601.97048937433</v>
      </c>
      <c r="Q81" s="248">
        <f t="shared" si="80"/>
        <v>6.0800503348128559E-2</v>
      </c>
      <c r="AD81" s="247">
        <f t="shared" si="81"/>
        <v>56.547220949909132</v>
      </c>
      <c r="AE81" s="247">
        <f t="shared" ref="AE81:AL81" si="95">(1-$AG65)*AE46</f>
        <v>51462.889388636773</v>
      </c>
      <c r="AF81" s="247">
        <f t="shared" si="95"/>
        <v>38957.054195303557</v>
      </c>
      <c r="AG81" s="247">
        <f t="shared" si="95"/>
        <v>19599.383384402161</v>
      </c>
      <c r="AH81" s="247">
        <f t="shared" si="95"/>
        <v>7816.5313586385819</v>
      </c>
      <c r="AI81" s="247">
        <f t="shared" si="95"/>
        <v>3496.8496220394427</v>
      </c>
      <c r="AJ81" s="247">
        <f t="shared" si="95"/>
        <v>971.29152112267013</v>
      </c>
      <c r="AK81" s="247">
        <f t="shared" si="95"/>
        <v>323.89048824117145</v>
      </c>
      <c r="AL81" s="247">
        <f t="shared" si="95"/>
        <v>11.951044444444443</v>
      </c>
      <c r="AM81" s="247">
        <f t="shared" si="93"/>
        <v>122696.3882237787</v>
      </c>
      <c r="AN81" s="261">
        <f t="shared" si="69"/>
        <v>6.0800503348128553E-2</v>
      </c>
      <c r="BA81" s="171" t="s">
        <v>1606</v>
      </c>
    </row>
    <row r="82" spans="1:53" s="171" customFormat="1" ht="15.5">
      <c r="A82" s="175" t="s">
        <v>1607</v>
      </c>
      <c r="B82" s="175" t="s">
        <v>1265</v>
      </c>
      <c r="C82" s="175" t="s">
        <v>1266</v>
      </c>
      <c r="D82" s="239" t="s">
        <v>1226</v>
      </c>
      <c r="E82" s="249" t="s">
        <v>160</v>
      </c>
      <c r="G82" s="247">
        <f t="shared" si="77"/>
        <v>0.27777777777777779</v>
      </c>
      <c r="H82" s="247">
        <f t="shared" ref="H82:O82" si="96">(1-$J66)*H47</f>
        <v>312</v>
      </c>
      <c r="I82" s="247">
        <f t="shared" si="96"/>
        <v>213.11111111111111</v>
      </c>
      <c r="J82" s="247">
        <f t="shared" si="96"/>
        <v>168</v>
      </c>
      <c r="K82" s="247">
        <f t="shared" si="96"/>
        <v>134</v>
      </c>
      <c r="L82" s="247">
        <f t="shared" si="96"/>
        <v>139.94444444444446</v>
      </c>
      <c r="M82" s="247">
        <f t="shared" si="96"/>
        <v>85.222222222222214</v>
      </c>
      <c r="N82" s="247">
        <f t="shared" si="96"/>
        <v>47.5</v>
      </c>
      <c r="O82" s="247">
        <f t="shared" si="96"/>
        <v>16</v>
      </c>
      <c r="P82" s="247">
        <f t="shared" si="91"/>
        <v>1116.0555555555557</v>
      </c>
      <c r="Q82" s="248">
        <f t="shared" si="80"/>
        <v>5.5802335496020939E-4</v>
      </c>
      <c r="AD82" s="247">
        <f t="shared" ref="AD82:AL82" si="97">(1-$AG66)*AD47</f>
        <v>0.28027777777777774</v>
      </c>
      <c r="AE82" s="247">
        <f t="shared" si="97"/>
        <v>314.80799999999994</v>
      </c>
      <c r="AF82" s="247">
        <f t="shared" si="97"/>
        <v>215.02911111111106</v>
      </c>
      <c r="AG82" s="247">
        <f t="shared" si="97"/>
        <v>169.51199999999997</v>
      </c>
      <c r="AH82" s="247">
        <f t="shared" si="97"/>
        <v>135.20599999999999</v>
      </c>
      <c r="AI82" s="247">
        <f t="shared" si="97"/>
        <v>141.20394444444443</v>
      </c>
      <c r="AJ82" s="247">
        <f t="shared" si="97"/>
        <v>85.98922222222221</v>
      </c>
      <c r="AK82" s="247">
        <f t="shared" si="97"/>
        <v>47.927499999999995</v>
      </c>
      <c r="AL82" s="247">
        <f t="shared" si="97"/>
        <v>16.143999999999998</v>
      </c>
      <c r="AM82" s="247">
        <f t="shared" si="93"/>
        <v>1126.1000555555554</v>
      </c>
      <c r="AN82" s="261">
        <f t="shared" si="69"/>
        <v>5.5802335496020928E-4</v>
      </c>
      <c r="BA82" s="171" t="s">
        <v>1608</v>
      </c>
    </row>
    <row r="83" spans="1:53" s="171" customFormat="1" ht="15.5">
      <c r="A83" s="175" t="s">
        <v>1609</v>
      </c>
      <c r="B83" s="175" t="s">
        <v>1265</v>
      </c>
      <c r="C83" s="175" t="s">
        <v>1269</v>
      </c>
      <c r="D83" s="239" t="s">
        <v>1226</v>
      </c>
      <c r="E83" s="249" t="s">
        <v>160</v>
      </c>
      <c r="G83" s="247">
        <f t="shared" si="77"/>
        <v>0</v>
      </c>
      <c r="H83" s="247">
        <f t="shared" ref="H83:O83" si="98">(1-$J67)*H48</f>
        <v>3.6666666666666665</v>
      </c>
      <c r="I83" s="247">
        <f t="shared" si="98"/>
        <v>6.2222222222222223</v>
      </c>
      <c r="J83" s="247">
        <f t="shared" si="98"/>
        <v>4</v>
      </c>
      <c r="K83" s="247">
        <f t="shared" si="98"/>
        <v>3.5</v>
      </c>
      <c r="L83" s="247">
        <f t="shared" si="98"/>
        <v>3.666666666666667</v>
      </c>
      <c r="M83" s="247">
        <f t="shared" si="98"/>
        <v>2.1666666666666665</v>
      </c>
      <c r="N83" s="247">
        <f t="shared" si="98"/>
        <v>0</v>
      </c>
      <c r="O83" s="247">
        <f t="shared" si="98"/>
        <v>0</v>
      </c>
      <c r="P83" s="247">
        <f t="shared" si="91"/>
        <v>23.222222222222225</v>
      </c>
      <c r="Q83" s="248">
        <f t="shared" si="80"/>
        <v>1.1611019083745708E-5</v>
      </c>
      <c r="AD83" s="247">
        <f>(1-$AG67)*AD48</f>
        <v>0</v>
      </c>
      <c r="AE83" s="247">
        <f t="shared" ref="AE83:AL83" si="99">(1-$AG67)*AE48</f>
        <v>3.699666666666666</v>
      </c>
      <c r="AF83" s="247">
        <f t="shared" si="99"/>
        <v>6.2782222222222215</v>
      </c>
      <c r="AG83" s="247">
        <f t="shared" si="99"/>
        <v>4.0359999999999996</v>
      </c>
      <c r="AH83" s="247">
        <f t="shared" si="99"/>
        <v>3.5314999999999994</v>
      </c>
      <c r="AI83" s="247">
        <f t="shared" si="99"/>
        <v>3.6996666666666664</v>
      </c>
      <c r="AJ83" s="247">
        <f t="shared" si="99"/>
        <v>2.1861666666666664</v>
      </c>
      <c r="AK83" s="247">
        <f t="shared" si="99"/>
        <v>0</v>
      </c>
      <c r="AL83" s="247">
        <f t="shared" si="99"/>
        <v>0</v>
      </c>
      <c r="AM83" s="247">
        <f t="shared" si="93"/>
        <v>23.431222222222218</v>
      </c>
      <c r="AN83" s="261">
        <f t="shared" si="69"/>
        <v>1.1611019083745703E-5</v>
      </c>
      <c r="BA83" s="171" t="s">
        <v>1610</v>
      </c>
    </row>
    <row r="84" spans="1:53" s="171" customFormat="1" ht="15.5">
      <c r="A84" s="175" t="s">
        <v>1611</v>
      </c>
      <c r="B84" s="175" t="s">
        <v>1265</v>
      </c>
      <c r="C84" s="175" t="s">
        <v>1272</v>
      </c>
      <c r="D84" s="239" t="s">
        <v>1226</v>
      </c>
      <c r="E84" s="249" t="s">
        <v>160</v>
      </c>
      <c r="G84" s="247">
        <f t="shared" si="77"/>
        <v>0</v>
      </c>
      <c r="H84" s="247">
        <f t="shared" ref="H84:O84" si="100">(1-$J68)*H49</f>
        <v>5.6666666666666661</v>
      </c>
      <c r="I84" s="247">
        <f t="shared" si="100"/>
        <v>21.777777777777779</v>
      </c>
      <c r="J84" s="247">
        <f t="shared" si="100"/>
        <v>17.333333333333332</v>
      </c>
      <c r="K84" s="247">
        <f t="shared" si="100"/>
        <v>14.5</v>
      </c>
      <c r="L84" s="247">
        <f t="shared" si="100"/>
        <v>9.7777777777777786</v>
      </c>
      <c r="M84" s="247">
        <f t="shared" si="100"/>
        <v>3.6111111111111112</v>
      </c>
      <c r="N84" s="247">
        <f t="shared" si="100"/>
        <v>0</v>
      </c>
      <c r="O84" s="247">
        <f t="shared" si="100"/>
        <v>0</v>
      </c>
      <c r="P84" s="247">
        <f t="shared" si="91"/>
        <v>72.666666666666657</v>
      </c>
      <c r="Q84" s="248">
        <f t="shared" si="80"/>
        <v>3.6333045362534407E-5</v>
      </c>
      <c r="AD84" s="247">
        <f>(1-$AG68)*AD49</f>
        <v>0</v>
      </c>
      <c r="AE84" s="247">
        <f t="shared" ref="AE84:AL84" si="101">(1-$AG68)*AE49</f>
        <v>5.7176666666666662</v>
      </c>
      <c r="AF84" s="247">
        <f t="shared" si="101"/>
        <v>21.973777777777773</v>
      </c>
      <c r="AG84" s="247">
        <f t="shared" si="101"/>
        <v>17.489333333333331</v>
      </c>
      <c r="AH84" s="247">
        <f t="shared" si="101"/>
        <v>14.630499999999998</v>
      </c>
      <c r="AI84" s="247">
        <f t="shared" si="101"/>
        <v>9.8657777777777778</v>
      </c>
      <c r="AJ84" s="247">
        <f t="shared" si="101"/>
        <v>3.6436111111111109</v>
      </c>
      <c r="AK84" s="247">
        <f t="shared" si="101"/>
        <v>0</v>
      </c>
      <c r="AL84" s="247">
        <f t="shared" si="101"/>
        <v>0</v>
      </c>
      <c r="AM84" s="247">
        <f t="shared" si="93"/>
        <v>73.320666666666654</v>
      </c>
      <c r="AN84" s="261">
        <f t="shared" si="69"/>
        <v>3.6333045362534407E-5</v>
      </c>
      <c r="BA84" s="171" t="s">
        <v>1612</v>
      </c>
    </row>
    <row r="85" spans="1:53" s="171" customFormat="1" ht="15.5">
      <c r="A85" s="175" t="s">
        <v>1613</v>
      </c>
      <c r="B85" s="175" t="s">
        <v>1275</v>
      </c>
      <c r="C85" s="175" t="s">
        <v>1275</v>
      </c>
      <c r="D85" s="239" t="s">
        <v>1226</v>
      </c>
      <c r="E85" s="249" t="s">
        <v>160</v>
      </c>
      <c r="G85" s="247">
        <f t="shared" si="77"/>
        <v>0</v>
      </c>
      <c r="H85" s="247">
        <f t="shared" ref="H85:O85" si="102">(1-$J69)*H50</f>
        <v>0</v>
      </c>
      <c r="I85" s="247">
        <f t="shared" si="102"/>
        <v>0</v>
      </c>
      <c r="J85" s="247">
        <f t="shared" si="102"/>
        <v>0</v>
      </c>
      <c r="K85" s="247">
        <f t="shared" si="102"/>
        <v>0</v>
      </c>
      <c r="L85" s="247">
        <f t="shared" si="102"/>
        <v>0</v>
      </c>
      <c r="M85" s="247">
        <f t="shared" si="102"/>
        <v>0</v>
      </c>
      <c r="N85" s="247">
        <f t="shared" si="102"/>
        <v>0</v>
      </c>
      <c r="O85" s="247">
        <f t="shared" si="102"/>
        <v>0</v>
      </c>
      <c r="P85" s="247">
        <f>SUM(G85:O85)</f>
        <v>0</v>
      </c>
      <c r="Q85" s="248">
        <f t="shared" si="80"/>
        <v>0</v>
      </c>
      <c r="AD85" s="247">
        <f>(1-$AG69)*AD50</f>
        <v>0</v>
      </c>
      <c r="AE85" s="247">
        <f t="shared" ref="AE85:AL85" si="103">(1-$AG69)*AE50</f>
        <v>0</v>
      </c>
      <c r="AF85" s="247">
        <f t="shared" si="103"/>
        <v>0</v>
      </c>
      <c r="AG85" s="247">
        <f t="shared" si="103"/>
        <v>0</v>
      </c>
      <c r="AH85" s="247">
        <f t="shared" si="103"/>
        <v>0</v>
      </c>
      <c r="AI85" s="247">
        <f t="shared" si="103"/>
        <v>0</v>
      </c>
      <c r="AJ85" s="247">
        <f t="shared" si="103"/>
        <v>0</v>
      </c>
      <c r="AK85" s="247">
        <f t="shared" si="103"/>
        <v>0</v>
      </c>
      <c r="AL85" s="247">
        <f t="shared" si="103"/>
        <v>0</v>
      </c>
      <c r="AM85" s="247">
        <f>SUM(AD85:AL85)</f>
        <v>0</v>
      </c>
      <c r="AN85" s="261">
        <f t="shared" si="69"/>
        <v>0</v>
      </c>
      <c r="BA85" s="171" t="s">
        <v>1614</v>
      </c>
    </row>
    <row r="86" spans="1:53" s="171" customFormat="1" ht="15.5">
      <c r="A86" s="175" t="s">
        <v>1615</v>
      </c>
      <c r="B86" s="175" t="s">
        <v>1279</v>
      </c>
      <c r="C86" s="175" t="s">
        <v>1279</v>
      </c>
      <c r="D86" s="239" t="s">
        <v>1226</v>
      </c>
      <c r="E86" s="249" t="s">
        <v>160</v>
      </c>
      <c r="G86" s="247">
        <f t="shared" si="77"/>
        <v>0</v>
      </c>
      <c r="H86" s="247">
        <f t="shared" ref="H86:O86" si="104">(1-$J70)*H51</f>
        <v>0</v>
      </c>
      <c r="I86" s="247">
        <f t="shared" si="104"/>
        <v>0</v>
      </c>
      <c r="J86" s="247">
        <f t="shared" si="104"/>
        <v>0</v>
      </c>
      <c r="K86" s="247">
        <f t="shared" si="104"/>
        <v>0</v>
      </c>
      <c r="L86" s="247">
        <f t="shared" si="104"/>
        <v>0</v>
      </c>
      <c r="M86" s="247">
        <f t="shared" si="104"/>
        <v>0</v>
      </c>
      <c r="N86" s="247">
        <f t="shared" si="104"/>
        <v>0</v>
      </c>
      <c r="O86" s="247">
        <f t="shared" si="104"/>
        <v>0</v>
      </c>
      <c r="P86" s="247">
        <f t="shared" ref="P86" si="105">SUM(G86:O86)</f>
        <v>0</v>
      </c>
      <c r="Q86" s="248">
        <f t="shared" si="80"/>
        <v>0</v>
      </c>
      <c r="AD86" s="247">
        <f>(1-$AG70)*AD51</f>
        <v>0</v>
      </c>
      <c r="AE86" s="247">
        <f t="shared" ref="AE86:AL86" si="106">(1-$AG70)*AE51</f>
        <v>0</v>
      </c>
      <c r="AF86" s="247">
        <f t="shared" si="106"/>
        <v>0</v>
      </c>
      <c r="AG86" s="247">
        <f t="shared" si="106"/>
        <v>0</v>
      </c>
      <c r="AH86" s="247">
        <f t="shared" si="106"/>
        <v>0</v>
      </c>
      <c r="AI86" s="247">
        <f t="shared" si="106"/>
        <v>0</v>
      </c>
      <c r="AJ86" s="247">
        <f t="shared" si="106"/>
        <v>0</v>
      </c>
      <c r="AK86" s="247">
        <f t="shared" si="106"/>
        <v>0</v>
      </c>
      <c r="AL86" s="247">
        <f t="shared" si="106"/>
        <v>0</v>
      </c>
      <c r="AM86" s="247">
        <f t="shared" ref="AM86" si="107">SUM(AD86:AL86)</f>
        <v>0</v>
      </c>
      <c r="AN86" s="261">
        <f t="shared" si="69"/>
        <v>0</v>
      </c>
      <c r="BA86" s="171" t="s">
        <v>1616</v>
      </c>
    </row>
    <row r="87" spans="1:53" s="171" customFormat="1" ht="15.5">
      <c r="A87" s="175" t="s">
        <v>1617</v>
      </c>
      <c r="B87" s="175"/>
      <c r="C87" s="175" t="s">
        <v>1533</v>
      </c>
      <c r="D87" s="239" t="s">
        <v>1226</v>
      </c>
      <c r="E87" s="249" t="s">
        <v>160</v>
      </c>
      <c r="G87" s="247">
        <f t="shared" ref="G87:P87" si="108">SUM(G73:G86)</f>
        <v>305.48236677461864</v>
      </c>
      <c r="H87" s="247">
        <f t="shared" si="108"/>
        <v>248353.39594791373</v>
      </c>
      <c r="I87" s="247">
        <f t="shared" si="108"/>
        <v>357441.53467912652</v>
      </c>
      <c r="J87" s="247">
        <f t="shared" si="108"/>
        <v>295942.19398891128</v>
      </c>
      <c r="K87" s="247">
        <f t="shared" si="108"/>
        <v>289694.59155016206</v>
      </c>
      <c r="L87" s="247">
        <f t="shared" si="108"/>
        <v>356243.54768574046</v>
      </c>
      <c r="M87" s="247">
        <f t="shared" si="108"/>
        <v>253400.22136058885</v>
      </c>
      <c r="N87" s="247">
        <f t="shared" si="108"/>
        <v>178719.59657611063</v>
      </c>
      <c r="O87" s="247">
        <f t="shared" si="108"/>
        <v>19915.287573919799</v>
      </c>
      <c r="P87" s="247">
        <f t="shared" si="108"/>
        <v>2000015.851729248</v>
      </c>
      <c r="Q87" s="248">
        <f t="shared" si="80"/>
        <v>1</v>
      </c>
      <c r="AD87" s="247">
        <f t="shared" ref="AD87:AM87" si="109">SUM(AD73:AD86)</f>
        <v>308.23170807559006</v>
      </c>
      <c r="AE87" s="247">
        <f t="shared" si="109"/>
        <v>250588.5765114449</v>
      </c>
      <c r="AF87" s="247">
        <f t="shared" si="109"/>
        <v>360658.50849123881</v>
      </c>
      <c r="AG87" s="247">
        <f t="shared" si="109"/>
        <v>298605.67373481143</v>
      </c>
      <c r="AH87" s="247">
        <f t="shared" si="109"/>
        <v>292301.84287411353</v>
      </c>
      <c r="AI87" s="247">
        <f t="shared" si="109"/>
        <v>359449.73961491219</v>
      </c>
      <c r="AJ87" s="247">
        <f t="shared" si="109"/>
        <v>255680.82335283424</v>
      </c>
      <c r="AK87" s="247">
        <f t="shared" si="109"/>
        <v>180328.07294529563</v>
      </c>
      <c r="AL87" s="247">
        <f t="shared" si="109"/>
        <v>20094.525162085072</v>
      </c>
      <c r="AM87" s="247">
        <f t="shared" si="109"/>
        <v>2018015.9943948113</v>
      </c>
      <c r="AN87" s="261">
        <f t="shared" si="69"/>
        <v>1</v>
      </c>
      <c r="BA87" s="171" t="s">
        <v>1618</v>
      </c>
    </row>
    <row r="88" spans="1:53" s="171" customFormat="1" ht="15.5">
      <c r="A88" s="175" t="s">
        <v>1619</v>
      </c>
      <c r="B88" s="175"/>
      <c r="C88" s="175" t="s">
        <v>1286</v>
      </c>
      <c r="D88" s="249" t="s">
        <v>1253</v>
      </c>
      <c r="E88" s="249" t="s">
        <v>160</v>
      </c>
      <c r="G88" s="248">
        <f>IFERROR(G87/$P$87, "")</f>
        <v>1.527399727909623E-4</v>
      </c>
      <c r="H88" s="248">
        <f t="shared" ref="H88:P88" si="110">IFERROR(H87/$P$87, "")</f>
        <v>0.12417571377405991</v>
      </c>
      <c r="I88" s="248">
        <f t="shared" si="110"/>
        <v>0.17871935083418286</v>
      </c>
      <c r="J88" s="248">
        <f t="shared" si="110"/>
        <v>0.14796992420486799</v>
      </c>
      <c r="K88" s="248">
        <f t="shared" si="110"/>
        <v>0.14484614774412272</v>
      </c>
      <c r="L88" s="248">
        <f t="shared" si="110"/>
        <v>0.17812036208499357</v>
      </c>
      <c r="M88" s="248">
        <f t="shared" si="110"/>
        <v>0.12669910648032848</v>
      </c>
      <c r="N88" s="248">
        <f t="shared" si="110"/>
        <v>8.9359090040004738E-2</v>
      </c>
      <c r="O88" s="248">
        <f t="shared" si="110"/>
        <v>9.9575648646487974E-3</v>
      </c>
      <c r="P88" s="248">
        <f t="shared" si="110"/>
        <v>1</v>
      </c>
      <c r="AD88" s="248">
        <f t="shared" ref="AD88:AM88" si="111">IFERROR(AD87/$AM$87, "")</f>
        <v>1.5273997279096222E-4</v>
      </c>
      <c r="AE88" s="248">
        <f t="shared" si="111"/>
        <v>0.12417571377405986</v>
      </c>
      <c r="AF88" s="248">
        <f t="shared" si="111"/>
        <v>0.17871935083418292</v>
      </c>
      <c r="AG88" s="248">
        <f t="shared" si="111"/>
        <v>0.14796992420486793</v>
      </c>
      <c r="AH88" s="248">
        <f t="shared" si="111"/>
        <v>0.14484614774412269</v>
      </c>
      <c r="AI88" s="248">
        <f t="shared" si="111"/>
        <v>0.1781203620849936</v>
      </c>
      <c r="AJ88" s="248">
        <f t="shared" si="111"/>
        <v>0.1266991064803285</v>
      </c>
      <c r="AK88" s="248">
        <f t="shared" si="111"/>
        <v>8.9359090040004738E-2</v>
      </c>
      <c r="AL88" s="248">
        <f t="shared" si="111"/>
        <v>9.9575648646487939E-3</v>
      </c>
      <c r="AM88" s="248">
        <f t="shared" si="111"/>
        <v>1</v>
      </c>
      <c r="BA88" s="171" t="s">
        <v>1399</v>
      </c>
    </row>
    <row r="89" spans="1:53" s="171" customFormat="1" ht="16" thickBot="1">
      <c r="D89" s="238"/>
      <c r="E89" s="238"/>
    </row>
    <row r="90" spans="1:53" s="171" customFormat="1" ht="16" thickBot="1">
      <c r="A90" s="240"/>
      <c r="B90" s="241"/>
      <c r="C90" s="241" t="s">
        <v>664</v>
      </c>
      <c r="D90" s="242"/>
      <c r="E90" s="243"/>
      <c r="G90" s="258" t="s">
        <v>1211</v>
      </c>
      <c r="H90" s="259" t="s">
        <v>1212</v>
      </c>
      <c r="I90" s="259" t="s">
        <v>1213</v>
      </c>
      <c r="J90" s="259" t="s">
        <v>1214</v>
      </c>
      <c r="K90" s="259" t="s">
        <v>1215</v>
      </c>
      <c r="L90" s="259" t="s">
        <v>1216</v>
      </c>
      <c r="M90" s="259" t="s">
        <v>1217</v>
      </c>
      <c r="N90" s="259" t="s">
        <v>1218</v>
      </c>
      <c r="O90" s="68" t="s">
        <v>1219</v>
      </c>
      <c r="AD90" s="258" t="s">
        <v>1211</v>
      </c>
      <c r="AE90" s="259" t="s">
        <v>1212</v>
      </c>
      <c r="AF90" s="259" t="s">
        <v>1213</v>
      </c>
      <c r="AG90" s="259" t="s">
        <v>1214</v>
      </c>
      <c r="AH90" s="259" t="s">
        <v>1215</v>
      </c>
      <c r="AI90" s="259" t="s">
        <v>1216</v>
      </c>
      <c r="AJ90" s="259" t="s">
        <v>1217</v>
      </c>
      <c r="AK90" s="259" t="s">
        <v>1218</v>
      </c>
      <c r="AL90" s="68" t="s">
        <v>1219</v>
      </c>
    </row>
    <row r="91" spans="1:53" s="171" customFormat="1" ht="15.5">
      <c r="A91" s="175" t="s">
        <v>1620</v>
      </c>
      <c r="B91" s="179"/>
      <c r="C91" s="179" t="s">
        <v>1401</v>
      </c>
      <c r="D91" s="239" t="s">
        <v>1402</v>
      </c>
      <c r="E91" s="239" t="s">
        <v>1403</v>
      </c>
      <c r="G91" s="262">
        <f>$K$91*G35</f>
        <v>142.80000000000001</v>
      </c>
      <c r="H91" s="262">
        <f>$K$91*H35</f>
        <v>171.36</v>
      </c>
      <c r="I91" s="262">
        <f>$K$91*I35</f>
        <v>199.92000000000002</v>
      </c>
      <c r="J91" s="262">
        <f>$K$91*J35</f>
        <v>228.48000000000002</v>
      </c>
      <c r="K91" s="263">
        <v>257.04000000000002</v>
      </c>
      <c r="L91" s="262">
        <f>$K$91*L35</f>
        <v>314.16000000000003</v>
      </c>
      <c r="M91" s="262">
        <f>$K$91*M35</f>
        <v>371.28000000000003</v>
      </c>
      <c r="N91" s="262">
        <f>$K$91*N35</f>
        <v>428.40000000000003</v>
      </c>
      <c r="O91" s="262">
        <f>$K$91*O35</f>
        <v>514.08000000000004</v>
      </c>
      <c r="AD91" s="262">
        <f>$AH$91*AD35</f>
        <v>149.9</v>
      </c>
      <c r="AE91" s="262">
        <f>$AH$91*AE35</f>
        <v>179.88</v>
      </c>
      <c r="AF91" s="262">
        <f>$AH$91*AF35</f>
        <v>209.85999999999999</v>
      </c>
      <c r="AG91" s="262">
        <f>$AH$91*AG35</f>
        <v>239.83999999999997</v>
      </c>
      <c r="AH91" s="263">
        <v>269.82</v>
      </c>
      <c r="AI91" s="262">
        <f>$AH$91*AI35</f>
        <v>329.78000000000003</v>
      </c>
      <c r="AJ91" s="262">
        <f>$AH$91*AJ35</f>
        <v>389.74</v>
      </c>
      <c r="AK91" s="262">
        <f>$AH$91*AK35</f>
        <v>449.7</v>
      </c>
      <c r="AL91" s="262">
        <f>$AH$91*AL35</f>
        <v>539.64</v>
      </c>
      <c r="BA91" s="171" t="s">
        <v>1404</v>
      </c>
    </row>
    <row r="92" spans="1:53" s="171" customFormat="1" ht="16" thickBot="1">
      <c r="D92" s="238"/>
      <c r="E92" s="238"/>
    </row>
    <row r="93" spans="1:53" s="171" customFormat="1" ht="31.5" thickBot="1">
      <c r="A93" s="240"/>
      <c r="B93" s="241"/>
      <c r="C93" s="256" t="s">
        <v>1621</v>
      </c>
      <c r="D93" s="256"/>
      <c r="E93" s="256"/>
      <c r="G93" s="258" t="s">
        <v>1211</v>
      </c>
      <c r="H93" s="259" t="s">
        <v>1212</v>
      </c>
      <c r="I93" s="259" t="s">
        <v>1213</v>
      </c>
      <c r="J93" s="259" t="s">
        <v>1214</v>
      </c>
      <c r="K93" s="259" t="s">
        <v>1215</v>
      </c>
      <c r="L93" s="259" t="s">
        <v>1216</v>
      </c>
      <c r="M93" s="259" t="s">
        <v>1217</v>
      </c>
      <c r="N93" s="259" t="s">
        <v>1218</v>
      </c>
      <c r="O93" s="67" t="s">
        <v>1219</v>
      </c>
      <c r="P93" s="67" t="s">
        <v>1220</v>
      </c>
      <c r="Q93" s="68" t="s">
        <v>1221</v>
      </c>
      <c r="AD93" s="258" t="s">
        <v>1211</v>
      </c>
      <c r="AE93" s="259" t="s">
        <v>1212</v>
      </c>
      <c r="AF93" s="259" t="s">
        <v>1213</v>
      </c>
      <c r="AG93" s="259" t="s">
        <v>1214</v>
      </c>
      <c r="AH93" s="259" t="s">
        <v>1215</v>
      </c>
      <c r="AI93" s="259" t="s">
        <v>1216</v>
      </c>
      <c r="AJ93" s="259" t="s">
        <v>1217</v>
      </c>
      <c r="AK93" s="259" t="s">
        <v>1218</v>
      </c>
      <c r="AL93" s="67" t="s">
        <v>1219</v>
      </c>
      <c r="AM93" s="67" t="s">
        <v>1220</v>
      </c>
      <c r="AN93" s="68" t="s">
        <v>1221</v>
      </c>
    </row>
    <row r="94" spans="1:53" s="171" customFormat="1" ht="15.5">
      <c r="A94" s="175" t="s">
        <v>1622</v>
      </c>
      <c r="B94" s="179" t="s">
        <v>1224</v>
      </c>
      <c r="C94" s="179" t="s">
        <v>1296</v>
      </c>
      <c r="D94" s="239" t="s">
        <v>1408</v>
      </c>
      <c r="E94" s="249" t="s">
        <v>160</v>
      </c>
      <c r="G94" s="260">
        <f t="shared" ref="G94:O96" si="112">$K$91*G73</f>
        <v>35294.147368421058</v>
      </c>
      <c r="H94" s="260">
        <f t="shared" si="112"/>
        <v>17378378.810322437</v>
      </c>
      <c r="I94" s="260">
        <f t="shared" si="112"/>
        <v>41161189.565985762</v>
      </c>
      <c r="J94" s="260">
        <f t="shared" si="112"/>
        <v>40871257.122640505</v>
      </c>
      <c r="K94" s="260">
        <f t="shared" si="112"/>
        <v>48084462.859230794</v>
      </c>
      <c r="L94" s="260">
        <f t="shared" si="112"/>
        <v>67947965.844398245</v>
      </c>
      <c r="M94" s="260">
        <f t="shared" si="112"/>
        <v>53067481.20312012</v>
      </c>
      <c r="N94" s="260">
        <f t="shared" si="112"/>
        <v>39025288.238073491</v>
      </c>
      <c r="O94" s="260">
        <f t="shared" si="112"/>
        <v>4436784.2339458074</v>
      </c>
      <c r="P94" s="260">
        <f>SUM(G94:O94)</f>
        <v>312008102.02508551</v>
      </c>
      <c r="Q94" s="261">
        <f>IFERROR(P94/$P$108, "")</f>
        <v>0.60692038031183326</v>
      </c>
      <c r="AD94" s="260">
        <f>$AH$91*AD73</f>
        <v>37382.409136842107</v>
      </c>
      <c r="AE94" s="260">
        <f t="shared" ref="AE94:AL94" si="113">$AH$91*AE73</f>
        <v>18406611.726332907</v>
      </c>
      <c r="AF94" s="260">
        <f t="shared" si="113"/>
        <v>43596588.773002356</v>
      </c>
      <c r="AG94" s="260">
        <f t="shared" si="113"/>
        <v>43289501.790391907</v>
      </c>
      <c r="AH94" s="260">
        <f t="shared" si="113"/>
        <v>50929493.917661637</v>
      </c>
      <c r="AI94" s="260">
        <f t="shared" si="113"/>
        <v>71968268.072800934</v>
      </c>
      <c r="AJ94" s="260">
        <f t="shared" si="113"/>
        <v>56207344.336406402</v>
      </c>
      <c r="AK94" s="260">
        <f t="shared" si="113"/>
        <v>41334311.787459381</v>
      </c>
      <c r="AL94" s="260">
        <f t="shared" si="113"/>
        <v>4699297.0747793606</v>
      </c>
      <c r="AM94" s="260">
        <f>SUM(AD94:AL94)</f>
        <v>330468799.8879717</v>
      </c>
      <c r="AN94" s="261">
        <f t="shared" ref="AN94:AN108" si="114">IFERROR(AM94/$AM$108, "")</f>
        <v>0.60692038031183326</v>
      </c>
      <c r="BA94" s="171" t="s">
        <v>1623</v>
      </c>
    </row>
    <row r="95" spans="1:53" s="171" customFormat="1" ht="15.5">
      <c r="A95" s="175" t="s">
        <v>1624</v>
      </c>
      <c r="B95" s="179" t="s">
        <v>1224</v>
      </c>
      <c r="C95" s="179" t="s">
        <v>1232</v>
      </c>
      <c r="D95" s="239"/>
      <c r="E95" s="249"/>
      <c r="G95" s="260">
        <f t="shared" si="112"/>
        <v>0</v>
      </c>
      <c r="H95" s="260">
        <f t="shared" si="112"/>
        <v>399797.79085587739</v>
      </c>
      <c r="I95" s="260">
        <f t="shared" si="112"/>
        <v>562554.90982449264</v>
      </c>
      <c r="J95" s="260">
        <f t="shared" si="112"/>
        <v>701404.07660152391</v>
      </c>
      <c r="K95" s="260">
        <f>$K$91*K74</f>
        <v>734852.85629611416</v>
      </c>
      <c r="L95" s="260">
        <f t="shared" si="112"/>
        <v>943736.73094640626</v>
      </c>
      <c r="M95" s="260">
        <f t="shared" si="112"/>
        <v>620760.85594747763</v>
      </c>
      <c r="N95" s="260">
        <f t="shared" si="112"/>
        <v>463051.93915345293</v>
      </c>
      <c r="O95" s="260">
        <f t="shared" si="112"/>
        <v>96578.838072591374</v>
      </c>
      <c r="P95" s="260">
        <f t="shared" ref="P95:P96" si="115">SUM(G95:O95)</f>
        <v>4522737.9976979364</v>
      </c>
      <c r="Q95" s="261">
        <f t="shared" ref="Q95:Q96" si="116">IFERROR(P95/$P$108, "")</f>
        <v>8.7976621369688559E-3</v>
      </c>
      <c r="AD95" s="260">
        <f t="shared" ref="AD95:AL107" si="117">$AH$91*AD74</f>
        <v>0</v>
      </c>
      <c r="AE95" s="260">
        <f t="shared" si="117"/>
        <v>423452.77345195849</v>
      </c>
      <c r="AF95" s="260">
        <f t="shared" si="117"/>
        <v>595839.80260179029</v>
      </c>
      <c r="AG95" s="260">
        <f t="shared" si="117"/>
        <v>742904.30897977261</v>
      </c>
      <c r="AH95" s="260">
        <f t="shared" si="117"/>
        <v>778332.16489647469</v>
      </c>
      <c r="AI95" s="260">
        <f t="shared" si="117"/>
        <v>999575.14840746543</v>
      </c>
      <c r="AJ95" s="260">
        <f t="shared" si="117"/>
        <v>657489.64129751851</v>
      </c>
      <c r="AK95" s="260">
        <f t="shared" si="117"/>
        <v>490449.50315276271</v>
      </c>
      <c r="AL95" s="260">
        <f t="shared" si="117"/>
        <v>102293.15362412589</v>
      </c>
      <c r="AM95" s="260">
        <f t="shared" ref="AM95" si="118">SUM(AD95:AL95)</f>
        <v>4790336.4964118684</v>
      </c>
      <c r="AN95" s="261">
        <f t="shared" si="114"/>
        <v>8.7976621369688559E-3</v>
      </c>
      <c r="BA95" s="171" t="s">
        <v>1411</v>
      </c>
    </row>
    <row r="96" spans="1:53" s="171" customFormat="1" ht="15.5">
      <c r="A96" s="175" t="s">
        <v>1625</v>
      </c>
      <c r="B96" s="179" t="s">
        <v>1224</v>
      </c>
      <c r="C96" s="179" t="s">
        <v>1235</v>
      </c>
      <c r="D96" s="239"/>
      <c r="E96" s="249"/>
      <c r="G96" s="260">
        <f t="shared" si="112"/>
        <v>120.25263157894737</v>
      </c>
      <c r="H96" s="260">
        <f t="shared" si="112"/>
        <v>1497899.2453448891</v>
      </c>
      <c r="I96" s="260">
        <f t="shared" si="112"/>
        <v>1589145.6839608233</v>
      </c>
      <c r="J96" s="260">
        <f t="shared" si="112"/>
        <v>1208159.672649879</v>
      </c>
      <c r="K96" s="260">
        <f t="shared" si="112"/>
        <v>1021810.801099522</v>
      </c>
      <c r="L96" s="260">
        <f t="shared" si="112"/>
        <v>981472.93531050044</v>
      </c>
      <c r="M96" s="260">
        <f t="shared" si="112"/>
        <v>536074.54553845071</v>
      </c>
      <c r="N96" s="260">
        <f t="shared" si="112"/>
        <v>350046.08238710312</v>
      </c>
      <c r="O96" s="260">
        <f t="shared" si="112"/>
        <v>85131.647981600385</v>
      </c>
      <c r="P96" s="260">
        <f t="shared" si="115"/>
        <v>7269860.8669043472</v>
      </c>
      <c r="Q96" s="261">
        <f t="shared" si="116"/>
        <v>1.4141385090701767E-2</v>
      </c>
      <c r="AD96" s="260">
        <f t="shared" si="117"/>
        <v>127.36766315789474</v>
      </c>
      <c r="AE96" s="260">
        <f t="shared" si="117"/>
        <v>1586525.9996435125</v>
      </c>
      <c r="AF96" s="260">
        <f t="shared" si="117"/>
        <v>1683171.2497756225</v>
      </c>
      <c r="AG96" s="260">
        <f t="shared" si="117"/>
        <v>1279643.2993318541</v>
      </c>
      <c r="AH96" s="260">
        <f t="shared" si="117"/>
        <v>1082268.6557183592</v>
      </c>
      <c r="AI96" s="260">
        <f t="shared" si="117"/>
        <v>1039544.1046223487</v>
      </c>
      <c r="AJ96" s="260">
        <f t="shared" si="117"/>
        <v>567792.66488515178</v>
      </c>
      <c r="AK96" s="260">
        <f t="shared" si="117"/>
        <v>370757.38739198307</v>
      </c>
      <c r="AL96" s="260">
        <f t="shared" si="117"/>
        <v>90168.663436511721</v>
      </c>
      <c r="AM96" s="260">
        <f>SUM(AD96:AL96)</f>
        <v>7699999.3924685009</v>
      </c>
      <c r="AN96" s="261">
        <f t="shared" si="114"/>
        <v>1.4141385090701763E-2</v>
      </c>
      <c r="BA96" s="171" t="s">
        <v>1413</v>
      </c>
    </row>
    <row r="97" spans="1:53" s="171" customFormat="1" ht="15.5">
      <c r="A97" s="175" t="s">
        <v>1626</v>
      </c>
      <c r="B97" s="179" t="s">
        <v>1224</v>
      </c>
      <c r="C97" s="175" t="s">
        <v>1304</v>
      </c>
      <c r="D97" s="249" t="s">
        <v>1408</v>
      </c>
      <c r="E97" s="249" t="s">
        <v>160</v>
      </c>
      <c r="G97" s="247">
        <f t="shared" ref="G97:O97" si="119">$K$91*G76</f>
        <v>4806.6760000000013</v>
      </c>
      <c r="H97" s="247">
        <f t="shared" si="119"/>
        <v>4397571.523032303</v>
      </c>
      <c r="I97" s="247">
        <f t="shared" si="119"/>
        <v>4542830.1922154184</v>
      </c>
      <c r="J97" s="247">
        <f t="shared" si="119"/>
        <v>2704895.1613418674</v>
      </c>
      <c r="K97" s="247">
        <f t="shared" si="119"/>
        <v>1574714.5102982544</v>
      </c>
      <c r="L97" s="247">
        <f t="shared" si="119"/>
        <v>1317416.7848031223</v>
      </c>
      <c r="M97" s="247">
        <f t="shared" si="119"/>
        <v>578332.2146876778</v>
      </c>
      <c r="N97" s="247">
        <f t="shared" si="119"/>
        <v>239102.78106207872</v>
      </c>
      <c r="O97" s="247">
        <f t="shared" si="119"/>
        <v>10762.264800000003</v>
      </c>
      <c r="P97" s="247">
        <f>SUM(G97:O97)</f>
        <v>15370432.10824072</v>
      </c>
      <c r="Q97" s="261">
        <f t="shared" ref="Q97:Q108" si="120">IFERROR(P97/$P$108, "")</f>
        <v>2.9898673913091676E-2</v>
      </c>
      <c r="AD97" s="260">
        <f t="shared" si="117"/>
        <v>5091.0743626862741</v>
      </c>
      <c r="AE97" s="260">
        <f t="shared" si="117"/>
        <v>4657764.2510102596</v>
      </c>
      <c r="AF97" s="260">
        <f t="shared" si="117"/>
        <v>4811617.4931751331</v>
      </c>
      <c r="AG97" s="260">
        <f t="shared" si="117"/>
        <v>2864936.6859055473</v>
      </c>
      <c r="AH97" s="260">
        <f t="shared" si="117"/>
        <v>1667886.2215654878</v>
      </c>
      <c r="AI97" s="260">
        <f t="shared" si="117"/>
        <v>1395364.8671314139</v>
      </c>
      <c r="AJ97" s="260">
        <f t="shared" si="117"/>
        <v>612550.60905124678</v>
      </c>
      <c r="AK97" s="260">
        <f t="shared" si="117"/>
        <v>253249.86304717392</v>
      </c>
      <c r="AL97" s="260">
        <f t="shared" si="117"/>
        <v>11399.039670600001</v>
      </c>
      <c r="AM97" s="247">
        <f t="shared" ref="AM97:AM99" si="121">SUM(AD97:AL97)</f>
        <v>16279860.104919547</v>
      </c>
      <c r="AN97" s="261">
        <f t="shared" si="114"/>
        <v>2.9898673913091676E-2</v>
      </c>
      <c r="BA97" s="171" t="s">
        <v>1415</v>
      </c>
    </row>
    <row r="98" spans="1:53" s="171" customFormat="1" ht="15.5">
      <c r="A98" s="175" t="s">
        <v>1627</v>
      </c>
      <c r="B98" s="179" t="s">
        <v>1224</v>
      </c>
      <c r="C98" s="175" t="s">
        <v>1307</v>
      </c>
      <c r="D98" s="249" t="s">
        <v>1408</v>
      </c>
      <c r="E98" s="249" t="s">
        <v>160</v>
      </c>
      <c r="G98" s="247">
        <f t="shared" ref="G98:O98" si="122">$K$91*G77</f>
        <v>7778.7295808080808</v>
      </c>
      <c r="H98" s="247">
        <f t="shared" si="122"/>
        <v>4910686.8244460672</v>
      </c>
      <c r="I98" s="247">
        <f t="shared" si="122"/>
        <v>4836713.7804861618</v>
      </c>
      <c r="J98" s="247">
        <f t="shared" si="122"/>
        <v>2911118.1288992083</v>
      </c>
      <c r="K98" s="247">
        <f t="shared" si="122"/>
        <v>1475857.4836741921</v>
      </c>
      <c r="L98" s="247">
        <f t="shared" si="122"/>
        <v>763238.72164933546</v>
      </c>
      <c r="M98" s="247">
        <f t="shared" si="122"/>
        <v>286387.42904488556</v>
      </c>
      <c r="N98" s="247">
        <f t="shared" si="122"/>
        <v>113610.29876935457</v>
      </c>
      <c r="O98" s="247">
        <f t="shared" si="122"/>
        <v>8984.9760000000006</v>
      </c>
      <c r="P98" s="247">
        <f t="shared" ref="P98:P99" si="123">SUM(G98:O98)</f>
        <v>15314376.372550016</v>
      </c>
      <c r="Q98" s="261">
        <f t="shared" si="120"/>
        <v>2.9789633897132968E-2</v>
      </c>
      <c r="AD98" s="260">
        <f t="shared" si="117"/>
        <v>8238.9765282955141</v>
      </c>
      <c r="AE98" s="260">
        <f t="shared" si="117"/>
        <v>5201239.2337487787</v>
      </c>
      <c r="AF98" s="260">
        <f t="shared" si="117"/>
        <v>5122889.3995527271</v>
      </c>
      <c r="AG98" s="260">
        <f t="shared" si="117"/>
        <v>3083361.3234572075</v>
      </c>
      <c r="AH98" s="260">
        <f t="shared" si="117"/>
        <v>1563180.0849718919</v>
      </c>
      <c r="AI98" s="260">
        <f t="shared" si="117"/>
        <v>808397.547161152</v>
      </c>
      <c r="AJ98" s="260">
        <f t="shared" si="117"/>
        <v>303332.21914812882</v>
      </c>
      <c r="AK98" s="260">
        <f t="shared" si="117"/>
        <v>120332.32100557411</v>
      </c>
      <c r="AL98" s="260">
        <f t="shared" si="117"/>
        <v>9516.5933719999994</v>
      </c>
      <c r="AM98" s="247">
        <f t="shared" si="121"/>
        <v>16220487.698945757</v>
      </c>
      <c r="AN98" s="261">
        <f t="shared" si="114"/>
        <v>2.9789633897132965E-2</v>
      </c>
      <c r="BA98" s="171" t="s">
        <v>1417</v>
      </c>
    </row>
    <row r="99" spans="1:53" s="171" customFormat="1" ht="15.5">
      <c r="A99" s="175" t="s">
        <v>1628</v>
      </c>
      <c r="B99" s="175" t="s">
        <v>1244</v>
      </c>
      <c r="C99" s="175" t="s">
        <v>1266</v>
      </c>
      <c r="D99" s="249" t="s">
        <v>1408</v>
      </c>
      <c r="E99" s="249" t="s">
        <v>160</v>
      </c>
      <c r="G99" s="247">
        <f t="shared" ref="G99:O99" si="124">$K$91*G78</f>
        <v>14137.200000000003</v>
      </c>
      <c r="H99" s="247">
        <f t="shared" si="124"/>
        <v>18838718.640000001</v>
      </c>
      <c r="I99" s="247">
        <f t="shared" si="124"/>
        <v>26229004.200000003</v>
      </c>
      <c r="J99" s="247">
        <f t="shared" si="124"/>
        <v>20919286.080000002</v>
      </c>
      <c r="K99" s="247">
        <f t="shared" si="124"/>
        <v>18672863.580000002</v>
      </c>
      <c r="L99" s="247">
        <f t="shared" si="124"/>
        <v>18004195.440000005</v>
      </c>
      <c r="M99" s="247">
        <f t="shared" si="124"/>
        <v>9532521.1800000016</v>
      </c>
      <c r="N99" s="247">
        <f t="shared" si="124"/>
        <v>5584194</v>
      </c>
      <c r="O99" s="247">
        <f t="shared" si="124"/>
        <v>471539.88000000006</v>
      </c>
      <c r="P99" s="247">
        <f t="shared" si="123"/>
        <v>118266460.20000002</v>
      </c>
      <c r="Q99" s="261">
        <f t="shared" si="120"/>
        <v>0.23005275996630148</v>
      </c>
      <c r="AD99" s="260">
        <f t="shared" si="117"/>
        <v>14973.660899999997</v>
      </c>
      <c r="AE99" s="260">
        <f t="shared" si="117"/>
        <v>19953356.018579993</v>
      </c>
      <c r="AF99" s="260">
        <f t="shared" si="117"/>
        <v>27780905.316150002</v>
      </c>
      <c r="AG99" s="260">
        <f t="shared" si="117"/>
        <v>22157025.155759998</v>
      </c>
      <c r="AH99" s="260">
        <f t="shared" si="117"/>
        <v>19777687.751384996</v>
      </c>
      <c r="AI99" s="260">
        <f t="shared" si="117"/>
        <v>19069456.278179999</v>
      </c>
      <c r="AJ99" s="260">
        <f t="shared" si="117"/>
        <v>10096535.358584998</v>
      </c>
      <c r="AK99" s="260">
        <f t="shared" si="117"/>
        <v>5914596.0554999989</v>
      </c>
      <c r="AL99" s="260">
        <f t="shared" si="117"/>
        <v>499439.65310999996</v>
      </c>
      <c r="AM99" s="247">
        <f t="shared" si="121"/>
        <v>125263975.24814999</v>
      </c>
      <c r="AN99" s="261">
        <f t="shared" si="114"/>
        <v>0.23005275996630145</v>
      </c>
      <c r="BA99" s="171" t="s">
        <v>1419</v>
      </c>
    </row>
    <row r="100" spans="1:53" s="171" customFormat="1" ht="15.5">
      <c r="A100" s="175" t="s">
        <v>1629</v>
      </c>
      <c r="B100" s="175" t="s">
        <v>1244</v>
      </c>
      <c r="C100" s="175" t="s">
        <v>1312</v>
      </c>
      <c r="D100" s="249" t="s">
        <v>1408</v>
      </c>
      <c r="E100" s="249" t="s">
        <v>160</v>
      </c>
      <c r="G100" s="247">
        <f t="shared" ref="G100:O100" si="125">$K$91*G79</f>
        <v>920.91751762227034</v>
      </c>
      <c r="H100" s="247">
        <f t="shared" si="125"/>
        <v>1284443.58547132</v>
      </c>
      <c r="I100" s="247">
        <f t="shared" si="125"/>
        <v>1139927.2610202229</v>
      </c>
      <c r="J100" s="247">
        <f t="shared" si="125"/>
        <v>642265.70478937833</v>
      </c>
      <c r="K100" s="247">
        <f t="shared" si="125"/>
        <v>335413.36184813874</v>
      </c>
      <c r="L100" s="247">
        <f t="shared" si="125"/>
        <v>204482.60498973005</v>
      </c>
      <c r="M100" s="247">
        <f t="shared" si="125"/>
        <v>76819.233526082884</v>
      </c>
      <c r="N100" s="247">
        <f t="shared" si="125"/>
        <v>23311.812337125597</v>
      </c>
      <c r="O100" s="247">
        <f t="shared" si="125"/>
        <v>503.41593172008629</v>
      </c>
      <c r="P100" s="247">
        <f>SUM(G100:O100)</f>
        <v>3708087.897431341</v>
      </c>
      <c r="Q100" s="261">
        <f t="shared" si="120"/>
        <v>7.212998964872373E-3</v>
      </c>
      <c r="AD100" s="260">
        <f t="shared" si="117"/>
        <v>975.40578231514371</v>
      </c>
      <c r="AE100" s="260">
        <f t="shared" si="117"/>
        <v>1360440.7304153375</v>
      </c>
      <c r="AF100" s="260">
        <f t="shared" si="117"/>
        <v>1207373.7555656428</v>
      </c>
      <c r="AG100" s="260">
        <f t="shared" si="117"/>
        <v>680266.87542198296</v>
      </c>
      <c r="AH100" s="260">
        <f t="shared" si="117"/>
        <v>355258.88730746013</v>
      </c>
      <c r="AI100" s="260">
        <f t="shared" si="117"/>
        <v>216581.30231339054</v>
      </c>
      <c r="AJ100" s="260">
        <f t="shared" si="117"/>
        <v>81364.425304690914</v>
      </c>
      <c r="AK100" s="260">
        <f t="shared" si="117"/>
        <v>24691.11089187074</v>
      </c>
      <c r="AL100" s="260">
        <f t="shared" si="117"/>
        <v>533.201726879023</v>
      </c>
      <c r="AM100" s="247">
        <f>SUM(AD100:AL100)</f>
        <v>3927485.6947295694</v>
      </c>
      <c r="AN100" s="261">
        <f t="shared" si="114"/>
        <v>7.2129989648723721E-3</v>
      </c>
      <c r="BA100" s="171" t="s">
        <v>1421</v>
      </c>
    </row>
    <row r="101" spans="1:53" s="171" customFormat="1" ht="15.5">
      <c r="A101" s="175" t="s">
        <v>1630</v>
      </c>
      <c r="B101" s="175" t="s">
        <v>1244</v>
      </c>
      <c r="C101" s="175" t="s">
        <v>1315</v>
      </c>
      <c r="D101" s="249" t="s">
        <v>1408</v>
      </c>
      <c r="E101" s="249" t="s">
        <v>160</v>
      </c>
      <c r="G101" s="247">
        <f t="shared" ref="G101:O101" si="126">$K$91*G80</f>
        <v>986.61403812569017</v>
      </c>
      <c r="H101" s="247">
        <f>$K$91*H80</f>
        <v>1936634.1438240525</v>
      </c>
      <c r="I101" s="247">
        <f t="shared" si="126"/>
        <v>1829227.9004884611</v>
      </c>
      <c r="J101" s="247">
        <f t="shared" si="126"/>
        <v>1069039.8563573465</v>
      </c>
      <c r="K101" s="247">
        <f t="shared" si="126"/>
        <v>532812.21972116502</v>
      </c>
      <c r="L101" s="247">
        <f t="shared" si="126"/>
        <v>476092.44439226366</v>
      </c>
      <c r="M101" s="247">
        <f t="shared" si="126"/>
        <v>164791.72888172403</v>
      </c>
      <c r="N101" s="247">
        <f t="shared" si="126"/>
        <v>44760.333015496217</v>
      </c>
      <c r="O101" s="247">
        <f t="shared" si="126"/>
        <v>1583.1252686262426</v>
      </c>
      <c r="P101" s="247">
        <f t="shared" ref="P101:P105" si="127">SUM(G101:O101)</f>
        <v>6055928.3659872608</v>
      </c>
      <c r="Q101" s="261">
        <f t="shared" si="120"/>
        <v>1.1780034951562568E-2</v>
      </c>
      <c r="AD101" s="260">
        <f t="shared" si="117"/>
        <v>1044.9893929543159</v>
      </c>
      <c r="AE101" s="260">
        <f t="shared" si="117"/>
        <v>2051219.6868533499</v>
      </c>
      <c r="AF101" s="260">
        <f t="shared" si="117"/>
        <v>1937458.4989059472</v>
      </c>
      <c r="AG101" s="260">
        <f t="shared" si="117"/>
        <v>1132292.1298191729</v>
      </c>
      <c r="AH101" s="260">
        <f t="shared" si="117"/>
        <v>564337.31583913474</v>
      </c>
      <c r="AI101" s="260">
        <f t="shared" si="117"/>
        <v>504261.58075020951</v>
      </c>
      <c r="AJ101" s="260">
        <f t="shared" si="117"/>
        <v>174542.02157426302</v>
      </c>
      <c r="AK101" s="260">
        <f t="shared" si="117"/>
        <v>47408.684063684086</v>
      </c>
      <c r="AL101" s="260">
        <f t="shared" si="117"/>
        <v>1676.7946223177687</v>
      </c>
      <c r="AM101" s="247">
        <f t="shared" ref="AM101:AM105" si="128">SUM(AD101:AL101)</f>
        <v>6414241.7018210348</v>
      </c>
      <c r="AN101" s="261">
        <f t="shared" si="114"/>
        <v>1.1780034951562568E-2</v>
      </c>
      <c r="BA101" s="171" t="s">
        <v>1631</v>
      </c>
    </row>
    <row r="102" spans="1:53" s="171" customFormat="1" ht="15.5">
      <c r="A102" s="175" t="s">
        <v>1632</v>
      </c>
      <c r="B102" s="175" t="s">
        <v>1244</v>
      </c>
      <c r="C102" s="175" t="s">
        <v>1262</v>
      </c>
      <c r="D102" s="249" t="s">
        <v>1408</v>
      </c>
      <c r="E102" s="249" t="s">
        <v>160</v>
      </c>
      <c r="G102" s="247">
        <f t="shared" ref="G102:O102" si="129">$K$91*G81</f>
        <v>14405.25041919192</v>
      </c>
      <c r="H102" s="247">
        <f t="shared" si="129"/>
        <v>13110030.811154803</v>
      </c>
      <c r="I102" s="247">
        <f t="shared" si="129"/>
        <v>9924203.3799413554</v>
      </c>
      <c r="J102" s="247">
        <f t="shared" si="129"/>
        <v>4992889.4996300619</v>
      </c>
      <c r="K102" s="247">
        <f t="shared" si="129"/>
        <v>1991240.0598854921</v>
      </c>
      <c r="L102" s="247">
        <f t="shared" si="129"/>
        <v>890812.91065314028</v>
      </c>
      <c r="M102" s="247">
        <f t="shared" si="129"/>
        <v>247433.86777935695</v>
      </c>
      <c r="N102" s="247">
        <f t="shared" si="129"/>
        <v>82510.219125382282</v>
      </c>
      <c r="O102" s="247">
        <f t="shared" si="129"/>
        <v>3044.4960000000005</v>
      </c>
      <c r="P102" s="247">
        <f t="shared" si="127"/>
        <v>31256570.494588781</v>
      </c>
      <c r="Q102" s="261">
        <f t="shared" si="120"/>
        <v>6.0800503348128559E-2</v>
      </c>
      <c r="AD102" s="260">
        <f t="shared" si="117"/>
        <v>15257.571156704482</v>
      </c>
      <c r="AE102" s="260">
        <f>$AH$91*AE81</f>
        <v>13885716.814841975</v>
      </c>
      <c r="AF102" s="260">
        <f t="shared" si="117"/>
        <v>10511392.362976806</v>
      </c>
      <c r="AG102" s="260">
        <f t="shared" si="117"/>
        <v>5288305.6247793911</v>
      </c>
      <c r="AH102" s="260">
        <f t="shared" si="117"/>
        <v>2109056.4911878621</v>
      </c>
      <c r="AI102" s="260">
        <f t="shared" si="117"/>
        <v>943519.96501868241</v>
      </c>
      <c r="AJ102" s="260">
        <f t="shared" si="117"/>
        <v>262073.87822931886</v>
      </c>
      <c r="AK102" s="260">
        <f t="shared" si="117"/>
        <v>87392.131537232883</v>
      </c>
      <c r="AL102" s="260">
        <f t="shared" si="117"/>
        <v>3224.6308119999999</v>
      </c>
      <c r="AM102" s="247">
        <f t="shared" si="128"/>
        <v>33105939.470539976</v>
      </c>
      <c r="AN102" s="261">
        <f t="shared" si="114"/>
        <v>6.0800503348128573E-2</v>
      </c>
      <c r="BA102" s="171" t="s">
        <v>1425</v>
      </c>
    </row>
    <row r="103" spans="1:53" s="171" customFormat="1" ht="15.5">
      <c r="A103" s="175" t="s">
        <v>1633</v>
      </c>
      <c r="B103" s="175" t="s">
        <v>1265</v>
      </c>
      <c r="C103" s="175" t="s">
        <v>1266</v>
      </c>
      <c r="D103" s="249" t="s">
        <v>1408</v>
      </c>
      <c r="E103" s="249" t="s">
        <v>160</v>
      </c>
      <c r="G103" s="247">
        <f t="shared" ref="G103:O103" si="130">$K$91*G82</f>
        <v>71.400000000000006</v>
      </c>
      <c r="H103" s="247">
        <f t="shared" si="130"/>
        <v>80196.48000000001</v>
      </c>
      <c r="I103" s="247">
        <f t="shared" si="130"/>
        <v>54778.080000000002</v>
      </c>
      <c r="J103" s="247">
        <f t="shared" si="130"/>
        <v>43182.720000000001</v>
      </c>
      <c r="K103" s="247">
        <f t="shared" si="130"/>
        <v>34443.360000000001</v>
      </c>
      <c r="L103" s="247">
        <f t="shared" si="130"/>
        <v>35971.320000000007</v>
      </c>
      <c r="M103" s="247">
        <f t="shared" si="130"/>
        <v>21905.52</v>
      </c>
      <c r="N103" s="247">
        <f t="shared" si="130"/>
        <v>12209.400000000001</v>
      </c>
      <c r="O103" s="247">
        <f t="shared" si="130"/>
        <v>4112.6400000000003</v>
      </c>
      <c r="P103" s="247">
        <f t="shared" si="127"/>
        <v>286870.9200000001</v>
      </c>
      <c r="Q103" s="261">
        <f t="shared" si="120"/>
        <v>5.5802335496020949E-4</v>
      </c>
      <c r="AD103" s="260">
        <f t="shared" si="117"/>
        <v>75.624549999999985</v>
      </c>
      <c r="AE103" s="260">
        <f t="shared" si="117"/>
        <v>84941.494559999977</v>
      </c>
      <c r="AF103" s="260">
        <f t="shared" si="117"/>
        <v>58019.154759999983</v>
      </c>
      <c r="AG103" s="260">
        <f t="shared" si="117"/>
        <v>45737.727839999992</v>
      </c>
      <c r="AH103" s="260">
        <f t="shared" si="117"/>
        <v>36481.282919999998</v>
      </c>
      <c r="AI103" s="260">
        <f t="shared" si="117"/>
        <v>38099.648289999997</v>
      </c>
      <c r="AJ103" s="260">
        <f t="shared" si="117"/>
        <v>23201.611939999995</v>
      </c>
      <c r="AK103" s="260">
        <f t="shared" si="117"/>
        <v>12931.798049999998</v>
      </c>
      <c r="AL103" s="260">
        <f t="shared" si="117"/>
        <v>4355.974079999999</v>
      </c>
      <c r="AM103" s="247">
        <f t="shared" si="128"/>
        <v>303844.3169899999</v>
      </c>
      <c r="AN103" s="261">
        <f t="shared" si="114"/>
        <v>5.5802335496020917E-4</v>
      </c>
      <c r="BA103" s="171" t="s">
        <v>1427</v>
      </c>
    </row>
    <row r="104" spans="1:53" s="171" customFormat="1" ht="15.5">
      <c r="A104" s="175" t="s">
        <v>1634</v>
      </c>
      <c r="B104" s="175" t="s">
        <v>1265</v>
      </c>
      <c r="C104" s="175" t="s">
        <v>1269</v>
      </c>
      <c r="D104" s="249" t="s">
        <v>1408</v>
      </c>
      <c r="E104" s="249" t="s">
        <v>160</v>
      </c>
      <c r="G104" s="247">
        <f t="shared" ref="G104:O104" si="131">$K$91*G83</f>
        <v>0</v>
      </c>
      <c r="H104" s="247">
        <f t="shared" si="131"/>
        <v>942.48</v>
      </c>
      <c r="I104" s="247">
        <f t="shared" si="131"/>
        <v>1599.3600000000001</v>
      </c>
      <c r="J104" s="247">
        <f t="shared" si="131"/>
        <v>1028.1600000000001</v>
      </c>
      <c r="K104" s="247">
        <f t="shared" si="131"/>
        <v>899.6400000000001</v>
      </c>
      <c r="L104" s="247">
        <f t="shared" si="131"/>
        <v>942.48000000000013</v>
      </c>
      <c r="M104" s="247">
        <f t="shared" si="131"/>
        <v>556.91999999999996</v>
      </c>
      <c r="N104" s="247">
        <f t="shared" si="131"/>
        <v>0</v>
      </c>
      <c r="O104" s="247">
        <f t="shared" si="131"/>
        <v>0</v>
      </c>
      <c r="P104" s="247">
        <f t="shared" si="127"/>
        <v>5969.0400000000009</v>
      </c>
      <c r="Q104" s="261">
        <f t="shared" si="120"/>
        <v>1.1611019083745707E-5</v>
      </c>
      <c r="AD104" s="260">
        <f t="shared" si="117"/>
        <v>0</v>
      </c>
      <c r="AE104" s="260">
        <f t="shared" si="117"/>
        <v>998.24405999999976</v>
      </c>
      <c r="AF104" s="260">
        <f t="shared" si="117"/>
        <v>1693.9899199999998</v>
      </c>
      <c r="AG104" s="260">
        <f t="shared" si="117"/>
        <v>1088.9935199999998</v>
      </c>
      <c r="AH104" s="260">
        <f t="shared" si="117"/>
        <v>952.86932999999976</v>
      </c>
      <c r="AI104" s="260">
        <f t="shared" si="117"/>
        <v>998.24405999999988</v>
      </c>
      <c r="AJ104" s="260">
        <f t="shared" si="117"/>
        <v>589.87148999999988</v>
      </c>
      <c r="AK104" s="260">
        <f t="shared" si="117"/>
        <v>0</v>
      </c>
      <c r="AL104" s="260">
        <f t="shared" si="117"/>
        <v>0</v>
      </c>
      <c r="AM104" s="247">
        <f t="shared" si="128"/>
        <v>6322.2123799999981</v>
      </c>
      <c r="AN104" s="261">
        <f t="shared" si="114"/>
        <v>1.1611019083745703E-5</v>
      </c>
      <c r="BA104" s="171" t="s">
        <v>1429</v>
      </c>
    </row>
    <row r="105" spans="1:53" s="171" customFormat="1" ht="15.5">
      <c r="A105" s="175" t="s">
        <v>1635</v>
      </c>
      <c r="B105" s="175" t="s">
        <v>1265</v>
      </c>
      <c r="C105" s="175" t="s">
        <v>1272</v>
      </c>
      <c r="D105" s="249" t="s">
        <v>1408</v>
      </c>
      <c r="E105" s="249" t="s">
        <v>160</v>
      </c>
      <c r="G105" s="247">
        <f t="shared" ref="G105:O105" si="132">$K$91*G84</f>
        <v>0</v>
      </c>
      <c r="H105" s="247">
        <f t="shared" si="132"/>
        <v>1456.56</v>
      </c>
      <c r="I105" s="247">
        <f t="shared" si="132"/>
        <v>5597.76</v>
      </c>
      <c r="J105" s="247">
        <f t="shared" si="132"/>
        <v>4455.3599999999997</v>
      </c>
      <c r="K105" s="247">
        <f t="shared" si="132"/>
        <v>3727.0800000000004</v>
      </c>
      <c r="L105" s="247">
        <f t="shared" si="132"/>
        <v>2513.2800000000002</v>
      </c>
      <c r="M105" s="247">
        <f t="shared" si="132"/>
        <v>928.2</v>
      </c>
      <c r="N105" s="247">
        <f t="shared" si="132"/>
        <v>0</v>
      </c>
      <c r="O105" s="247">
        <f t="shared" si="132"/>
        <v>0</v>
      </c>
      <c r="P105" s="247">
        <f t="shared" si="127"/>
        <v>18678.240000000002</v>
      </c>
      <c r="Q105" s="261">
        <f t="shared" si="120"/>
        <v>3.6333045362534414E-5</v>
      </c>
      <c r="AD105" s="260">
        <f t="shared" si="117"/>
        <v>0</v>
      </c>
      <c r="AE105" s="260">
        <f t="shared" si="117"/>
        <v>1542.7408199999998</v>
      </c>
      <c r="AF105" s="260">
        <f t="shared" si="117"/>
        <v>5928.9647199999981</v>
      </c>
      <c r="AG105" s="260">
        <f t="shared" si="117"/>
        <v>4718.971919999999</v>
      </c>
      <c r="AH105" s="260">
        <f t="shared" si="117"/>
        <v>3947.6015099999995</v>
      </c>
      <c r="AI105" s="260">
        <f t="shared" si="117"/>
        <v>2661.98416</v>
      </c>
      <c r="AJ105" s="260">
        <f t="shared" si="117"/>
        <v>983.11914999999988</v>
      </c>
      <c r="AK105" s="260">
        <f t="shared" si="117"/>
        <v>0</v>
      </c>
      <c r="AL105" s="260">
        <f t="shared" si="117"/>
        <v>0</v>
      </c>
      <c r="AM105" s="247">
        <f t="shared" si="128"/>
        <v>19783.382279999994</v>
      </c>
      <c r="AN105" s="261">
        <f t="shared" si="114"/>
        <v>3.63330453625344E-5</v>
      </c>
      <c r="BA105" s="171" t="s">
        <v>1431</v>
      </c>
    </row>
    <row r="106" spans="1:53" s="171" customFormat="1" ht="15.5">
      <c r="A106" s="175" t="s">
        <v>1636</v>
      </c>
      <c r="B106" s="175" t="s">
        <v>1275</v>
      </c>
      <c r="C106" s="175" t="s">
        <v>1275</v>
      </c>
      <c r="D106" s="249" t="s">
        <v>1408</v>
      </c>
      <c r="E106" s="249" t="s">
        <v>160</v>
      </c>
      <c r="G106" s="247">
        <f t="shared" ref="G106:O106" si="133">$K$91*G85</f>
        <v>0</v>
      </c>
      <c r="H106" s="247">
        <f t="shared" si="133"/>
        <v>0</v>
      </c>
      <c r="I106" s="247">
        <f t="shared" si="133"/>
        <v>0</v>
      </c>
      <c r="J106" s="247">
        <f t="shared" si="133"/>
        <v>0</v>
      </c>
      <c r="K106" s="247">
        <f t="shared" si="133"/>
        <v>0</v>
      </c>
      <c r="L106" s="247">
        <f t="shared" si="133"/>
        <v>0</v>
      </c>
      <c r="M106" s="247">
        <f t="shared" si="133"/>
        <v>0</v>
      </c>
      <c r="N106" s="247">
        <f t="shared" si="133"/>
        <v>0</v>
      </c>
      <c r="O106" s="247">
        <f t="shared" si="133"/>
        <v>0</v>
      </c>
      <c r="P106" s="247">
        <f>SUM(G106:O106)</f>
        <v>0</v>
      </c>
      <c r="Q106" s="261">
        <f t="shared" si="120"/>
        <v>0</v>
      </c>
      <c r="AD106" s="260">
        <f t="shared" si="117"/>
        <v>0</v>
      </c>
      <c r="AE106" s="260">
        <f t="shared" si="117"/>
        <v>0</v>
      </c>
      <c r="AF106" s="260">
        <f t="shared" si="117"/>
        <v>0</v>
      </c>
      <c r="AG106" s="260">
        <f t="shared" si="117"/>
        <v>0</v>
      </c>
      <c r="AH106" s="260">
        <f t="shared" si="117"/>
        <v>0</v>
      </c>
      <c r="AI106" s="260">
        <f t="shared" si="117"/>
        <v>0</v>
      </c>
      <c r="AJ106" s="260">
        <f t="shared" si="117"/>
        <v>0</v>
      </c>
      <c r="AK106" s="260">
        <f t="shared" si="117"/>
        <v>0</v>
      </c>
      <c r="AL106" s="260">
        <f t="shared" si="117"/>
        <v>0</v>
      </c>
      <c r="AM106" s="247">
        <f>SUM(AD106:AL106)</f>
        <v>0</v>
      </c>
      <c r="AN106" s="261">
        <f t="shared" si="114"/>
        <v>0</v>
      </c>
      <c r="BA106" s="171" t="s">
        <v>1433</v>
      </c>
    </row>
    <row r="107" spans="1:53" s="171" customFormat="1" ht="15.5">
      <c r="A107" s="175" t="s">
        <v>1637</v>
      </c>
      <c r="B107" s="175" t="s">
        <v>1279</v>
      </c>
      <c r="C107" s="175" t="s">
        <v>1279</v>
      </c>
      <c r="D107" s="249" t="s">
        <v>1408</v>
      </c>
      <c r="E107" s="249" t="s">
        <v>160</v>
      </c>
      <c r="G107" s="247">
        <f t="shared" ref="G107:O107" si="134">$K$91*G86</f>
        <v>0</v>
      </c>
      <c r="H107" s="247">
        <f t="shared" si="134"/>
        <v>0</v>
      </c>
      <c r="I107" s="247">
        <f t="shared" si="134"/>
        <v>0</v>
      </c>
      <c r="J107" s="247">
        <f t="shared" si="134"/>
        <v>0</v>
      </c>
      <c r="K107" s="247">
        <f t="shared" si="134"/>
        <v>0</v>
      </c>
      <c r="L107" s="247">
        <f t="shared" si="134"/>
        <v>0</v>
      </c>
      <c r="M107" s="247">
        <f t="shared" si="134"/>
        <v>0</v>
      </c>
      <c r="N107" s="247">
        <f t="shared" si="134"/>
        <v>0</v>
      </c>
      <c r="O107" s="247">
        <f t="shared" si="134"/>
        <v>0</v>
      </c>
      <c r="P107" s="247">
        <f t="shared" ref="P107" si="135">SUM(G107:O107)</f>
        <v>0</v>
      </c>
      <c r="Q107" s="261">
        <f t="shared" si="120"/>
        <v>0</v>
      </c>
      <c r="AD107" s="260">
        <f t="shared" si="117"/>
        <v>0</v>
      </c>
      <c r="AE107" s="260">
        <f t="shared" si="117"/>
        <v>0</v>
      </c>
      <c r="AF107" s="260">
        <f t="shared" si="117"/>
        <v>0</v>
      </c>
      <c r="AG107" s="260">
        <f t="shared" si="117"/>
        <v>0</v>
      </c>
      <c r="AH107" s="260">
        <f t="shared" si="117"/>
        <v>0</v>
      </c>
      <c r="AI107" s="260">
        <f t="shared" si="117"/>
        <v>0</v>
      </c>
      <c r="AJ107" s="260">
        <f t="shared" si="117"/>
        <v>0</v>
      </c>
      <c r="AK107" s="260">
        <f t="shared" si="117"/>
        <v>0</v>
      </c>
      <c r="AL107" s="260">
        <f t="shared" si="117"/>
        <v>0</v>
      </c>
      <c r="AM107" s="247">
        <f>SUM(AD107:AL107)</f>
        <v>0</v>
      </c>
      <c r="AN107" s="261">
        <f t="shared" si="114"/>
        <v>0</v>
      </c>
      <c r="BA107" s="171" t="s">
        <v>1435</v>
      </c>
    </row>
    <row r="108" spans="1:53" s="171" customFormat="1" ht="15.5">
      <c r="A108" s="175" t="s">
        <v>1638</v>
      </c>
      <c r="B108" s="175"/>
      <c r="C108" s="175" t="s">
        <v>1639</v>
      </c>
      <c r="D108" s="249" t="s">
        <v>1408</v>
      </c>
      <c r="E108" s="249" t="s">
        <v>160</v>
      </c>
      <c r="G108" s="247">
        <f t="shared" ref="G108:P108" si="136">SUM(G94:G107)</f>
        <v>78521.187555747965</v>
      </c>
      <c r="H108" s="247">
        <f t="shared" si="136"/>
        <v>63836756.894451745</v>
      </c>
      <c r="I108" s="247">
        <f t="shared" si="136"/>
        <v>91876772.073922709</v>
      </c>
      <c r="J108" s="247">
        <f t="shared" si="136"/>
        <v>76068981.542909771</v>
      </c>
      <c r="K108" s="247">
        <f t="shared" si="136"/>
        <v>74463097.81205368</v>
      </c>
      <c r="L108" s="247">
        <f t="shared" si="136"/>
        <v>91568841.497142747</v>
      </c>
      <c r="M108" s="247">
        <f t="shared" si="136"/>
        <v>65133992.898525782</v>
      </c>
      <c r="N108" s="247">
        <f t="shared" si="136"/>
        <v>45938085.103923485</v>
      </c>
      <c r="O108" s="247">
        <f t="shared" si="136"/>
        <v>5119025.5180003457</v>
      </c>
      <c r="P108" s="247">
        <f t="shared" si="136"/>
        <v>514084074.52848595</v>
      </c>
      <c r="Q108" s="261">
        <f t="shared" si="120"/>
        <v>1</v>
      </c>
      <c r="AD108" s="247">
        <f>SUM(AD94:AD107)</f>
        <v>83167.079472955709</v>
      </c>
      <c r="AE108" s="247">
        <f t="shared" ref="AE108:AL108" si="137">SUM(AE94:AE107)</f>
        <v>67613809.714318082</v>
      </c>
      <c r="AF108" s="247">
        <f t="shared" si="137"/>
        <v>97312878.761106029</v>
      </c>
      <c r="AG108" s="247">
        <f t="shared" si="137"/>
        <v>80569782.887126848</v>
      </c>
      <c r="AH108" s="247">
        <f t="shared" si="137"/>
        <v>78868883.244293317</v>
      </c>
      <c r="AI108" s="247">
        <f t="shared" si="137"/>
        <v>96986728.742895588</v>
      </c>
      <c r="AJ108" s="247">
        <f t="shared" si="137"/>
        <v>68987799.75706172</v>
      </c>
      <c r="AK108" s="247">
        <f t="shared" si="137"/>
        <v>48656120.642099671</v>
      </c>
      <c r="AL108" s="247">
        <f t="shared" si="137"/>
        <v>5421904.7792337947</v>
      </c>
      <c r="AM108" s="247">
        <f>SUM(AM94:AM107)</f>
        <v>544501075.60760796</v>
      </c>
      <c r="AN108" s="261">
        <f t="shared" si="114"/>
        <v>1</v>
      </c>
      <c r="BA108" s="171" t="s">
        <v>1640</v>
      </c>
    </row>
    <row r="109" spans="1:53" s="171" customFormat="1" ht="15.5">
      <c r="A109" s="175" t="s">
        <v>1641</v>
      </c>
      <c r="B109" s="175"/>
      <c r="C109" s="175" t="s">
        <v>1286</v>
      </c>
      <c r="D109" s="249" t="s">
        <v>1253</v>
      </c>
      <c r="E109" s="249" t="s">
        <v>160</v>
      </c>
      <c r="G109" s="248">
        <f t="shared" ref="G109:P109" si="138">IFERROR(G108/$P$108, "")</f>
        <v>1.5273997279096227E-4</v>
      </c>
      <c r="H109" s="248">
        <f t="shared" si="138"/>
        <v>0.12417571377405989</v>
      </c>
      <c r="I109" s="248">
        <f t="shared" si="138"/>
        <v>0.17871935083418289</v>
      </c>
      <c r="J109" s="248">
        <f t="shared" si="138"/>
        <v>0.14796992420486799</v>
      </c>
      <c r="K109" s="248">
        <f t="shared" si="138"/>
        <v>0.14484614774412274</v>
      </c>
      <c r="L109" s="248">
        <f t="shared" si="138"/>
        <v>0.1781203620849936</v>
      </c>
      <c r="M109" s="248">
        <f t="shared" si="138"/>
        <v>0.1266991064803285</v>
      </c>
      <c r="N109" s="248">
        <f t="shared" si="138"/>
        <v>8.9359090040004738E-2</v>
      </c>
      <c r="O109" s="248">
        <f t="shared" si="138"/>
        <v>9.9575648646487974E-3</v>
      </c>
      <c r="P109" s="248">
        <f t="shared" si="138"/>
        <v>1</v>
      </c>
      <c r="AD109" s="248">
        <f t="shared" ref="AD109:AM109" si="139">IFERROR(AD108/$AM$108, "")</f>
        <v>1.5273997279096222E-4</v>
      </c>
      <c r="AE109" s="248">
        <f t="shared" si="139"/>
        <v>0.12417571377405991</v>
      </c>
      <c r="AF109" s="248">
        <f t="shared" si="139"/>
        <v>0.17871935083418289</v>
      </c>
      <c r="AG109" s="248">
        <f t="shared" si="139"/>
        <v>0.14796992420486799</v>
      </c>
      <c r="AH109" s="248">
        <f t="shared" si="139"/>
        <v>0.14484614774412272</v>
      </c>
      <c r="AI109" s="248">
        <f t="shared" si="139"/>
        <v>0.17812036208499357</v>
      </c>
      <c r="AJ109" s="248">
        <f t="shared" si="139"/>
        <v>0.1266991064803285</v>
      </c>
      <c r="AK109" s="248">
        <f t="shared" si="139"/>
        <v>8.9359090040004752E-2</v>
      </c>
      <c r="AL109" s="248">
        <f t="shared" si="139"/>
        <v>9.9575648646487956E-3</v>
      </c>
      <c r="AM109" s="248">
        <f t="shared" si="139"/>
        <v>1</v>
      </c>
      <c r="BA109" s="171" t="s">
        <v>1642</v>
      </c>
    </row>
    <row r="110" spans="1:53" s="171" customFormat="1" ht="15.5">
      <c r="A110" s="175" t="s">
        <v>1643</v>
      </c>
      <c r="B110" s="175"/>
      <c r="C110" s="175" t="s">
        <v>1442</v>
      </c>
      <c r="D110" s="249" t="s">
        <v>1402</v>
      </c>
      <c r="E110" s="249" t="s">
        <v>160</v>
      </c>
      <c r="G110" s="264">
        <f t="shared" ref="G110:P110" si="140">(G52-G87)*$K$91</f>
        <v>19868.012444252039</v>
      </c>
      <c r="H110" s="264">
        <f t="shared" si="140"/>
        <v>27855065.985548243</v>
      </c>
      <c r="I110" s="264">
        <f t="shared" si="140"/>
        <v>25573628.966077346</v>
      </c>
      <c r="J110" s="264">
        <f t="shared" si="140"/>
        <v>17436686.937090266</v>
      </c>
      <c r="K110" s="264">
        <f t="shared" si="140"/>
        <v>13065448.187946344</v>
      </c>
      <c r="L110" s="264">
        <f t="shared" si="140"/>
        <v>12140715.222857269</v>
      </c>
      <c r="M110" s="264">
        <f t="shared" si="140"/>
        <v>5966869.6614742111</v>
      </c>
      <c r="N110" s="264">
        <f t="shared" si="140"/>
        <v>3195967.6960765254</v>
      </c>
      <c r="O110" s="264">
        <f t="shared" si="140"/>
        <v>453087.60199965397</v>
      </c>
      <c r="P110" s="264">
        <f t="shared" si="140"/>
        <v>105707338.27151401</v>
      </c>
      <c r="AD110" s="264">
        <f>(AD52-AD87)*$AH$91</f>
        <v>21043.550427044269</v>
      </c>
      <c r="AE110" s="264">
        <f t="shared" ref="AE110:AM110" si="141">(AE52-AE87)*$AH$91</f>
        <v>29503176.896041911</v>
      </c>
      <c r="AF110" s="264">
        <f t="shared" si="141"/>
        <v>27086753.255273934</v>
      </c>
      <c r="AG110" s="264">
        <f t="shared" si="141"/>
        <v>18468369.791433163</v>
      </c>
      <c r="AH110" s="264">
        <f t="shared" si="141"/>
        <v>13838496.355206696</v>
      </c>
      <c r="AI110" s="264">
        <f t="shared" si="141"/>
        <v>12859049.375444358</v>
      </c>
      <c r="AJ110" s="264">
        <f t="shared" si="141"/>
        <v>6319913.6282582218</v>
      </c>
      <c r="AK110" s="264">
        <f t="shared" si="141"/>
        <v>3385064.6895003449</v>
      </c>
      <c r="AL110" s="264">
        <f t="shared" si="141"/>
        <v>479895.60240620357</v>
      </c>
      <c r="AM110" s="264">
        <f t="shared" si="141"/>
        <v>111961763.14399199</v>
      </c>
      <c r="BA110" s="171" t="s">
        <v>1443</v>
      </c>
    </row>
    <row r="111" spans="1:53" s="171" customFormat="1" ht="15.5">
      <c r="D111" s="238"/>
      <c r="E111" s="238"/>
    </row>
    <row r="112" spans="1:53" s="171" customFormat="1" ht="16" thickBot="1">
      <c r="D112" s="238"/>
      <c r="E112" s="238"/>
    </row>
    <row r="113" spans="2:7" s="171" customFormat="1" ht="15.5">
      <c r="B113" s="459"/>
      <c r="C113" s="460"/>
      <c r="D113" s="460"/>
      <c r="E113" s="461"/>
      <c r="F113" s="461"/>
      <c r="G113" s="462"/>
    </row>
    <row r="114" spans="2:7" s="171" customFormat="1" ht="15.5">
      <c r="B114" s="463" t="s">
        <v>142</v>
      </c>
      <c r="C114" s="464"/>
      <c r="D114" s="464"/>
      <c r="E114" s="465"/>
      <c r="F114" s="384"/>
      <c r="G114" s="466"/>
    </row>
    <row r="115" spans="2:7" s="171" customFormat="1" ht="15.5">
      <c r="B115" s="455"/>
      <c r="C115" s="464"/>
      <c r="D115" s="464"/>
      <c r="E115" s="467"/>
      <c r="F115" s="384"/>
      <c r="G115" s="466"/>
    </row>
    <row r="116" spans="2:7" s="171" customFormat="1" ht="15.5">
      <c r="B116" s="463" t="s">
        <v>143</v>
      </c>
      <c r="C116" s="464"/>
      <c r="D116" s="464"/>
      <c r="E116" s="465"/>
      <c r="F116" s="384"/>
      <c r="G116" s="466"/>
    </row>
    <row r="117" spans="2:7" s="171" customFormat="1" ht="15.5">
      <c r="B117" s="468"/>
      <c r="C117" s="464"/>
      <c r="D117" s="464"/>
      <c r="E117" s="467"/>
      <c r="F117" s="384"/>
      <c r="G117" s="466"/>
    </row>
    <row r="118" spans="2:7" s="171" customFormat="1" ht="15.5">
      <c r="B118" s="463" t="s">
        <v>144</v>
      </c>
      <c r="C118" s="464"/>
      <c r="D118" s="464"/>
      <c r="E118" s="465" t="s">
        <v>145</v>
      </c>
      <c r="F118" s="384"/>
      <c r="G118" s="469"/>
    </row>
    <row r="119" spans="2:7" s="171" customFormat="1" ht="15.5">
      <c r="B119" s="470"/>
      <c r="C119" s="471"/>
      <c r="D119" s="471"/>
      <c r="E119" s="472"/>
      <c r="F119" s="472"/>
      <c r="G119" s="473"/>
    </row>
    <row r="120" spans="2:7" s="171" customFormat="1" ht="15.5">
      <c r="D120" s="238"/>
      <c r="E120" s="238"/>
    </row>
    <row r="121" spans="2:7" s="171" customFormat="1" ht="15.5">
      <c r="C121"/>
      <c r="D121" s="238"/>
      <c r="E121" s="238"/>
    </row>
    <row r="122" spans="2:7" s="171" customFormat="1" ht="15.5">
      <c r="D122" s="238"/>
      <c r="E122" s="238"/>
    </row>
    <row r="123" spans="2:7" s="171" customFormat="1" ht="15.5">
      <c r="D123" s="238"/>
      <c r="E123" s="238"/>
    </row>
    <row r="124" spans="2:7" s="171" customFormat="1" ht="15.5">
      <c r="D124" s="238"/>
      <c r="E124" s="238"/>
    </row>
    <row r="125" spans="2:7" s="171" customFormat="1" ht="15.5">
      <c r="D125" s="238"/>
      <c r="E125" s="238"/>
    </row>
    <row r="126" spans="2:7" s="171" customFormat="1" ht="15.5">
      <c r="D126" s="238"/>
      <c r="E126" s="238"/>
    </row>
    <row r="127" spans="2:7" s="171" customFormat="1" ht="15.5">
      <c r="D127" s="238"/>
      <c r="E127" s="238"/>
    </row>
    <row r="128" spans="2:7" s="171" customFormat="1" ht="15.5">
      <c r="D128" s="238"/>
      <c r="E128" s="238"/>
    </row>
    <row r="129" spans="4:5" s="171" customFormat="1" ht="15.5">
      <c r="D129" s="238"/>
      <c r="E129" s="238"/>
    </row>
    <row r="130" spans="4:5" s="171" customFormat="1" ht="15.5">
      <c r="D130" s="238"/>
      <c r="E130" s="238"/>
    </row>
    <row r="131" spans="4:5" s="171" customFormat="1" ht="15.5">
      <c r="D131" s="238"/>
      <c r="E131" s="238"/>
    </row>
    <row r="132" spans="4:5" s="171" customFormat="1" ht="15.5">
      <c r="D132" s="238"/>
      <c r="E132" s="238"/>
    </row>
    <row r="133" spans="4:5" s="171" customFormat="1" ht="15.5">
      <c r="D133" s="238"/>
      <c r="E133" s="238"/>
    </row>
  </sheetData>
  <mergeCells count="11">
    <mergeCell ref="A9:A11"/>
    <mergeCell ref="B9:B11"/>
    <mergeCell ref="C9:C11"/>
    <mergeCell ref="D9:D11"/>
    <mergeCell ref="E9:E11"/>
    <mergeCell ref="AD9:AY9"/>
    <mergeCell ref="G10:Q10"/>
    <mergeCell ref="S10:AB10"/>
    <mergeCell ref="AD10:AN10"/>
    <mergeCell ref="AP10:AY10"/>
    <mergeCell ref="G9:AB9"/>
  </mergeCells>
  <phoneticPr fontId="136" type="noConversion"/>
  <pageMargins left="0.7" right="0.7" top="0.75" bottom="0.75" header="0.3" footer="0.3"/>
  <pageSetup paperSize="8" orientation="landscape" r:id="rId1"/>
  <headerFooter>
    <oddFooter>&amp;L&amp;1#&amp;"Arial"&amp;11&amp;K000000SW Internal Commercial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D1157-3B64-4101-89FB-046ABF792AE0}">
  <sheetPr>
    <pageSetUpPr fitToPage="1"/>
  </sheetPr>
  <dimension ref="A1:AJ183"/>
  <sheetViews>
    <sheetView zoomScaleNormal="100" workbookViewId="0">
      <selection sqref="A1:XFD1048576"/>
    </sheetView>
  </sheetViews>
  <sheetFormatPr defaultColWidth="9.1796875" defaultRowHeight="12.5"/>
  <cols>
    <col min="1" max="1" width="8.453125" style="69" customWidth="1"/>
    <col min="2" max="2" width="71.54296875" style="69" customWidth="1"/>
    <col min="3" max="3" width="12.7265625" style="69" customWidth="1"/>
    <col min="4" max="4" width="8.453125" style="69" customWidth="1"/>
    <col min="5" max="5" width="7.7265625" style="69" customWidth="1"/>
    <col min="6" max="6" width="14.54296875" style="69" customWidth="1"/>
    <col min="7" max="7" width="5.1796875" style="69" customWidth="1"/>
    <col min="8" max="8" width="5" style="69" customWidth="1"/>
    <col min="9" max="9" width="17.453125" style="69" customWidth="1"/>
    <col min="10" max="10" width="5.1796875" style="69" customWidth="1"/>
    <col min="11" max="11" width="4.1796875" style="69" customWidth="1"/>
    <col min="12" max="12" width="15.1796875" style="69" customWidth="1"/>
    <col min="13" max="19" width="12.7265625" style="69" customWidth="1"/>
    <col min="20" max="24" width="9.1796875" style="69" customWidth="1"/>
    <col min="25" max="16384" width="9.1796875" style="69"/>
  </cols>
  <sheetData>
    <row r="1" spans="1:36" s="50" customFormat="1" ht="20">
      <c r="A1" s="28" t="s">
        <v>0</v>
      </c>
      <c r="B1" s="134"/>
      <c r="C1" s="134"/>
      <c r="D1" s="134"/>
      <c r="E1" s="133"/>
      <c r="F1" s="133"/>
      <c r="G1" s="133"/>
      <c r="H1" s="133"/>
      <c r="I1" s="133"/>
      <c r="J1" s="133"/>
      <c r="K1" s="133"/>
      <c r="W1" s="51"/>
    </row>
    <row r="2" spans="1:36" s="50" customFormat="1" ht="20">
      <c r="A2" s="133"/>
      <c r="B2" s="133"/>
      <c r="C2" s="133"/>
      <c r="D2" s="133"/>
      <c r="E2" s="133"/>
      <c r="F2" s="133"/>
      <c r="G2" s="133"/>
      <c r="H2" s="133"/>
      <c r="I2" s="133"/>
      <c r="J2" s="133"/>
      <c r="K2" s="133"/>
      <c r="W2" s="51"/>
    </row>
    <row r="3" spans="1:36" s="50" customFormat="1" ht="20">
      <c r="A3" s="29" t="s">
        <v>1</v>
      </c>
      <c r="B3" s="132"/>
      <c r="C3" s="132"/>
      <c r="D3" s="132"/>
      <c r="E3" s="131"/>
      <c r="F3" s="131"/>
      <c r="G3" s="133"/>
      <c r="H3" s="133"/>
      <c r="I3" s="133"/>
      <c r="J3" s="133"/>
      <c r="K3" s="133"/>
      <c r="W3" s="52"/>
      <c r="AE3" s="53"/>
      <c r="AF3" s="53"/>
    </row>
    <row r="4" spans="1:36" s="50" customFormat="1" ht="15.65" customHeight="1">
      <c r="A4" s="28"/>
      <c r="B4" s="134"/>
      <c r="C4" s="134"/>
      <c r="D4" s="134"/>
      <c r="E4" s="133"/>
      <c r="F4" s="133"/>
      <c r="G4" s="133"/>
      <c r="H4" s="133"/>
      <c r="I4" s="133"/>
      <c r="J4" s="133"/>
      <c r="K4" s="133"/>
      <c r="W4" s="52"/>
      <c r="AE4" s="53"/>
      <c r="AF4" s="53"/>
    </row>
    <row r="5" spans="1:36" s="50" customFormat="1" ht="15.65" customHeight="1" thickBot="1">
      <c r="A5" s="28"/>
      <c r="B5" s="134"/>
      <c r="C5" s="134"/>
      <c r="D5" s="134"/>
      <c r="E5" s="133"/>
      <c r="F5" s="133"/>
      <c r="G5" s="133"/>
      <c r="H5" s="133"/>
      <c r="I5" s="133"/>
      <c r="J5" s="133"/>
      <c r="K5" s="133"/>
      <c r="AA5" s="52"/>
      <c r="AI5" s="53"/>
      <c r="AJ5" s="53"/>
    </row>
    <row r="6" spans="1:36" s="50" customFormat="1" ht="20">
      <c r="A6" s="187" t="s">
        <v>2</v>
      </c>
      <c r="B6" s="188"/>
      <c r="C6" s="188"/>
      <c r="D6" s="188"/>
      <c r="E6" s="189"/>
      <c r="F6" s="133"/>
      <c r="G6" s="133"/>
      <c r="H6" s="133"/>
      <c r="I6" s="133"/>
      <c r="J6" s="133"/>
      <c r="K6" s="133"/>
      <c r="AA6" s="52"/>
      <c r="AI6" s="53"/>
      <c r="AJ6" s="53"/>
    </row>
    <row r="7" spans="1:36" s="50" customFormat="1" ht="20.5" thickBot="1">
      <c r="A7" s="190" t="s">
        <v>1644</v>
      </c>
      <c r="B7" s="191"/>
      <c r="C7" s="191"/>
      <c r="D7" s="191"/>
      <c r="E7" s="192"/>
      <c r="F7" s="133"/>
      <c r="G7" s="133"/>
      <c r="H7" s="133"/>
      <c r="I7" s="133"/>
      <c r="J7" s="133"/>
      <c r="K7" s="133"/>
      <c r="AA7" s="52"/>
      <c r="AI7" s="53"/>
      <c r="AJ7" s="53"/>
    </row>
    <row r="8" spans="1:36" s="50" customFormat="1" ht="20">
      <c r="A8" s="28"/>
      <c r="B8" s="134"/>
      <c r="C8" s="134"/>
      <c r="D8" s="134"/>
      <c r="E8" s="133"/>
      <c r="F8" s="133"/>
      <c r="G8" s="133"/>
      <c r="H8" s="133"/>
      <c r="I8" s="133"/>
      <c r="J8" s="133"/>
      <c r="K8" s="133"/>
      <c r="AA8" s="52"/>
      <c r="AI8" s="53"/>
      <c r="AJ8" s="53"/>
    </row>
    <row r="9" spans="1:36" s="50" customFormat="1" ht="20.5" thickBot="1">
      <c r="A9" s="38"/>
      <c r="B9" s="38"/>
      <c r="C9" s="38"/>
      <c r="D9" s="38"/>
      <c r="E9" s="38"/>
      <c r="F9" s="127">
        <v>10</v>
      </c>
      <c r="G9" s="126"/>
      <c r="H9" s="109"/>
      <c r="I9" s="127">
        <v>20</v>
      </c>
      <c r="J9" s="126"/>
      <c r="K9" s="54"/>
      <c r="L9" s="54"/>
      <c r="M9" s="54"/>
      <c r="N9" s="54"/>
      <c r="O9" s="54"/>
      <c r="P9" s="54"/>
      <c r="Q9" s="54"/>
      <c r="R9" s="54"/>
      <c r="S9" s="54"/>
      <c r="T9" s="54"/>
      <c r="U9" s="54"/>
      <c r="V9" s="54"/>
      <c r="W9" s="54"/>
      <c r="Z9" s="52"/>
      <c r="AH9" s="55"/>
      <c r="AI9" s="55"/>
    </row>
    <row r="10" spans="1:36" s="50" customFormat="1" ht="16" thickBot="1">
      <c r="A10" s="125" t="s">
        <v>1445</v>
      </c>
      <c r="B10" s="124" t="s">
        <v>1205</v>
      </c>
      <c r="C10" s="123" t="s">
        <v>1206</v>
      </c>
      <c r="D10" s="122" t="s">
        <v>1446</v>
      </c>
      <c r="E10" s="38"/>
      <c r="F10" s="121"/>
      <c r="G10" s="120"/>
      <c r="H10" s="109"/>
      <c r="I10" s="121"/>
      <c r="J10" s="120"/>
      <c r="L10" s="225" t="s">
        <v>157</v>
      </c>
      <c r="Z10" s="52"/>
    </row>
    <row r="11" spans="1:36" s="50" customFormat="1" ht="15.5">
      <c r="A11" s="119" t="s">
        <v>1447</v>
      </c>
      <c r="B11" s="118"/>
      <c r="C11" s="117"/>
      <c r="D11" s="116" t="s">
        <v>1448</v>
      </c>
      <c r="E11" s="38"/>
      <c r="F11" s="135" t="s">
        <v>1449</v>
      </c>
      <c r="G11" s="114"/>
      <c r="H11" s="109"/>
      <c r="I11" s="115" t="s">
        <v>1450</v>
      </c>
      <c r="J11" s="114"/>
    </row>
    <row r="12" spans="1:36" s="50" customFormat="1" ht="16" thickBot="1">
      <c r="A12" s="113"/>
      <c r="B12" s="112"/>
      <c r="C12" s="111"/>
      <c r="D12" s="110"/>
      <c r="E12" s="38"/>
      <c r="F12" s="108" t="s">
        <v>1451</v>
      </c>
      <c r="G12" s="107" t="s">
        <v>1452</v>
      </c>
      <c r="H12" s="109"/>
      <c r="I12" s="108" t="s">
        <v>1453</v>
      </c>
      <c r="J12" s="107" t="s">
        <v>1452</v>
      </c>
    </row>
    <row r="13" spans="1:36" ht="13" thickBot="1">
      <c r="A13" s="105"/>
      <c r="B13" s="105"/>
      <c r="C13" s="105"/>
      <c r="D13" s="105"/>
      <c r="F13" s="105"/>
      <c r="I13" s="105"/>
      <c r="J13" s="105"/>
      <c r="K13" s="105"/>
      <c r="L13" s="105"/>
      <c r="M13" s="105"/>
      <c r="N13" s="105"/>
      <c r="O13" s="105"/>
    </row>
    <row r="14" spans="1:36" ht="16" thickBot="1">
      <c r="A14" s="193"/>
      <c r="B14" s="197" t="s">
        <v>1645</v>
      </c>
      <c r="C14" s="194"/>
      <c r="D14" s="194"/>
      <c r="E14" s="195"/>
      <c r="F14" s="194"/>
      <c r="G14" s="195"/>
      <c r="H14" s="195"/>
      <c r="I14" s="194"/>
      <c r="J14" s="196"/>
      <c r="K14" s="105"/>
      <c r="L14" s="105"/>
      <c r="M14" s="105"/>
      <c r="N14" s="105"/>
      <c r="O14" s="105"/>
    </row>
    <row r="15" spans="1:36" ht="13" thickBot="1">
      <c r="A15" s="105"/>
      <c r="B15" s="105"/>
      <c r="C15" s="105"/>
      <c r="D15" s="105"/>
      <c r="F15" s="105"/>
      <c r="I15" s="105"/>
      <c r="J15" s="105"/>
      <c r="K15" s="105"/>
      <c r="L15" s="105"/>
      <c r="M15" s="105"/>
      <c r="N15" s="105"/>
      <c r="O15" s="105"/>
    </row>
    <row r="16" spans="1:36" ht="13.5" thickBot="1">
      <c r="A16" s="136"/>
      <c r="B16" s="137" t="s">
        <v>1454</v>
      </c>
      <c r="C16" s="138"/>
      <c r="D16" s="139"/>
      <c r="F16" s="105"/>
      <c r="I16" s="105"/>
      <c r="J16" s="105"/>
      <c r="K16" s="105"/>
      <c r="L16" s="105"/>
      <c r="M16" s="105"/>
      <c r="N16" s="105"/>
      <c r="O16" s="105"/>
    </row>
    <row r="17" spans="1:12">
      <c r="A17" s="379" t="s">
        <v>1646</v>
      </c>
      <c r="B17" s="140" t="s">
        <v>209</v>
      </c>
      <c r="C17" s="141" t="s">
        <v>1456</v>
      </c>
      <c r="D17" s="142" t="s">
        <v>210</v>
      </c>
      <c r="F17" s="143">
        <v>62</v>
      </c>
      <c r="G17" s="84" t="s">
        <v>1228</v>
      </c>
      <c r="I17" s="104">
        <v>54</v>
      </c>
      <c r="J17" s="84" t="s">
        <v>1229</v>
      </c>
      <c r="L17" s="69" t="s">
        <v>1457</v>
      </c>
    </row>
    <row r="18" spans="1:12">
      <c r="A18" s="316" t="s">
        <v>1647</v>
      </c>
      <c r="B18" s="99" t="s">
        <v>213</v>
      </c>
      <c r="C18" s="80" t="s">
        <v>1456</v>
      </c>
      <c r="D18" s="79" t="s">
        <v>210</v>
      </c>
      <c r="F18" s="144">
        <v>0</v>
      </c>
      <c r="G18" s="145" t="s">
        <v>1228</v>
      </c>
      <c r="I18" s="146">
        <v>0</v>
      </c>
      <c r="J18" s="145" t="s">
        <v>1229</v>
      </c>
      <c r="L18" s="69" t="s">
        <v>1459</v>
      </c>
    </row>
    <row r="19" spans="1:12">
      <c r="A19" s="316" t="s">
        <v>1648</v>
      </c>
      <c r="B19" s="99" t="s">
        <v>216</v>
      </c>
      <c r="C19" s="80" t="s">
        <v>1456</v>
      </c>
      <c r="D19" s="79" t="s">
        <v>210</v>
      </c>
      <c r="F19" s="147">
        <v>0</v>
      </c>
      <c r="G19" s="145" t="s">
        <v>1228</v>
      </c>
      <c r="I19" s="102">
        <v>0</v>
      </c>
      <c r="J19" s="145" t="s">
        <v>1229</v>
      </c>
      <c r="L19" s="69" t="s">
        <v>1649</v>
      </c>
    </row>
    <row r="20" spans="1:12">
      <c r="A20" s="316" t="s">
        <v>1650</v>
      </c>
      <c r="B20" s="99" t="s">
        <v>219</v>
      </c>
      <c r="C20" s="80" t="s">
        <v>1456</v>
      </c>
      <c r="D20" s="79" t="s">
        <v>210</v>
      </c>
      <c r="F20" s="148">
        <v>0</v>
      </c>
      <c r="G20" s="145" t="s">
        <v>1228</v>
      </c>
      <c r="I20" s="149">
        <v>0</v>
      </c>
      <c r="J20" s="145" t="s">
        <v>1229</v>
      </c>
      <c r="L20" s="69" t="s">
        <v>1463</v>
      </c>
    </row>
    <row r="21" spans="1:12" ht="13" thickBot="1">
      <c r="A21" s="317" t="s">
        <v>1651</v>
      </c>
      <c r="B21" s="98" t="s">
        <v>1465</v>
      </c>
      <c r="C21" s="75" t="s">
        <v>1456</v>
      </c>
      <c r="D21" s="74" t="s">
        <v>160</v>
      </c>
      <c r="F21" s="72">
        <f>SUM(F17:F20)</f>
        <v>62</v>
      </c>
      <c r="G21" s="150" t="s">
        <v>1228</v>
      </c>
      <c r="I21" s="73">
        <f>SUM(I17:I20)</f>
        <v>54</v>
      </c>
      <c r="J21" s="150" t="s">
        <v>1229</v>
      </c>
      <c r="L21" s="69" t="s">
        <v>1466</v>
      </c>
    </row>
    <row r="22" spans="1:12" ht="13.5" thickBot="1">
      <c r="A22" s="90"/>
      <c r="B22" s="89"/>
      <c r="C22" s="88"/>
      <c r="D22" s="88"/>
      <c r="F22" s="87"/>
      <c r="I22" s="87"/>
    </row>
    <row r="23" spans="1:12" ht="13.5" thickBot="1">
      <c r="A23" s="136"/>
      <c r="B23" s="137" t="s">
        <v>1467</v>
      </c>
      <c r="C23" s="151"/>
      <c r="D23" s="152"/>
      <c r="F23" s="87"/>
      <c r="I23" s="87"/>
    </row>
    <row r="24" spans="1:12">
      <c r="A24" s="379" t="s">
        <v>1652</v>
      </c>
      <c r="B24" s="153" t="s">
        <v>1653</v>
      </c>
      <c r="C24" s="141" t="s">
        <v>1470</v>
      </c>
      <c r="D24" s="142" t="s">
        <v>210</v>
      </c>
      <c r="F24" s="143">
        <v>1313.8500000000001</v>
      </c>
      <c r="G24" s="84" t="s">
        <v>1228</v>
      </c>
      <c r="I24" s="104">
        <v>1144.3209677419354</v>
      </c>
      <c r="J24" s="84" t="s">
        <v>1229</v>
      </c>
      <c r="L24" s="69" t="s">
        <v>1654</v>
      </c>
    </row>
    <row r="25" spans="1:12">
      <c r="A25" s="316" t="s">
        <v>1655</v>
      </c>
      <c r="B25" s="81" t="s">
        <v>1656</v>
      </c>
      <c r="C25" s="80" t="s">
        <v>1470</v>
      </c>
      <c r="D25" s="79" t="s">
        <v>210</v>
      </c>
      <c r="F25" s="144">
        <v>9144.7000000000007</v>
      </c>
      <c r="G25" s="145" t="s">
        <v>1228</v>
      </c>
      <c r="I25" s="146">
        <v>7964.7389999999996</v>
      </c>
      <c r="J25" s="145" t="s">
        <v>1229</v>
      </c>
      <c r="L25" s="69" t="s">
        <v>1657</v>
      </c>
    </row>
    <row r="26" spans="1:12">
      <c r="A26" s="316" t="s">
        <v>1658</v>
      </c>
      <c r="B26" s="103" t="s">
        <v>1476</v>
      </c>
      <c r="C26" s="80" t="s">
        <v>1470</v>
      </c>
      <c r="D26" s="79" t="s">
        <v>210</v>
      </c>
      <c r="F26" s="148">
        <v>0</v>
      </c>
      <c r="G26" s="145" t="s">
        <v>1228</v>
      </c>
      <c r="I26" s="149">
        <v>0</v>
      </c>
      <c r="J26" s="145" t="s">
        <v>1229</v>
      </c>
      <c r="L26" s="69" t="s">
        <v>1659</v>
      </c>
    </row>
    <row r="27" spans="1:12" ht="13" thickBot="1">
      <c r="A27" s="317" t="s">
        <v>1660</v>
      </c>
      <c r="B27" s="101" t="s">
        <v>225</v>
      </c>
      <c r="C27" s="75" t="s">
        <v>1470</v>
      </c>
      <c r="D27" s="74" t="s">
        <v>160</v>
      </c>
      <c r="F27" s="72">
        <f>SUM(F24:F26)</f>
        <v>10458.550000000001</v>
      </c>
      <c r="G27" s="150" t="s">
        <v>1228</v>
      </c>
      <c r="I27" s="73">
        <f>SUM(I24:I26)</f>
        <v>9109.0599677419341</v>
      </c>
      <c r="J27" s="150" t="s">
        <v>1229</v>
      </c>
      <c r="L27" s="69" t="s">
        <v>1661</v>
      </c>
    </row>
    <row r="28" spans="1:12" ht="13.5" thickBot="1">
      <c r="A28" s="90"/>
      <c r="B28" s="89"/>
      <c r="C28" s="88"/>
      <c r="D28" s="88"/>
      <c r="F28" s="87"/>
      <c r="I28" s="87"/>
    </row>
    <row r="29" spans="1:12" ht="13.5" thickBot="1">
      <c r="A29" s="136"/>
      <c r="B29" s="137" t="s">
        <v>1480</v>
      </c>
      <c r="C29" s="151"/>
      <c r="D29" s="152"/>
      <c r="F29" s="87"/>
      <c r="I29" s="87"/>
    </row>
    <row r="30" spans="1:12">
      <c r="A30" s="379" t="s">
        <v>1662</v>
      </c>
      <c r="B30" s="140" t="s">
        <v>209</v>
      </c>
      <c r="C30" s="141" t="s">
        <v>1402</v>
      </c>
      <c r="D30" s="142" t="s">
        <v>210</v>
      </c>
      <c r="F30" s="154">
        <v>170.72</v>
      </c>
      <c r="G30" s="84" t="s">
        <v>1482</v>
      </c>
      <c r="I30" s="100">
        <v>179.26</v>
      </c>
      <c r="J30" s="84" t="s">
        <v>1482</v>
      </c>
      <c r="L30" s="69" t="s">
        <v>1483</v>
      </c>
    </row>
    <row r="31" spans="1:12">
      <c r="A31" s="316" t="s">
        <v>1663</v>
      </c>
      <c r="B31" s="99" t="s">
        <v>213</v>
      </c>
      <c r="C31" s="80" t="s">
        <v>1402</v>
      </c>
      <c r="D31" s="79" t="s">
        <v>210</v>
      </c>
      <c r="F31" s="155">
        <v>507</v>
      </c>
      <c r="G31" s="145" t="s">
        <v>1482</v>
      </c>
      <c r="I31" s="156">
        <v>532</v>
      </c>
      <c r="J31" s="145" t="s">
        <v>1482</v>
      </c>
      <c r="L31" s="69" t="s">
        <v>1485</v>
      </c>
    </row>
    <row r="32" spans="1:12">
      <c r="A32" s="316" t="s">
        <v>1664</v>
      </c>
      <c r="B32" s="99" t="s">
        <v>216</v>
      </c>
      <c r="C32" s="80" t="s">
        <v>1402</v>
      </c>
      <c r="D32" s="79" t="s">
        <v>210</v>
      </c>
      <c r="F32" s="157">
        <v>1436</v>
      </c>
      <c r="G32" s="145" t="s">
        <v>1482</v>
      </c>
      <c r="I32" s="158">
        <v>1508</v>
      </c>
      <c r="J32" s="145" t="s">
        <v>1482</v>
      </c>
      <c r="L32" s="69" t="s">
        <v>1487</v>
      </c>
    </row>
    <row r="33" spans="1:12" ht="13" thickBot="1">
      <c r="A33" s="317" t="s">
        <v>1665</v>
      </c>
      <c r="B33" s="98" t="s">
        <v>219</v>
      </c>
      <c r="C33" s="75" t="s">
        <v>1402</v>
      </c>
      <c r="D33" s="74" t="s">
        <v>210</v>
      </c>
      <c r="F33" s="159">
        <v>3193</v>
      </c>
      <c r="G33" s="150" t="s">
        <v>1482</v>
      </c>
      <c r="I33" s="97">
        <v>3353</v>
      </c>
      <c r="J33" s="150" t="s">
        <v>1482</v>
      </c>
      <c r="L33" s="69" t="s">
        <v>1489</v>
      </c>
    </row>
    <row r="34" spans="1:12" ht="13.5" thickBot="1">
      <c r="A34" s="90"/>
      <c r="B34" s="89"/>
      <c r="C34" s="88"/>
      <c r="D34" s="88"/>
      <c r="F34" s="87"/>
      <c r="I34" s="87"/>
    </row>
    <row r="35" spans="1:12" ht="13.5" thickBot="1">
      <c r="A35" s="136"/>
      <c r="B35" s="137" t="s">
        <v>1666</v>
      </c>
      <c r="C35" s="151"/>
      <c r="D35" s="152"/>
      <c r="F35" s="87"/>
      <c r="I35" s="87"/>
    </row>
    <row r="36" spans="1:12">
      <c r="A36" s="379" t="s">
        <v>1667</v>
      </c>
      <c r="B36" s="153" t="s">
        <v>1668</v>
      </c>
      <c r="C36" s="141" t="s">
        <v>1493</v>
      </c>
      <c r="D36" s="142" t="s">
        <v>210</v>
      </c>
      <c r="F36" s="95">
        <v>3.3748</v>
      </c>
      <c r="G36" s="84" t="s">
        <v>1482</v>
      </c>
      <c r="I36" s="96">
        <v>3.5434999999999999</v>
      </c>
      <c r="J36" s="84" t="s">
        <v>1482</v>
      </c>
      <c r="L36" s="69" t="s">
        <v>1669</v>
      </c>
    </row>
    <row r="37" spans="1:12">
      <c r="A37" s="316" t="s">
        <v>1670</v>
      </c>
      <c r="B37" s="81" t="s">
        <v>1671</v>
      </c>
      <c r="C37" s="80" t="s">
        <v>1493</v>
      </c>
      <c r="D37" s="79" t="s">
        <v>210</v>
      </c>
      <c r="F37" s="94">
        <v>1.5959000000000001</v>
      </c>
      <c r="G37" s="145" t="s">
        <v>1482</v>
      </c>
      <c r="I37" s="160">
        <v>1.6757</v>
      </c>
      <c r="J37" s="145" t="s">
        <v>1482</v>
      </c>
      <c r="L37" s="69" t="s">
        <v>1672</v>
      </c>
    </row>
    <row r="38" spans="1:12" ht="13" thickBot="1">
      <c r="A38" s="317" t="s">
        <v>1673</v>
      </c>
      <c r="B38" s="93" t="s">
        <v>1476</v>
      </c>
      <c r="C38" s="75" t="s">
        <v>1493</v>
      </c>
      <c r="D38" s="74" t="s">
        <v>210</v>
      </c>
      <c r="F38" s="91">
        <v>1.5959000000000001</v>
      </c>
      <c r="G38" s="150" t="s">
        <v>1482</v>
      </c>
      <c r="I38" s="92">
        <v>1.6757</v>
      </c>
      <c r="J38" s="150" t="s">
        <v>1482</v>
      </c>
      <c r="L38" s="69" t="s">
        <v>1499</v>
      </c>
    </row>
    <row r="39" spans="1:12" ht="13.5" thickBot="1">
      <c r="A39" s="90"/>
      <c r="B39" s="89"/>
      <c r="C39" s="88"/>
      <c r="D39" s="88"/>
      <c r="F39" s="87"/>
      <c r="I39" s="87"/>
    </row>
    <row r="40" spans="1:12" ht="13.5" thickBot="1">
      <c r="A40" s="136"/>
      <c r="B40" s="137" t="s">
        <v>1674</v>
      </c>
      <c r="C40" s="151"/>
      <c r="D40" s="152"/>
      <c r="F40" s="87"/>
      <c r="I40" s="87"/>
    </row>
    <row r="41" spans="1:12">
      <c r="A41" s="379" t="s">
        <v>1675</v>
      </c>
      <c r="B41" s="153" t="s">
        <v>1502</v>
      </c>
      <c r="C41" s="141" t="s">
        <v>1402</v>
      </c>
      <c r="D41" s="142" t="s">
        <v>160</v>
      </c>
      <c r="F41" s="85">
        <f>SUMPRODUCT(F17:F20,F30:F33)</f>
        <v>10584.64</v>
      </c>
      <c r="G41" s="84" t="s">
        <v>1676</v>
      </c>
      <c r="I41" s="86">
        <f>SUMPRODUCT(I17:I20,I30:I33)</f>
        <v>9680.0399999999991</v>
      </c>
      <c r="J41" s="84" t="s">
        <v>1677</v>
      </c>
      <c r="L41" s="69" t="s">
        <v>1503</v>
      </c>
    </row>
    <row r="42" spans="1:12">
      <c r="A42" s="316" t="s">
        <v>1678</v>
      </c>
      <c r="B42" s="103" t="s">
        <v>1679</v>
      </c>
      <c r="C42" s="80" t="s">
        <v>1402</v>
      </c>
      <c r="D42" s="79" t="s">
        <v>160</v>
      </c>
      <c r="F42" s="82">
        <f>F24*F36</f>
        <v>4433.9809800000003</v>
      </c>
      <c r="G42" s="145" t="s">
        <v>1676</v>
      </c>
      <c r="I42" s="83">
        <f>I24*I36</f>
        <v>4054.901349193548</v>
      </c>
      <c r="J42" s="145" t="s">
        <v>1677</v>
      </c>
      <c r="L42" s="69" t="s">
        <v>1680</v>
      </c>
    </row>
    <row r="43" spans="1:12">
      <c r="A43" s="316" t="s">
        <v>1681</v>
      </c>
      <c r="B43" s="103" t="s">
        <v>1682</v>
      </c>
      <c r="C43" s="80" t="s">
        <v>1402</v>
      </c>
      <c r="D43" s="79" t="s">
        <v>160</v>
      </c>
      <c r="F43" s="77">
        <f>F25*F37</f>
        <v>14594.026730000001</v>
      </c>
      <c r="G43" s="145" t="s">
        <v>1676</v>
      </c>
      <c r="I43" s="78">
        <f>I25*I37</f>
        <v>13346.513142299998</v>
      </c>
      <c r="J43" s="145" t="s">
        <v>1677</v>
      </c>
      <c r="L43" s="69" t="s">
        <v>1683</v>
      </c>
    </row>
    <row r="44" spans="1:12">
      <c r="A44" s="316" t="s">
        <v>1684</v>
      </c>
      <c r="B44" s="81" t="s">
        <v>1476</v>
      </c>
      <c r="C44" s="80" t="s">
        <v>1402</v>
      </c>
      <c r="D44" s="79" t="s">
        <v>160</v>
      </c>
      <c r="F44" s="77">
        <f>F26*F38</f>
        <v>0</v>
      </c>
      <c r="G44" s="145" t="s">
        <v>1676</v>
      </c>
      <c r="I44" s="78">
        <f>I26*I38</f>
        <v>0</v>
      </c>
      <c r="J44" s="145" t="s">
        <v>1677</v>
      </c>
      <c r="L44" s="69" t="s">
        <v>1511</v>
      </c>
    </row>
    <row r="45" spans="1:12" ht="13" thickBot="1">
      <c r="A45" s="317" t="s">
        <v>1685</v>
      </c>
      <c r="B45" s="76" t="s">
        <v>176</v>
      </c>
      <c r="C45" s="75" t="s">
        <v>1402</v>
      </c>
      <c r="D45" s="74" t="s">
        <v>160</v>
      </c>
      <c r="F45" s="72">
        <f>SUM(F41:F44)</f>
        <v>29612.647710000001</v>
      </c>
      <c r="G45" s="150" t="s">
        <v>1676</v>
      </c>
      <c r="I45" s="73">
        <f>SUM(I41:I44)</f>
        <v>27081.454491493547</v>
      </c>
      <c r="J45" s="150" t="s">
        <v>1677</v>
      </c>
      <c r="L45" s="69" t="s">
        <v>1513</v>
      </c>
    </row>
    <row r="46" spans="1:12" ht="13">
      <c r="A46" s="50"/>
    </row>
    <row r="47" spans="1:12" ht="13">
      <c r="A47" s="50"/>
    </row>
    <row r="48" spans="1:12" ht="13.5" thickBot="1">
      <c r="A48" s="50"/>
    </row>
    <row r="49" spans="1:20" ht="16" thickBot="1">
      <c r="A49" s="193"/>
      <c r="B49" s="197" t="s">
        <v>1686</v>
      </c>
      <c r="C49" s="194"/>
      <c r="D49" s="194"/>
      <c r="E49" s="195"/>
      <c r="F49" s="194"/>
      <c r="G49" s="195"/>
      <c r="H49" s="195"/>
      <c r="I49" s="194"/>
      <c r="J49" s="196"/>
      <c r="K49" s="105"/>
      <c r="L49" s="105"/>
      <c r="M49" s="105"/>
      <c r="N49" s="105"/>
      <c r="O49" s="105"/>
    </row>
    <row r="50" spans="1:20" ht="13.5" thickBot="1">
      <c r="A50" s="50"/>
      <c r="L50" s="266"/>
    </row>
    <row r="51" spans="1:20" ht="13.5" thickBot="1">
      <c r="A51" s="136"/>
      <c r="B51" s="209" t="s">
        <v>1687</v>
      </c>
      <c r="C51" s="138"/>
      <c r="D51" s="139"/>
    </row>
    <row r="52" spans="1:20" ht="14.5">
      <c r="A52" s="380" t="s">
        <v>1688</v>
      </c>
      <c r="B52" s="204" t="s">
        <v>1689</v>
      </c>
      <c r="C52" s="141" t="s">
        <v>1456</v>
      </c>
      <c r="D52" s="142" t="s">
        <v>210</v>
      </c>
      <c r="F52" s="206">
        <v>0</v>
      </c>
      <c r="G52" s="207" t="s">
        <v>1228</v>
      </c>
      <c r="I52" s="208">
        <v>0</v>
      </c>
      <c r="J52" s="207" t="s">
        <v>1229</v>
      </c>
      <c r="K52" s="212">
        <v>5</v>
      </c>
      <c r="L52" s="69" t="s">
        <v>1690</v>
      </c>
      <c r="T52" s="267">
        <f>K52/9</f>
        <v>0.55555555555555558</v>
      </c>
    </row>
    <row r="53" spans="1:20" ht="14.5">
      <c r="A53" s="381" t="s">
        <v>1691</v>
      </c>
      <c r="B53" s="198" t="s">
        <v>1692</v>
      </c>
      <c r="C53" s="80" t="s">
        <v>1456</v>
      </c>
      <c r="D53" s="79" t="s">
        <v>210</v>
      </c>
      <c r="F53" s="199">
        <v>95</v>
      </c>
      <c r="G53" s="200" t="s">
        <v>1228</v>
      </c>
      <c r="I53" s="201">
        <v>85</v>
      </c>
      <c r="J53" s="200" t="s">
        <v>1229</v>
      </c>
      <c r="K53" s="212">
        <v>6</v>
      </c>
      <c r="L53" s="69" t="s">
        <v>1690</v>
      </c>
      <c r="N53" s="202"/>
      <c r="P53" s="203"/>
      <c r="T53" s="267">
        <f t="shared" ref="T53:T60" si="0">K53/9</f>
        <v>0.66666666666666663</v>
      </c>
    </row>
    <row r="54" spans="1:20" ht="14.5">
      <c r="A54" s="381" t="s">
        <v>1693</v>
      </c>
      <c r="B54" s="198" t="s">
        <v>1694</v>
      </c>
      <c r="C54" s="80" t="s">
        <v>1456</v>
      </c>
      <c r="D54" s="79" t="s">
        <v>210</v>
      </c>
      <c r="F54" s="199">
        <v>105</v>
      </c>
      <c r="G54" s="200" t="s">
        <v>1228</v>
      </c>
      <c r="I54" s="201">
        <v>94</v>
      </c>
      <c r="J54" s="200" t="s">
        <v>1229</v>
      </c>
      <c r="K54" s="212">
        <v>7</v>
      </c>
      <c r="L54" s="69" t="s">
        <v>1690</v>
      </c>
      <c r="N54" s="202"/>
      <c r="P54" s="203"/>
      <c r="T54" s="267">
        <f t="shared" si="0"/>
        <v>0.77777777777777779</v>
      </c>
    </row>
    <row r="55" spans="1:20" ht="14.5">
      <c r="A55" s="381" t="s">
        <v>1695</v>
      </c>
      <c r="B55" s="198" t="s">
        <v>1696</v>
      </c>
      <c r="C55" s="80" t="s">
        <v>1456</v>
      </c>
      <c r="D55" s="79" t="s">
        <v>210</v>
      </c>
      <c r="F55" s="199">
        <v>109</v>
      </c>
      <c r="G55" s="200" t="s">
        <v>1228</v>
      </c>
      <c r="I55" s="201">
        <v>98</v>
      </c>
      <c r="J55" s="200" t="s">
        <v>1229</v>
      </c>
      <c r="K55" s="212">
        <v>8</v>
      </c>
      <c r="L55" s="69" t="s">
        <v>1690</v>
      </c>
      <c r="N55" s="202"/>
      <c r="P55" s="203"/>
      <c r="T55" s="267">
        <f t="shared" si="0"/>
        <v>0.88888888888888884</v>
      </c>
    </row>
    <row r="56" spans="1:20" ht="14.5">
      <c r="A56" s="381" t="s">
        <v>1697</v>
      </c>
      <c r="B56" s="198" t="s">
        <v>1698</v>
      </c>
      <c r="C56" s="80" t="s">
        <v>1456</v>
      </c>
      <c r="D56" s="79" t="s">
        <v>210</v>
      </c>
      <c r="F56" s="199">
        <v>34</v>
      </c>
      <c r="G56" s="200" t="s">
        <v>1228</v>
      </c>
      <c r="I56" s="201">
        <v>30</v>
      </c>
      <c r="J56" s="200" t="s">
        <v>1229</v>
      </c>
      <c r="K56" s="212">
        <v>9</v>
      </c>
      <c r="L56" s="69" t="s">
        <v>1690</v>
      </c>
      <c r="N56" s="202"/>
      <c r="P56" s="203"/>
      <c r="T56" s="267">
        <f t="shared" si="0"/>
        <v>1</v>
      </c>
    </row>
    <row r="57" spans="1:20" ht="14.5">
      <c r="A57" s="381" t="s">
        <v>1699</v>
      </c>
      <c r="B57" s="198" t="s">
        <v>1700</v>
      </c>
      <c r="C57" s="80" t="s">
        <v>1456</v>
      </c>
      <c r="D57" s="79" t="s">
        <v>210</v>
      </c>
      <c r="F57" s="199">
        <v>18</v>
      </c>
      <c r="G57" s="200" t="s">
        <v>1228</v>
      </c>
      <c r="I57" s="201">
        <v>16</v>
      </c>
      <c r="J57" s="200" t="s">
        <v>1229</v>
      </c>
      <c r="K57" s="212">
        <v>11</v>
      </c>
      <c r="L57" s="69" t="s">
        <v>1690</v>
      </c>
      <c r="N57" s="202"/>
      <c r="P57" s="203"/>
      <c r="T57" s="267">
        <f t="shared" si="0"/>
        <v>1.2222222222222223</v>
      </c>
    </row>
    <row r="58" spans="1:20" ht="14.5">
      <c r="A58" s="381" t="s">
        <v>1701</v>
      </c>
      <c r="B58" s="198" t="s">
        <v>1702</v>
      </c>
      <c r="C58" s="80" t="s">
        <v>1456</v>
      </c>
      <c r="D58" s="79" t="s">
        <v>210</v>
      </c>
      <c r="F58" s="199">
        <v>13</v>
      </c>
      <c r="G58" s="200" t="s">
        <v>1228</v>
      </c>
      <c r="I58" s="201">
        <v>12</v>
      </c>
      <c r="J58" s="200" t="s">
        <v>1229</v>
      </c>
      <c r="K58" s="212">
        <v>13</v>
      </c>
      <c r="L58" s="69" t="s">
        <v>1690</v>
      </c>
      <c r="N58" s="202"/>
      <c r="P58" s="203"/>
      <c r="T58" s="267">
        <f t="shared" si="0"/>
        <v>1.4444444444444444</v>
      </c>
    </row>
    <row r="59" spans="1:20" ht="14.5">
      <c r="A59" s="381" t="s">
        <v>1703</v>
      </c>
      <c r="B59" s="198" t="s">
        <v>1704</v>
      </c>
      <c r="C59" s="80" t="s">
        <v>1456</v>
      </c>
      <c r="D59" s="79" t="s">
        <v>210</v>
      </c>
      <c r="F59" s="199">
        <v>27</v>
      </c>
      <c r="G59" s="200" t="s">
        <v>1228</v>
      </c>
      <c r="I59" s="201">
        <v>24</v>
      </c>
      <c r="J59" s="200" t="s">
        <v>1229</v>
      </c>
      <c r="K59" s="212">
        <v>15</v>
      </c>
      <c r="L59" s="69" t="s">
        <v>1690</v>
      </c>
      <c r="N59" s="202"/>
      <c r="P59" s="203"/>
      <c r="T59" s="267">
        <f t="shared" si="0"/>
        <v>1.6666666666666667</v>
      </c>
    </row>
    <row r="60" spans="1:20" ht="14.5">
      <c r="A60" s="381" t="s">
        <v>1705</v>
      </c>
      <c r="B60" s="198" t="s">
        <v>1706</v>
      </c>
      <c r="C60" s="80" t="s">
        <v>1456</v>
      </c>
      <c r="D60" s="79" t="s">
        <v>210</v>
      </c>
      <c r="F60" s="199">
        <v>14</v>
      </c>
      <c r="G60" s="200" t="s">
        <v>1228</v>
      </c>
      <c r="I60" s="201">
        <v>13</v>
      </c>
      <c r="J60" s="200" t="s">
        <v>1229</v>
      </c>
      <c r="K60" s="212">
        <v>18</v>
      </c>
      <c r="L60" s="69" t="s">
        <v>1690</v>
      </c>
      <c r="N60" s="202"/>
      <c r="P60" s="203"/>
      <c r="T60" s="267">
        <f t="shared" si="0"/>
        <v>2</v>
      </c>
    </row>
    <row r="61" spans="1:20">
      <c r="A61" s="381" t="s">
        <v>1707</v>
      </c>
      <c r="B61" s="198" t="s">
        <v>1465</v>
      </c>
      <c r="C61" s="80" t="s">
        <v>1456</v>
      </c>
      <c r="D61" s="79" t="s">
        <v>160</v>
      </c>
      <c r="F61" s="77">
        <f>SUM(F52:F60)</f>
        <v>415</v>
      </c>
      <c r="G61" s="145" t="s">
        <v>1228</v>
      </c>
      <c r="I61" s="77">
        <f>SUM(I52:I60)</f>
        <v>372</v>
      </c>
      <c r="J61" s="145" t="s">
        <v>1229</v>
      </c>
      <c r="L61" s="69" t="s">
        <v>1708</v>
      </c>
      <c r="N61" s="202"/>
      <c r="P61" s="203"/>
      <c r="T61" s="267"/>
    </row>
    <row r="62" spans="1:20" ht="13" thickBot="1">
      <c r="A62" s="382" t="s">
        <v>1709</v>
      </c>
      <c r="B62" s="205" t="s">
        <v>1710</v>
      </c>
      <c r="C62" s="75" t="s">
        <v>1456</v>
      </c>
      <c r="D62" s="74" t="s">
        <v>160</v>
      </c>
      <c r="F62" s="72">
        <f>SUMPRODUCT(F52:F60, T52:T60)</f>
        <v>389.66666666666669</v>
      </c>
      <c r="G62" s="150" t="s">
        <v>1228</v>
      </c>
      <c r="I62" s="72">
        <f>SUMPRODUCT(I52:I60, T52:T60)</f>
        <v>349.77777777777771</v>
      </c>
      <c r="J62" s="150" t="s">
        <v>1229</v>
      </c>
      <c r="L62" s="69" t="s">
        <v>1711</v>
      </c>
      <c r="T62" s="267"/>
    </row>
    <row r="63" spans="1:20" ht="13.5" thickBot="1">
      <c r="A63" s="50"/>
      <c r="T63" s="267"/>
    </row>
    <row r="64" spans="1:20" ht="13.5" thickBot="1">
      <c r="A64" s="213"/>
      <c r="B64" s="209" t="s">
        <v>1712</v>
      </c>
      <c r="C64" s="216"/>
      <c r="D64" s="217"/>
      <c r="E64" s="88"/>
      <c r="F64" s="218"/>
      <c r="I64" s="218"/>
      <c r="T64" s="267"/>
    </row>
    <row r="65" spans="1:20" ht="13" thickBot="1">
      <c r="A65" s="383" t="s">
        <v>1713</v>
      </c>
      <c r="B65" s="214" t="s">
        <v>1714</v>
      </c>
      <c r="C65" s="219" t="s">
        <v>1402</v>
      </c>
      <c r="D65" s="220" t="s">
        <v>210</v>
      </c>
      <c r="E65" s="88"/>
      <c r="F65" s="221">
        <v>102.78</v>
      </c>
      <c r="G65" s="222" t="s">
        <v>1482</v>
      </c>
      <c r="I65" s="221">
        <v>107.91</v>
      </c>
      <c r="J65" s="222" t="s">
        <v>1482</v>
      </c>
      <c r="L65" s="69" t="s">
        <v>1404</v>
      </c>
      <c r="T65" s="267"/>
    </row>
    <row r="66" spans="1:20" ht="13.5" thickBot="1">
      <c r="A66" s="50"/>
      <c r="C66" s="88"/>
      <c r="D66" s="88"/>
      <c r="E66" s="88"/>
      <c r="F66" s="218"/>
      <c r="I66" s="218"/>
      <c r="T66" s="267"/>
    </row>
    <row r="67" spans="1:20" ht="13.5" thickBot="1">
      <c r="A67" s="213"/>
      <c r="B67" s="209" t="s">
        <v>1715</v>
      </c>
      <c r="C67" s="216"/>
      <c r="D67" s="217"/>
      <c r="E67" s="88"/>
      <c r="F67" s="218"/>
      <c r="I67" s="218"/>
      <c r="T67" s="267"/>
    </row>
    <row r="68" spans="1:20" ht="13" thickBot="1">
      <c r="A68" s="383" t="s">
        <v>1716</v>
      </c>
      <c r="B68" s="215" t="s">
        <v>176</v>
      </c>
      <c r="C68" s="219" t="s">
        <v>1402</v>
      </c>
      <c r="D68" s="220" t="s">
        <v>160</v>
      </c>
      <c r="E68" s="88"/>
      <c r="F68" s="223">
        <f>F62*F65</f>
        <v>40049.94</v>
      </c>
      <c r="G68" s="222" t="s">
        <v>1676</v>
      </c>
      <c r="I68" s="223">
        <f>I62*I65</f>
        <v>37744.51999999999</v>
      </c>
      <c r="J68" s="222" t="s">
        <v>1677</v>
      </c>
      <c r="L68" s="69" t="s">
        <v>1717</v>
      </c>
      <c r="T68" s="267"/>
    </row>
    <row r="69" spans="1:20" ht="13">
      <c r="A69" s="50"/>
      <c r="T69" s="267"/>
    </row>
    <row r="70" spans="1:20" ht="13">
      <c r="A70" s="50"/>
      <c r="T70" s="267"/>
    </row>
    <row r="71" spans="1:20" ht="13.5" thickBot="1">
      <c r="A71" s="50"/>
      <c r="T71" s="267"/>
    </row>
    <row r="72" spans="1:20" ht="16" thickBot="1">
      <c r="A72" s="193"/>
      <c r="B72" s="197" t="s">
        <v>1718</v>
      </c>
      <c r="C72" s="194"/>
      <c r="D72" s="194"/>
      <c r="E72" s="195"/>
      <c r="F72" s="194"/>
      <c r="G72" s="195"/>
      <c r="H72" s="195"/>
      <c r="I72" s="194"/>
      <c r="J72" s="196"/>
      <c r="K72" s="105"/>
      <c r="N72" s="105"/>
      <c r="T72" s="267"/>
    </row>
    <row r="73" spans="1:20" ht="13.5" thickBot="1">
      <c r="A73" s="50"/>
      <c r="T73" s="267"/>
    </row>
    <row r="74" spans="1:20" ht="13.5" thickBot="1">
      <c r="A74" s="136"/>
      <c r="B74" s="211" t="s">
        <v>1719</v>
      </c>
      <c r="C74" s="138"/>
      <c r="D74" s="139"/>
      <c r="T74" s="267"/>
    </row>
    <row r="75" spans="1:20" ht="14.5">
      <c r="A75" s="380" t="s">
        <v>1720</v>
      </c>
      <c r="B75" s="204" t="s">
        <v>1689</v>
      </c>
      <c r="C75" s="141" t="s">
        <v>1456</v>
      </c>
      <c r="D75" s="142" t="s">
        <v>210</v>
      </c>
      <c r="F75" s="206">
        <v>0</v>
      </c>
      <c r="G75" s="207" t="s">
        <v>1482</v>
      </c>
      <c r="I75" s="208">
        <v>0</v>
      </c>
      <c r="J75" s="207" t="s">
        <v>1482</v>
      </c>
      <c r="K75" s="212">
        <v>5</v>
      </c>
      <c r="L75" s="69" t="s">
        <v>1690</v>
      </c>
      <c r="T75" s="267">
        <f t="shared" ref="T75:T83" si="1">K75/9</f>
        <v>0.55555555555555558</v>
      </c>
    </row>
    <row r="76" spans="1:20" ht="14.5">
      <c r="A76" s="381" t="s">
        <v>1721</v>
      </c>
      <c r="B76" s="198" t="s">
        <v>1692</v>
      </c>
      <c r="C76" s="80" t="s">
        <v>1456</v>
      </c>
      <c r="D76" s="79" t="s">
        <v>210</v>
      </c>
      <c r="F76" s="199">
        <v>0</v>
      </c>
      <c r="G76" s="200" t="s">
        <v>1482</v>
      </c>
      <c r="I76" s="201">
        <v>0</v>
      </c>
      <c r="J76" s="200" t="s">
        <v>1482</v>
      </c>
      <c r="K76" s="212">
        <v>6</v>
      </c>
      <c r="L76" s="69" t="s">
        <v>1690</v>
      </c>
      <c r="T76" s="267">
        <f t="shared" si="1"/>
        <v>0.66666666666666663</v>
      </c>
    </row>
    <row r="77" spans="1:20" ht="14.5">
      <c r="A77" s="381" t="s">
        <v>1722</v>
      </c>
      <c r="B77" s="198" t="s">
        <v>1694</v>
      </c>
      <c r="C77" s="80" t="s">
        <v>1456</v>
      </c>
      <c r="D77" s="79" t="s">
        <v>210</v>
      </c>
      <c r="F77" s="199">
        <v>0</v>
      </c>
      <c r="G77" s="200" t="s">
        <v>1482</v>
      </c>
      <c r="I77" s="201">
        <v>0</v>
      </c>
      <c r="J77" s="200" t="s">
        <v>1482</v>
      </c>
      <c r="K77" s="212">
        <v>7</v>
      </c>
      <c r="L77" s="69" t="s">
        <v>1690</v>
      </c>
      <c r="T77" s="267">
        <f t="shared" si="1"/>
        <v>0.77777777777777779</v>
      </c>
    </row>
    <row r="78" spans="1:20" ht="14.5">
      <c r="A78" s="381" t="s">
        <v>1723</v>
      </c>
      <c r="B78" s="198" t="s">
        <v>1696</v>
      </c>
      <c r="C78" s="80" t="s">
        <v>1456</v>
      </c>
      <c r="D78" s="79" t="s">
        <v>210</v>
      </c>
      <c r="F78" s="199">
        <v>0</v>
      </c>
      <c r="G78" s="200" t="s">
        <v>1482</v>
      </c>
      <c r="I78" s="201">
        <v>0</v>
      </c>
      <c r="J78" s="200" t="s">
        <v>1482</v>
      </c>
      <c r="K78" s="212">
        <v>8</v>
      </c>
      <c r="L78" s="69" t="s">
        <v>1690</v>
      </c>
      <c r="T78" s="267">
        <f t="shared" si="1"/>
        <v>0.88888888888888884</v>
      </c>
    </row>
    <row r="79" spans="1:20" ht="14.5">
      <c r="A79" s="381" t="s">
        <v>1724</v>
      </c>
      <c r="B79" s="198" t="s">
        <v>1698</v>
      </c>
      <c r="C79" s="80" t="s">
        <v>1456</v>
      </c>
      <c r="D79" s="79" t="s">
        <v>210</v>
      </c>
      <c r="F79" s="199">
        <v>0</v>
      </c>
      <c r="G79" s="200" t="s">
        <v>1482</v>
      </c>
      <c r="I79" s="201">
        <v>0</v>
      </c>
      <c r="J79" s="200" t="s">
        <v>1482</v>
      </c>
      <c r="K79" s="212">
        <v>9</v>
      </c>
      <c r="L79" s="69" t="s">
        <v>1690</v>
      </c>
      <c r="T79" s="267">
        <f t="shared" si="1"/>
        <v>1</v>
      </c>
    </row>
    <row r="80" spans="1:20" ht="14.5">
      <c r="A80" s="381" t="s">
        <v>1725</v>
      </c>
      <c r="B80" s="198" t="s">
        <v>1700</v>
      </c>
      <c r="C80" s="80" t="s">
        <v>1456</v>
      </c>
      <c r="D80" s="79" t="s">
        <v>210</v>
      </c>
      <c r="F80" s="199">
        <v>0</v>
      </c>
      <c r="G80" s="200" t="s">
        <v>1482</v>
      </c>
      <c r="I80" s="201">
        <v>0</v>
      </c>
      <c r="J80" s="200" t="s">
        <v>1482</v>
      </c>
      <c r="K80" s="212">
        <v>11</v>
      </c>
      <c r="L80" s="69" t="s">
        <v>1690</v>
      </c>
      <c r="T80" s="267">
        <f t="shared" si="1"/>
        <v>1.2222222222222223</v>
      </c>
    </row>
    <row r="81" spans="1:20" ht="14.5">
      <c r="A81" s="381" t="s">
        <v>1726</v>
      </c>
      <c r="B81" s="198" t="s">
        <v>1702</v>
      </c>
      <c r="C81" s="80" t="s">
        <v>1456</v>
      </c>
      <c r="D81" s="79" t="s">
        <v>210</v>
      </c>
      <c r="F81" s="199">
        <v>0</v>
      </c>
      <c r="G81" s="200" t="s">
        <v>1482</v>
      </c>
      <c r="I81" s="201">
        <v>0</v>
      </c>
      <c r="J81" s="200" t="s">
        <v>1482</v>
      </c>
      <c r="K81" s="212">
        <v>13</v>
      </c>
      <c r="L81" s="69" t="s">
        <v>1690</v>
      </c>
      <c r="T81" s="267">
        <f t="shared" si="1"/>
        <v>1.4444444444444444</v>
      </c>
    </row>
    <row r="82" spans="1:20" ht="14.5">
      <c r="A82" s="381" t="s">
        <v>1727</v>
      </c>
      <c r="B82" s="198" t="s">
        <v>1704</v>
      </c>
      <c r="C82" s="80" t="s">
        <v>1456</v>
      </c>
      <c r="D82" s="79" t="s">
        <v>210</v>
      </c>
      <c r="F82" s="199">
        <v>0</v>
      </c>
      <c r="G82" s="200" t="s">
        <v>1482</v>
      </c>
      <c r="I82" s="201">
        <v>0</v>
      </c>
      <c r="J82" s="200" t="s">
        <v>1482</v>
      </c>
      <c r="K82" s="212">
        <v>15</v>
      </c>
      <c r="L82" s="69" t="s">
        <v>1690</v>
      </c>
      <c r="T82" s="267">
        <f t="shared" si="1"/>
        <v>1.6666666666666667</v>
      </c>
    </row>
    <row r="83" spans="1:20" ht="14.5">
      <c r="A83" s="381" t="s">
        <v>1728</v>
      </c>
      <c r="B83" s="198" t="s">
        <v>1706</v>
      </c>
      <c r="C83" s="80" t="s">
        <v>1456</v>
      </c>
      <c r="D83" s="79" t="s">
        <v>210</v>
      </c>
      <c r="F83" s="199">
        <v>0</v>
      </c>
      <c r="G83" s="200" t="s">
        <v>1482</v>
      </c>
      <c r="I83" s="201">
        <v>0</v>
      </c>
      <c r="J83" s="200" t="s">
        <v>1482</v>
      </c>
      <c r="K83" s="212">
        <v>18</v>
      </c>
      <c r="L83" s="69" t="s">
        <v>1690</v>
      </c>
      <c r="T83" s="267">
        <f t="shared" si="1"/>
        <v>2</v>
      </c>
    </row>
    <row r="84" spans="1:20">
      <c r="A84" s="381" t="s">
        <v>1729</v>
      </c>
      <c r="B84" s="198" t="s">
        <v>1465</v>
      </c>
      <c r="C84" s="80" t="s">
        <v>1456</v>
      </c>
      <c r="D84" s="79" t="s">
        <v>160</v>
      </c>
      <c r="F84" s="77">
        <f>SUM(F75:F83)</f>
        <v>0</v>
      </c>
      <c r="G84" s="145" t="s">
        <v>1482</v>
      </c>
      <c r="I84" s="77">
        <f>SUM(I75:I83)</f>
        <v>0</v>
      </c>
      <c r="J84" s="145" t="s">
        <v>1482</v>
      </c>
      <c r="L84" s="69" t="s">
        <v>1708</v>
      </c>
      <c r="M84" s="210"/>
      <c r="T84" s="267"/>
    </row>
    <row r="85" spans="1:20" ht="13" thickBot="1">
      <c r="A85" s="382" t="s">
        <v>1730</v>
      </c>
      <c r="B85" s="205" t="s">
        <v>1710</v>
      </c>
      <c r="C85" s="75" t="s">
        <v>1456</v>
      </c>
      <c r="D85" s="74" t="s">
        <v>160</v>
      </c>
      <c r="F85" s="72">
        <f>SUMPRODUCT(F75:F83, T75:T83)</f>
        <v>0</v>
      </c>
      <c r="G85" s="150" t="s">
        <v>1482</v>
      </c>
      <c r="I85" s="72">
        <f>SUMPRODUCT(I75:I83, T75:T83)</f>
        <v>0</v>
      </c>
      <c r="J85" s="150" t="s">
        <v>1482</v>
      </c>
      <c r="L85" s="69" t="s">
        <v>1711</v>
      </c>
      <c r="M85" s="210"/>
      <c r="T85" s="267"/>
    </row>
    <row r="86" spans="1:20" ht="13.5" thickBot="1">
      <c r="A86" s="50"/>
    </row>
    <row r="87" spans="1:20" ht="13.5" thickBot="1">
      <c r="A87" s="213"/>
      <c r="B87" s="211" t="s">
        <v>1731</v>
      </c>
      <c r="C87" s="216"/>
      <c r="D87" s="217"/>
      <c r="E87" s="88"/>
      <c r="F87" s="218"/>
      <c r="I87" s="218"/>
    </row>
    <row r="88" spans="1:20" ht="13" thickBot="1">
      <c r="A88" s="383" t="s">
        <v>1732</v>
      </c>
      <c r="B88" s="214" t="s">
        <v>1714</v>
      </c>
      <c r="C88" s="219" t="s">
        <v>1402</v>
      </c>
      <c r="D88" s="220" t="s">
        <v>210</v>
      </c>
      <c r="E88" s="88"/>
      <c r="F88" s="221">
        <v>0</v>
      </c>
      <c r="G88" s="222" t="s">
        <v>1482</v>
      </c>
      <c r="I88" s="221">
        <v>0</v>
      </c>
      <c r="J88" s="222" t="s">
        <v>1482</v>
      </c>
      <c r="L88" s="69" t="s">
        <v>1404</v>
      </c>
      <c r="M88" s="224"/>
    </row>
    <row r="89" spans="1:20" ht="13.5" thickBot="1">
      <c r="A89" s="50"/>
      <c r="C89" s="88"/>
      <c r="D89" s="88"/>
      <c r="E89" s="88"/>
      <c r="F89" s="218"/>
      <c r="I89" s="218"/>
    </row>
    <row r="90" spans="1:20" ht="13.5" thickBot="1">
      <c r="A90" s="213"/>
      <c r="B90" s="211" t="s">
        <v>1733</v>
      </c>
      <c r="C90" s="216"/>
      <c r="D90" s="217"/>
      <c r="E90" s="88"/>
      <c r="F90" s="218"/>
      <c r="I90" s="218"/>
    </row>
    <row r="91" spans="1:20" ht="13" thickBot="1">
      <c r="A91" s="383" t="s">
        <v>1734</v>
      </c>
      <c r="B91" s="215" t="s">
        <v>176</v>
      </c>
      <c r="C91" s="219" t="s">
        <v>1402</v>
      </c>
      <c r="D91" s="220" t="s">
        <v>160</v>
      </c>
      <c r="E91" s="88"/>
      <c r="F91" s="223">
        <f>F85*F88</f>
        <v>0</v>
      </c>
      <c r="G91" s="222" t="s">
        <v>1482</v>
      </c>
      <c r="I91" s="223">
        <f>I85*I88</f>
        <v>0</v>
      </c>
      <c r="J91" s="222" t="s">
        <v>1482</v>
      </c>
      <c r="L91" s="69" t="s">
        <v>1735</v>
      </c>
      <c r="M91" s="224"/>
    </row>
    <row r="92" spans="1:20" ht="13">
      <c r="A92" s="50"/>
    </row>
    <row r="93" spans="1:20" ht="13">
      <c r="A93" s="50"/>
    </row>
    <row r="94" spans="1:20" ht="13">
      <c r="A94" s="71"/>
      <c r="B94" s="452"/>
      <c r="C94" s="430"/>
      <c r="D94" s="430"/>
      <c r="E94" s="431"/>
      <c r="F94" s="431"/>
      <c r="G94" s="432"/>
    </row>
    <row r="95" spans="1:20" ht="13">
      <c r="A95" s="71"/>
      <c r="B95" s="453" t="s">
        <v>142</v>
      </c>
      <c r="C95" s="433"/>
      <c r="D95" s="433"/>
      <c r="E95" s="454"/>
      <c r="F95" s="475"/>
      <c r="G95" s="434"/>
    </row>
    <row r="96" spans="1:20" ht="13">
      <c r="A96" s="71"/>
      <c r="B96" s="476"/>
      <c r="C96" s="433"/>
      <c r="D96" s="433"/>
      <c r="E96" s="435"/>
      <c r="F96" s="475"/>
      <c r="G96" s="434"/>
    </row>
    <row r="97" spans="1:7" ht="13">
      <c r="A97" s="71"/>
      <c r="B97" s="453" t="s">
        <v>143</v>
      </c>
      <c r="C97" s="433"/>
      <c r="D97" s="433"/>
      <c r="E97" s="454"/>
      <c r="F97" s="475"/>
      <c r="G97" s="434"/>
    </row>
    <row r="98" spans="1:7" ht="13">
      <c r="A98" s="71"/>
      <c r="B98" s="456"/>
      <c r="C98" s="433"/>
      <c r="D98" s="433"/>
      <c r="E98" s="435"/>
      <c r="F98" s="475"/>
      <c r="G98" s="434"/>
    </row>
    <row r="99" spans="1:7" ht="13">
      <c r="A99" s="71"/>
      <c r="B99" s="453" t="s">
        <v>144</v>
      </c>
      <c r="C99" s="433"/>
      <c r="D99" s="433"/>
      <c r="E99" s="454" t="s">
        <v>145</v>
      </c>
      <c r="F99" s="475"/>
      <c r="G99" s="436"/>
    </row>
    <row r="100" spans="1:7" ht="13">
      <c r="A100" s="71"/>
      <c r="B100" s="457"/>
      <c r="C100" s="437"/>
      <c r="D100" s="437"/>
      <c r="E100" s="438"/>
      <c r="F100" s="438"/>
      <c r="G100" s="439"/>
    </row>
    <row r="101" spans="1:7" ht="14.5">
      <c r="A101" s="71"/>
      <c r="B101"/>
      <c r="C101" s="70"/>
      <c r="D101" s="70"/>
    </row>
    <row r="102" spans="1:7" ht="13">
      <c r="A102" s="50"/>
    </row>
    <row r="103" spans="1:7" ht="13">
      <c r="A103" s="50"/>
    </row>
    <row r="104" spans="1:7" ht="13">
      <c r="A104" s="50"/>
    </row>
    <row r="105" spans="1:7" ht="13">
      <c r="A105" s="50"/>
    </row>
    <row r="106" spans="1:7" ht="13">
      <c r="A106" s="50"/>
    </row>
    <row r="107" spans="1:7" ht="13">
      <c r="A107" s="50"/>
    </row>
    <row r="108" spans="1:7" ht="13">
      <c r="A108" s="50"/>
    </row>
    <row r="109" spans="1:7" ht="13">
      <c r="A109" s="50"/>
    </row>
    <row r="110" spans="1:7" ht="13">
      <c r="A110" s="50"/>
    </row>
    <row r="111" spans="1:7" ht="13">
      <c r="A111" s="50"/>
    </row>
    <row r="112" spans="1:7" ht="13">
      <c r="A112" s="50"/>
    </row>
    <row r="113" spans="1:1" ht="13">
      <c r="A113" s="50"/>
    </row>
    <row r="114" spans="1:1" ht="13">
      <c r="A114" s="50"/>
    </row>
    <row r="115" spans="1:1" ht="13">
      <c r="A115" s="50"/>
    </row>
    <row r="116" spans="1:1" ht="13">
      <c r="A116" s="50"/>
    </row>
    <row r="117" spans="1:1" ht="13">
      <c r="A117" s="50"/>
    </row>
    <row r="118" spans="1:1" ht="13">
      <c r="A118" s="50"/>
    </row>
    <row r="119" spans="1:1" ht="13">
      <c r="A119" s="50"/>
    </row>
    <row r="120" spans="1:1" ht="13">
      <c r="A120" s="50"/>
    </row>
    <row r="121" spans="1:1" ht="13">
      <c r="A121" s="50"/>
    </row>
    <row r="122" spans="1:1" ht="13">
      <c r="A122" s="50"/>
    </row>
    <row r="123" spans="1:1" ht="13">
      <c r="A123" s="50"/>
    </row>
    <row r="124" spans="1:1" ht="13">
      <c r="A124" s="50"/>
    </row>
    <row r="125" spans="1:1" ht="13">
      <c r="A125" s="50"/>
    </row>
    <row r="126" spans="1:1" ht="13">
      <c r="A126" s="50"/>
    </row>
    <row r="127" spans="1:1" ht="13">
      <c r="A127" s="50"/>
    </row>
    <row r="128" spans="1:1" ht="13">
      <c r="A128" s="50"/>
    </row>
    <row r="129" spans="1:1" ht="13">
      <c r="A129" s="50"/>
    </row>
    <row r="130" spans="1:1" ht="13">
      <c r="A130" s="50"/>
    </row>
    <row r="131" spans="1:1" ht="13">
      <c r="A131" s="50"/>
    </row>
    <row r="132" spans="1:1" ht="13">
      <c r="A132" s="50"/>
    </row>
    <row r="133" spans="1:1" ht="13">
      <c r="A133" s="50"/>
    </row>
    <row r="134" spans="1:1" ht="13">
      <c r="A134" s="50"/>
    </row>
    <row r="135" spans="1:1" ht="13">
      <c r="A135" s="50"/>
    </row>
    <row r="136" spans="1:1" ht="13">
      <c r="A136" s="50"/>
    </row>
    <row r="137" spans="1:1" ht="13">
      <c r="A137" s="50"/>
    </row>
    <row r="138" spans="1:1" ht="13">
      <c r="A138" s="50"/>
    </row>
    <row r="139" spans="1:1" ht="13">
      <c r="A139" s="50"/>
    </row>
    <row r="140" spans="1:1" ht="13">
      <c r="A140" s="50"/>
    </row>
    <row r="141" spans="1:1" ht="13">
      <c r="A141" s="50"/>
    </row>
    <row r="142" spans="1:1" ht="13">
      <c r="A142" s="50"/>
    </row>
    <row r="143" spans="1:1" ht="13">
      <c r="A143" s="50"/>
    </row>
    <row r="144" spans="1:1" ht="13">
      <c r="A144" s="50"/>
    </row>
    <row r="145" spans="1:1" ht="13">
      <c r="A145" s="50"/>
    </row>
    <row r="146" spans="1:1" ht="13">
      <c r="A146" s="50"/>
    </row>
    <row r="147" spans="1:1" ht="13">
      <c r="A147" s="50"/>
    </row>
    <row r="148" spans="1:1" ht="13">
      <c r="A148" s="50"/>
    </row>
    <row r="149" spans="1:1" ht="13">
      <c r="A149" s="50"/>
    </row>
    <row r="150" spans="1:1" ht="13">
      <c r="A150" s="50"/>
    </row>
    <row r="151" spans="1:1" ht="13">
      <c r="A151" s="50"/>
    </row>
    <row r="152" spans="1:1" ht="13">
      <c r="A152" s="50"/>
    </row>
    <row r="153" spans="1:1" ht="13">
      <c r="A153" s="50"/>
    </row>
    <row r="154" spans="1:1" ht="13">
      <c r="A154" s="50"/>
    </row>
    <row r="155" spans="1:1" ht="13">
      <c r="A155" s="50"/>
    </row>
    <row r="156" spans="1:1" ht="13">
      <c r="A156" s="50"/>
    </row>
    <row r="157" spans="1:1" ht="13">
      <c r="A157" s="50"/>
    </row>
    <row r="158" spans="1:1" ht="13">
      <c r="A158" s="50"/>
    </row>
    <row r="159" spans="1:1" ht="13">
      <c r="A159" s="50"/>
    </row>
    <row r="160" spans="1:1" ht="13">
      <c r="A160" s="50"/>
    </row>
    <row r="161" spans="1:1" ht="13">
      <c r="A161" s="50"/>
    </row>
    <row r="162" spans="1:1" ht="13">
      <c r="A162" s="50"/>
    </row>
    <row r="163" spans="1:1" ht="13">
      <c r="A163" s="50"/>
    </row>
    <row r="164" spans="1:1" ht="13">
      <c r="A164" s="50"/>
    </row>
    <row r="165" spans="1:1" ht="13">
      <c r="A165" s="50"/>
    </row>
    <row r="166" spans="1:1" ht="13">
      <c r="A166" s="50"/>
    </row>
    <row r="167" spans="1:1" ht="13">
      <c r="A167" s="50"/>
    </row>
    <row r="168" spans="1:1" ht="13">
      <c r="A168" s="50"/>
    </row>
    <row r="169" spans="1:1" ht="13">
      <c r="A169" s="50"/>
    </row>
    <row r="170" spans="1:1" ht="13">
      <c r="A170" s="50"/>
    </row>
    <row r="171" spans="1:1" ht="13">
      <c r="A171" s="50"/>
    </row>
    <row r="172" spans="1:1" ht="13">
      <c r="A172" s="50"/>
    </row>
    <row r="173" spans="1:1" ht="13">
      <c r="A173" s="50"/>
    </row>
    <row r="174" spans="1:1" ht="13">
      <c r="A174" s="50"/>
    </row>
    <row r="175" spans="1:1" ht="13">
      <c r="A175" s="50"/>
    </row>
    <row r="176" spans="1:1" ht="13">
      <c r="A176" s="50"/>
    </row>
    <row r="177" spans="1:1" ht="13">
      <c r="A177" s="50"/>
    </row>
    <row r="178" spans="1:1" ht="13">
      <c r="A178" s="50"/>
    </row>
    <row r="179" spans="1:1" ht="13">
      <c r="A179" s="50"/>
    </row>
    <row r="180" spans="1:1" ht="13">
      <c r="A180" s="50"/>
    </row>
    <row r="181" spans="1:1" ht="13">
      <c r="A181" s="50"/>
    </row>
    <row r="182" spans="1:1" ht="13">
      <c r="A182" s="50"/>
    </row>
    <row r="183" spans="1:1" ht="13">
      <c r="A183" s="50"/>
    </row>
  </sheetData>
  <pageMargins left="0.35433070866141736" right="0.35433070866141736" top="0.59055118110236227" bottom="0.59055118110236227" header="0.51181102362204722" footer="0.51181102362204722"/>
  <pageSetup paperSize="9" scale="58" fitToHeight="0" orientation="portrait" r:id="rId1"/>
  <headerFooter alignWithMargins="0">
    <oddFooter>&amp;R&amp;"cg omega,Regular"&amp;10Date: Feb 2009
Version: 12.0&amp;"-,Regular"&amp;11 &amp;L&amp;"Calibri"&amp;11&amp;K000000&amp;"cg omega,Regular"&amp;10Table 6 of 31_x000D_&amp;1#&amp;"Arial"&amp;11&amp;K000000SW Internal Commercial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73E8A027AD84478D085E8578848EF7" ma:contentTypeVersion="20" ma:contentTypeDescription="Create a new document." ma:contentTypeScope="" ma:versionID="969b792b490c1a97e9d53099f43bf660">
  <xsd:schema xmlns:xsd="http://www.w3.org/2001/XMLSchema" xmlns:xs="http://www.w3.org/2001/XMLSchema" xmlns:p="http://schemas.microsoft.com/office/2006/metadata/properties" xmlns:ns1="http://schemas.microsoft.com/sharepoint/v3" xmlns:ns2="717ab7f6-fd44-4bc6-8ec0-b60b0dae7a6c" xmlns:ns3="dfc5cf3b-63a0-41eb-9e2d-d2b6491b4379" targetNamespace="http://schemas.microsoft.com/office/2006/metadata/properties" ma:root="true" ma:fieldsID="dc0fa0d0b120e147306ce181d01daeef" ns1:_="" ns2:_="" ns3:_="">
    <xsd:import namespace="http://schemas.microsoft.com/sharepoint/v3"/>
    <xsd:import namespace="717ab7f6-fd44-4bc6-8ec0-b60b0dae7a6c"/>
    <xsd:import namespace="dfc5cf3b-63a0-41eb-9e2d-d2b6491b4379"/>
    <xsd:element name="properties">
      <xsd:complexType>
        <xsd:sequence>
          <xsd:element name="documentManagement">
            <xsd:complexType>
              <xsd:all>
                <xsd:element ref="ns2:cf592852341843f8bdfae7ca25eef972" minOccurs="0"/>
                <xsd:element ref="ns3:TaxCatchAll" minOccurs="0"/>
                <xsd:element ref="ns3:bfc079fce85f491ab29dd2fc5176ac66" minOccurs="0"/>
                <xsd:element ref="ns3:SharedWithUsers" minOccurs="0"/>
                <xsd:element ref="ns3:SharedWithDetails" minOccurs="0"/>
                <xsd:element ref="ns2:MediaServiceMetadata" minOccurs="0"/>
                <xsd:element ref="ns2:MediaServiceFastMetadata" minOccurs="0"/>
                <xsd:element ref="ns1:_ip_UnifiedCompliancePolicyProperties" minOccurs="0"/>
                <xsd:element ref="ns1:_ip_UnifiedCompliancePolicyUIActio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7ab7f6-fd44-4bc6-8ec0-b60b0dae7a6c" elementFormDefault="qualified">
    <xsd:import namespace="http://schemas.microsoft.com/office/2006/documentManagement/types"/>
    <xsd:import namespace="http://schemas.microsoft.com/office/infopath/2007/PartnerControls"/>
    <xsd:element name="cf592852341843f8bdfae7ca25eef972" ma:index="9" nillable="true" ma:taxonomy="true" ma:internalName="cf592852341843f8bdfae7ca25eef972" ma:taxonomyFieldName="Data_x0020_Area" ma:displayName="Data Area" ma:indexed="true" ma:default="" ma:fieldId="{cf592852-3418-43f8-bdfa-e7ca25eef972}" ma:sspId="f924a736-b285-4c68-8cdb-5ccf3ff341b6" ma:termSetId="7a5625a2-4e1a-4ba2-934b-4b033497e6b1" ma:anchorId="00000000-0000-0000-0000-000000000000" ma:open="false" ma:isKeyword="false">
      <xsd:complexType>
        <xsd:sequence>
          <xsd:element ref="pc:Terms" minOccurs="0" maxOccurs="1"/>
        </xsd:sequence>
      </xsd:complexType>
    </xsd:element>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c5cf3b-63a0-41eb-9e2d-d2b6491b4379"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611ec8d2-c813-4531-b966-1319a11e9c0f}" ma:internalName="TaxCatchAll" ma:showField="CatchAllData" ma:web="dfc5cf3b-63a0-41eb-9e2d-d2b6491b4379">
      <xsd:complexType>
        <xsd:complexContent>
          <xsd:extension base="dms:MultiChoiceLookup">
            <xsd:sequence>
              <xsd:element name="Value" type="dms:Lookup" maxOccurs="unbounded" minOccurs="0" nillable="true"/>
            </xsd:sequence>
          </xsd:extension>
        </xsd:complexContent>
      </xsd:complexType>
    </xsd:element>
    <xsd:element name="bfc079fce85f491ab29dd2fc5176ac66" ma:index="12" nillable="true" ma:taxonomy="true" ma:internalName="bfc079fce85f491ab29dd2fc5176ac66" ma:taxonomyFieldName="Financial_x0020_Year" ma:displayName="Financial Year" ma:indexed="true" ma:default="" ma:fieldId="{bfc079fc-e85f-491a-b29d-d2fc5176ac66}" ma:sspId="f924a736-b285-4c68-8cdb-5ccf3ff341b6" ma:termSetId="e3db7dc0-d157-4e6b-95e0-f2d210bd78ba" ma:anchorId="00000000-0000-0000-0000-000000000000" ma:open="false" ma:isKeyword="false">
      <xsd:complexType>
        <xsd:sequence>
          <xsd:element ref="pc:Terms" minOccurs="0" maxOccurs="1"/>
        </xsd:sequence>
      </xsd:complexType>
    </xsd:element>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dfc5cf3b-63a0-41eb-9e2d-d2b6491b4379" xsi:nil="true"/>
    <cf592852341843f8bdfae7ca25eef972 xmlns="717ab7f6-fd44-4bc6-8ec0-b60b0dae7a6c">
      <Terms xmlns="http://schemas.microsoft.com/office/infopath/2007/PartnerControls"/>
    </cf592852341843f8bdfae7ca25eef972>
    <_ip_UnifiedCompliancePolicyUIAction xmlns="http://schemas.microsoft.com/sharepoint/v3" xsi:nil="true"/>
    <_ip_UnifiedCompliancePolicyProperties xmlns="http://schemas.microsoft.com/sharepoint/v3" xsi:nil="true"/>
    <bfc079fce85f491ab29dd2fc5176ac66 xmlns="dfc5cf3b-63a0-41eb-9e2d-d2b6491b4379">
      <Terms xmlns="http://schemas.microsoft.com/office/infopath/2007/PartnerControls"/>
    </bfc079fce85f491ab29dd2fc5176ac66>
  </documentManagement>
</p:properties>
</file>

<file path=customXml/itemProps1.xml><?xml version="1.0" encoding="utf-8"?>
<ds:datastoreItem xmlns:ds="http://schemas.openxmlformats.org/officeDocument/2006/customXml" ds:itemID="{5F40BD71-4955-47AF-AD54-F832E378ABE1}"/>
</file>

<file path=customXml/itemProps2.xml><?xml version="1.0" encoding="utf-8"?>
<ds:datastoreItem xmlns:ds="http://schemas.openxmlformats.org/officeDocument/2006/customXml" ds:itemID="{BA02AAB4-8B95-4156-8E1F-0DD386A4D222}"/>
</file>

<file path=customXml/itemProps3.xml><?xml version="1.0" encoding="utf-8"?>
<ds:datastoreItem xmlns:ds="http://schemas.openxmlformats.org/officeDocument/2006/customXml" ds:itemID="{10D31E98-0A92-4E60-BEDD-3C76D4F11AB9}"/>
</file>

<file path=customXml/itemProps4.xml><?xml version="1.0" encoding="utf-8"?>
<ds:datastoreItem xmlns:ds="http://schemas.openxmlformats.org/officeDocument/2006/customXml" ds:itemID="{C0C03F52-4D41-43A0-A701-F31108DF625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P1</vt:lpstr>
      <vt:lpstr>P2</vt:lpstr>
      <vt:lpstr>P2a</vt:lpstr>
      <vt:lpstr>P3</vt:lpstr>
      <vt:lpstr>P4</vt:lpstr>
      <vt:lpstr>P5</vt:lpstr>
      <vt:lpstr>P6</vt:lpstr>
      <vt:lpstr>'P1'!Print_Area</vt:lpstr>
      <vt:lpstr>'P2'!Print_Area</vt:lpstr>
      <vt:lpstr>P2a!Print_Area</vt:lpstr>
      <vt:lpstr>'P3'!Print_Area</vt:lpstr>
      <vt:lpstr>'P4'!Print_Area</vt:lpstr>
      <vt:lpstr>'P5'!Print_Area</vt:lpstr>
      <vt:lpstr>'P6'!Print_Area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2024-05-13T13:20:12Z</dcterms:created>
  <dcterms:modified xsi:type="dcterms:W3CDTF">2024-05-30T16:23:03Z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0x0101000673E8A027AD84478D085E8578848EF7</vt:lpwstr>
  </property>
  <property fmtid="{D5CDD505-2E9C-101B-9397-08002B2CF9AE}" pid="3" name="Financial Year">
    <vt:lpwstr/>
  </property>
  <property fmtid="{D5CDD505-2E9C-101B-9397-08002B2CF9AE}" pid="4" name="Data Area">
    <vt:lpwstr/>
  </property>
</Properties>
</file>